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Mis documentos\Desktop\CONTRATACION  2026\PROCESOS SECOP II\MC-ANT-CDMC-003-2026 - TRANSPORTE\1. DOCUMENTOS DEL PROCESO\"/>
    </mc:Choice>
  </mc:AlternateContent>
  <xr:revisionPtr revIDLastSave="0" documentId="13_ncr:1_{547B376D-6330-4774-B547-E2E9559E0BAC}" xr6:coauthVersionLast="47" xr6:coauthVersionMax="47" xr10:uidLastSave="{00000000-0000-0000-0000-000000000000}"/>
  <bookViews>
    <workbookView xWindow="-108" yWindow="-108" windowWidth="23256" windowHeight="12456" xr2:uid="{00000000-000D-0000-FFFF-FFFF00000000}"/>
  </bookViews>
  <sheets>
    <sheet name="Necesidades" sheetId="1" r:id="rId1"/>
    <sheet name="POD" sheetId="2" state="hidden" r:id="rId2"/>
    <sheet name="UNSPSC" sheetId="4" state="hidden" r:id="rId3"/>
    <sheet name="RUBROS" sheetId="3" state="hidden" r:id="rId4"/>
    <sheet name="ESTUDIO PREVIO AUMENTADO" sheetId="6" state="hidden" r:id="rId5"/>
    <sheet name="PLAZO DE EJECUCIÒN" sheetId="7" state="hidden" r:id="rId6"/>
  </sheets>
  <definedNames>
    <definedName name="_xlnm._FilterDatabase" localSheetId="4" hidden="1">'ESTUDIO PREVIO AUMENTADO'!$F$1:$F$1226</definedName>
    <definedName name="_xlnm._FilterDatabase" localSheetId="0" hidden="1">Necesidades!$A$2:$I$2</definedName>
    <definedName name="_xlnm.Print_Area" localSheetId="0">Necesidades!$A$2:$J$39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1" i="1" l="1"/>
  <c r="I61" i="1" l="1"/>
  <c r="A25" i="7"/>
  <c r="A24" i="7"/>
  <c r="A23" i="7"/>
  <c r="A22" i="7"/>
  <c r="A21" i="7"/>
  <c r="A20" i="7"/>
  <c r="A19" i="7"/>
  <c r="A18" i="7"/>
  <c r="A17" i="7"/>
  <c r="A16" i="7"/>
  <c r="A15" i="7"/>
  <c r="A14" i="7"/>
  <c r="A13" i="7"/>
  <c r="A12" i="7"/>
  <c r="A11" i="7"/>
  <c r="A10" i="7"/>
  <c r="A9" i="7"/>
  <c r="A8" i="7"/>
  <c r="A7" i="7"/>
  <c r="A6" i="7"/>
  <c r="A5" i="7"/>
  <c r="A4" i="7"/>
  <c r="A3" i="7"/>
  <c r="A193" i="4" l="1"/>
  <c r="A187" i="4"/>
  <c r="A178" i="4"/>
  <c r="A171" i="4"/>
  <c r="H1257" i="6"/>
  <c r="H1258" i="6"/>
  <c r="H1259" i="6"/>
  <c r="H1260" i="6"/>
  <c r="H1261" i="6"/>
  <c r="H1262" i="6"/>
  <c r="H1263" i="6"/>
  <c r="H1264" i="6"/>
  <c r="H1256" i="6"/>
  <c r="H1230" i="6"/>
  <c r="H1231" i="6"/>
  <c r="H1232" i="6"/>
  <c r="H1233" i="6"/>
  <c r="H1234" i="6"/>
  <c r="H1235" i="6"/>
  <c r="H1236" i="6"/>
  <c r="H1237" i="6"/>
  <c r="H1238" i="6"/>
  <c r="H1239" i="6"/>
  <c r="H1240" i="6"/>
  <c r="H1241" i="6"/>
  <c r="H1242" i="6"/>
  <c r="H1243" i="6"/>
  <c r="H1244" i="6"/>
  <c r="H1245" i="6"/>
  <c r="H1246" i="6"/>
  <c r="H1247" i="6"/>
  <c r="H1248" i="6"/>
  <c r="H1249" i="6"/>
  <c r="H1250" i="6"/>
  <c r="H1251" i="6"/>
  <c r="H1252" i="6"/>
  <c r="H1253" i="6"/>
  <c r="H1254" i="6"/>
  <c r="H1255" i="6"/>
  <c r="H1229" i="6"/>
  <c r="H1217" i="6"/>
  <c r="H1218" i="6"/>
  <c r="H1219" i="6"/>
  <c r="H1220" i="6"/>
  <c r="H1221" i="6"/>
  <c r="H1222" i="6"/>
  <c r="H1216" i="6"/>
  <c r="H1120" i="6"/>
  <c r="H1121" i="6"/>
  <c r="H1122" i="6"/>
  <c r="H1123" i="6"/>
  <c r="H1124" i="6"/>
  <c r="H1125" i="6"/>
  <c r="H1126" i="6"/>
  <c r="H1127" i="6"/>
  <c r="H1128" i="6"/>
  <c r="H1129" i="6"/>
  <c r="H1130" i="6"/>
  <c r="H1131" i="6"/>
  <c r="H1132" i="6"/>
  <c r="H1133" i="6"/>
  <c r="H1134" i="6"/>
  <c r="H1135" i="6"/>
  <c r="H1136" i="6"/>
  <c r="H1137" i="6"/>
  <c r="H1138" i="6"/>
  <c r="H1139" i="6"/>
  <c r="H1140" i="6"/>
  <c r="H1141" i="6"/>
  <c r="H1142" i="6"/>
  <c r="H1143" i="6"/>
  <c r="H1144" i="6"/>
  <c r="H1145" i="6"/>
  <c r="H1146" i="6"/>
  <c r="H1147" i="6"/>
  <c r="H1148" i="6"/>
  <c r="H1149" i="6"/>
  <c r="H1150" i="6"/>
  <c r="H1151" i="6"/>
  <c r="H1152" i="6"/>
  <c r="H1153" i="6"/>
  <c r="H1154" i="6"/>
  <c r="H1155" i="6"/>
  <c r="H1156" i="6"/>
  <c r="H1157" i="6"/>
  <c r="H1158" i="6"/>
  <c r="H1159" i="6"/>
  <c r="H1160" i="6"/>
  <c r="H1161" i="6"/>
  <c r="H1162" i="6"/>
  <c r="H1163" i="6"/>
  <c r="H1164" i="6"/>
  <c r="H1165" i="6"/>
  <c r="H1166" i="6"/>
  <c r="H1167" i="6"/>
  <c r="H1168" i="6"/>
  <c r="H1169" i="6"/>
  <c r="H1170" i="6"/>
  <c r="H1171" i="6"/>
  <c r="H1172" i="6"/>
  <c r="H1173" i="6"/>
  <c r="H1174" i="6"/>
  <c r="H1175" i="6"/>
  <c r="H1176" i="6"/>
  <c r="H1177" i="6"/>
  <c r="H1178" i="6"/>
  <c r="H1179" i="6"/>
  <c r="H1180" i="6"/>
  <c r="H1181" i="6"/>
  <c r="H1182" i="6"/>
  <c r="H1183" i="6"/>
  <c r="H1184" i="6"/>
  <c r="H1185" i="6"/>
  <c r="H1186" i="6"/>
  <c r="H1187" i="6"/>
  <c r="H1188" i="6"/>
  <c r="H1189" i="6"/>
  <c r="H1190" i="6"/>
  <c r="H1191" i="6"/>
  <c r="H1192" i="6"/>
  <c r="H1193" i="6"/>
  <c r="H1194" i="6"/>
  <c r="H1195" i="6"/>
  <c r="H1196" i="6"/>
  <c r="H1197" i="6"/>
  <c r="H1198" i="6"/>
  <c r="H1199" i="6"/>
  <c r="H1200" i="6"/>
  <c r="H1201" i="6"/>
  <c r="H1202" i="6"/>
  <c r="H1203" i="6"/>
  <c r="H1204" i="6"/>
  <c r="H1205" i="6"/>
  <c r="H1206" i="6"/>
  <c r="H1207" i="6"/>
  <c r="H1119" i="6"/>
  <c r="H1103" i="6"/>
  <c r="H1104" i="6"/>
  <c r="H1105" i="6"/>
  <c r="H1106" i="6"/>
  <c r="H1107" i="6"/>
  <c r="H1108" i="6"/>
  <c r="H1109" i="6"/>
  <c r="H1110" i="6"/>
  <c r="H1111" i="6"/>
  <c r="H1102" i="6"/>
  <c r="H1072" i="6"/>
  <c r="H1073" i="6"/>
  <c r="H1074" i="6"/>
  <c r="H1075" i="6"/>
  <c r="H1076" i="6"/>
  <c r="H1077" i="6"/>
  <c r="H1078" i="6"/>
  <c r="H1079" i="6"/>
  <c r="H1080" i="6"/>
  <c r="H1081" i="6"/>
  <c r="H1082" i="6"/>
  <c r="H1083" i="6"/>
  <c r="H1084" i="6"/>
  <c r="H1085" i="6"/>
  <c r="H1086" i="6"/>
  <c r="H1087" i="6"/>
  <c r="H1088" i="6"/>
  <c r="H1089" i="6"/>
  <c r="H1090" i="6"/>
  <c r="H1091" i="6"/>
  <c r="H1092" i="6"/>
  <c r="H1093" i="6"/>
  <c r="H1071" i="6"/>
  <c r="H935" i="6"/>
  <c r="H936" i="6"/>
  <c r="H937" i="6"/>
  <c r="H938" i="6"/>
  <c r="H939" i="6"/>
  <c r="H940" i="6"/>
  <c r="H941" i="6"/>
  <c r="H942" i="6"/>
  <c r="H943" i="6"/>
  <c r="H944" i="6"/>
  <c r="H945" i="6"/>
  <c r="H946" i="6"/>
  <c r="H947" i="6"/>
  <c r="H948" i="6"/>
  <c r="H949" i="6"/>
  <c r="H950" i="6"/>
  <c r="H951" i="6"/>
  <c r="H952" i="6"/>
  <c r="H953" i="6"/>
  <c r="H954" i="6"/>
  <c r="H955" i="6"/>
  <c r="H956" i="6"/>
  <c r="H957" i="6"/>
  <c r="H958" i="6"/>
  <c r="H959" i="6"/>
  <c r="H960" i="6"/>
  <c r="H961" i="6"/>
  <c r="H962" i="6"/>
  <c r="H963" i="6"/>
  <c r="H964" i="6"/>
  <c r="H965" i="6"/>
  <c r="H966" i="6"/>
  <c r="H967" i="6"/>
  <c r="H968" i="6"/>
  <c r="H969" i="6"/>
  <c r="H970" i="6"/>
  <c r="H971" i="6"/>
  <c r="H972" i="6"/>
  <c r="H973" i="6"/>
  <c r="H974" i="6"/>
  <c r="H975" i="6"/>
  <c r="H976" i="6"/>
  <c r="H977" i="6"/>
  <c r="H978" i="6"/>
  <c r="H979" i="6"/>
  <c r="H980" i="6"/>
  <c r="H981" i="6"/>
  <c r="H982" i="6"/>
  <c r="H983" i="6"/>
  <c r="H984" i="6"/>
  <c r="H985" i="6"/>
  <c r="H986" i="6"/>
  <c r="H987" i="6"/>
  <c r="H988" i="6"/>
  <c r="H989" i="6"/>
  <c r="H990" i="6"/>
  <c r="H991" i="6"/>
  <c r="H992" i="6"/>
  <c r="H993" i="6"/>
  <c r="H994" i="6"/>
  <c r="H995" i="6"/>
  <c r="H996" i="6"/>
  <c r="H997" i="6"/>
  <c r="H998" i="6"/>
  <c r="H999" i="6"/>
  <c r="H1000" i="6"/>
  <c r="H1001" i="6"/>
  <c r="H1002" i="6"/>
  <c r="H1003" i="6"/>
  <c r="H1004" i="6"/>
  <c r="H1005" i="6"/>
  <c r="H1006" i="6"/>
  <c r="H1007" i="6"/>
  <c r="H1008" i="6"/>
  <c r="H1009" i="6"/>
  <c r="H1010" i="6"/>
  <c r="H1011" i="6"/>
  <c r="H1012" i="6"/>
  <c r="H1013" i="6"/>
  <c r="H1014" i="6"/>
  <c r="H1015" i="6"/>
  <c r="H1016" i="6"/>
  <c r="H1017" i="6"/>
  <c r="H1018" i="6"/>
  <c r="H1019" i="6"/>
  <c r="H1020" i="6"/>
  <c r="H1021" i="6"/>
  <c r="H1022" i="6"/>
  <c r="H1023" i="6"/>
  <c r="H1024" i="6"/>
  <c r="H1025" i="6"/>
  <c r="H1026" i="6"/>
  <c r="H1027" i="6"/>
  <c r="H1028" i="6"/>
  <c r="H1029" i="6"/>
  <c r="H1030" i="6"/>
  <c r="H1031" i="6"/>
  <c r="H1032" i="6"/>
  <c r="H1033" i="6"/>
  <c r="H1034" i="6"/>
  <c r="H1035" i="6"/>
  <c r="H1036" i="6"/>
  <c r="H1037" i="6"/>
  <c r="H1038" i="6"/>
  <c r="H1039" i="6"/>
  <c r="H1040" i="6"/>
  <c r="H1041" i="6"/>
  <c r="H1042" i="6"/>
  <c r="H1043" i="6"/>
  <c r="H1044" i="6"/>
  <c r="H1045" i="6"/>
  <c r="H1046" i="6"/>
  <c r="H1047" i="6"/>
  <c r="H1048" i="6"/>
  <c r="H1049" i="6"/>
  <c r="H1050" i="6"/>
  <c r="H1051" i="6"/>
  <c r="H1052" i="6"/>
  <c r="H1053" i="6"/>
  <c r="H1054" i="6"/>
  <c r="H1055" i="6"/>
  <c r="H1056" i="6"/>
  <c r="H1057" i="6"/>
  <c r="H1058" i="6"/>
  <c r="H1059" i="6"/>
  <c r="H1060" i="6"/>
  <c r="H1061" i="6"/>
  <c r="H1062" i="6"/>
  <c r="H1063" i="6"/>
  <c r="H1064" i="6"/>
  <c r="H934" i="6"/>
  <c r="H879" i="6"/>
  <c r="H880" i="6"/>
  <c r="H881" i="6"/>
  <c r="H882" i="6"/>
  <c r="H883" i="6"/>
  <c r="H884" i="6"/>
  <c r="H885" i="6"/>
  <c r="H886" i="6"/>
  <c r="H887" i="6"/>
  <c r="H888" i="6"/>
  <c r="H889" i="6"/>
  <c r="H890" i="6"/>
  <c r="H891" i="6"/>
  <c r="H892" i="6"/>
  <c r="H893" i="6"/>
  <c r="H894" i="6"/>
  <c r="H895" i="6"/>
  <c r="H896" i="6"/>
  <c r="H897" i="6"/>
  <c r="H898" i="6"/>
  <c r="H899" i="6"/>
  <c r="H900" i="6"/>
  <c r="H901" i="6"/>
  <c r="H902" i="6"/>
  <c r="H903" i="6"/>
  <c r="H904" i="6"/>
  <c r="H905" i="6"/>
  <c r="H906" i="6"/>
  <c r="H907" i="6"/>
  <c r="H908" i="6"/>
  <c r="H909" i="6"/>
  <c r="H910" i="6"/>
  <c r="H911" i="6"/>
  <c r="H912" i="6"/>
  <c r="H913" i="6"/>
  <c r="H914" i="6"/>
  <c r="H915" i="6"/>
  <c r="H916" i="6"/>
  <c r="H917" i="6"/>
  <c r="H918" i="6"/>
  <c r="H919" i="6"/>
  <c r="H920" i="6"/>
  <c r="H921" i="6"/>
  <c r="H922" i="6"/>
  <c r="H923" i="6"/>
  <c r="H924" i="6"/>
  <c r="H925" i="6"/>
  <c r="H878" i="6"/>
  <c r="H796" i="6" l="1"/>
  <c r="H797" i="6"/>
  <c r="H798" i="6"/>
  <c r="H799" i="6"/>
  <c r="H800" i="6"/>
  <c r="H801" i="6"/>
  <c r="H802" i="6"/>
  <c r="H803" i="6"/>
  <c r="H804" i="6"/>
  <c r="H805" i="6"/>
  <c r="H806" i="6"/>
  <c r="H807" i="6"/>
  <c r="H808" i="6"/>
  <c r="H809" i="6"/>
  <c r="H810" i="6"/>
  <c r="H811" i="6"/>
  <c r="H812" i="6"/>
  <c r="H813" i="6"/>
  <c r="H814" i="6"/>
  <c r="H815" i="6"/>
  <c r="H816" i="6"/>
  <c r="H817" i="6"/>
  <c r="H818" i="6"/>
  <c r="H819" i="6"/>
  <c r="H820" i="6"/>
  <c r="H821" i="6"/>
  <c r="H822" i="6"/>
  <c r="H823" i="6"/>
  <c r="H824" i="6"/>
  <c r="H825" i="6"/>
  <c r="H826" i="6"/>
  <c r="H827" i="6"/>
  <c r="H828" i="6"/>
  <c r="H829" i="6"/>
  <c r="H830" i="6"/>
  <c r="H831" i="6"/>
  <c r="H832" i="6"/>
  <c r="H833" i="6"/>
  <c r="H834" i="6"/>
  <c r="H835" i="6"/>
  <c r="H836" i="6"/>
  <c r="H837" i="6"/>
  <c r="H838" i="6"/>
  <c r="H839" i="6"/>
  <c r="H840" i="6"/>
  <c r="H841" i="6"/>
  <c r="H842" i="6"/>
  <c r="H843" i="6"/>
  <c r="H844" i="6"/>
  <c r="H845" i="6"/>
  <c r="H846" i="6"/>
  <c r="H847" i="6"/>
  <c r="H848" i="6"/>
  <c r="H849" i="6"/>
  <c r="H850" i="6"/>
  <c r="H851" i="6"/>
  <c r="H852" i="6"/>
  <c r="H853" i="6"/>
  <c r="H854" i="6"/>
  <c r="H855" i="6"/>
  <c r="H856" i="6"/>
  <c r="H857" i="6"/>
  <c r="H859" i="6"/>
  <c r="H860" i="6"/>
  <c r="H861" i="6"/>
  <c r="H862" i="6"/>
  <c r="H863" i="6"/>
  <c r="H864" i="6"/>
  <c r="H865" i="6"/>
  <c r="H866" i="6"/>
  <c r="H867" i="6"/>
  <c r="H868" i="6"/>
  <c r="H869" i="6"/>
  <c r="H870" i="6"/>
  <c r="H795" i="6"/>
  <c r="H759" i="6"/>
  <c r="H760" i="6"/>
  <c r="H761" i="6"/>
  <c r="H762" i="6"/>
  <c r="H763" i="6"/>
  <c r="H764" i="6"/>
  <c r="H765" i="6"/>
  <c r="H766" i="6"/>
  <c r="H767" i="6"/>
  <c r="H768" i="6"/>
  <c r="H769" i="6"/>
  <c r="H770" i="6"/>
  <c r="H771" i="6"/>
  <c r="H772" i="6"/>
  <c r="H773" i="6"/>
  <c r="H774" i="6"/>
  <c r="H775" i="6"/>
  <c r="H776" i="6"/>
  <c r="H777" i="6"/>
  <c r="H778" i="6"/>
  <c r="H779" i="6"/>
  <c r="H780" i="6"/>
  <c r="H781" i="6"/>
  <c r="H782" i="6"/>
  <c r="H783" i="6"/>
  <c r="H784" i="6"/>
  <c r="H785" i="6"/>
  <c r="H786" i="6"/>
  <c r="H787" i="6"/>
  <c r="H758" i="6"/>
  <c r="H717" i="6"/>
  <c r="H718" i="6"/>
  <c r="H719" i="6"/>
  <c r="H720" i="6"/>
  <c r="H721" i="6"/>
  <c r="H722" i="6"/>
  <c r="H723" i="6"/>
  <c r="H724" i="6"/>
  <c r="H725" i="6"/>
  <c r="H726" i="6"/>
  <c r="H727" i="6"/>
  <c r="H728" i="6"/>
  <c r="H729" i="6"/>
  <c r="H730" i="6"/>
  <c r="H731" i="6"/>
  <c r="H732" i="6"/>
  <c r="H733" i="6"/>
  <c r="H734" i="6"/>
  <c r="H735" i="6"/>
  <c r="H736" i="6"/>
  <c r="H737" i="6"/>
  <c r="H738" i="6"/>
  <c r="H739" i="6"/>
  <c r="H740" i="6"/>
  <c r="H741" i="6"/>
  <c r="H742" i="6"/>
  <c r="H743" i="6"/>
  <c r="H744" i="6"/>
  <c r="H745" i="6"/>
  <c r="H746" i="6"/>
  <c r="H747" i="6"/>
  <c r="H748" i="6"/>
  <c r="H749" i="6"/>
  <c r="H750" i="6"/>
  <c r="H751" i="6"/>
  <c r="H716" i="6"/>
  <c r="H663" i="6"/>
  <c r="H664" i="6"/>
  <c r="H665" i="6"/>
  <c r="H666" i="6"/>
  <c r="H667" i="6"/>
  <c r="H668" i="6"/>
  <c r="H669" i="6"/>
  <c r="H670" i="6"/>
  <c r="H671" i="6"/>
  <c r="H672" i="6"/>
  <c r="H673" i="6"/>
  <c r="H674" i="6"/>
  <c r="H675" i="6"/>
  <c r="H676" i="6"/>
  <c r="H677" i="6"/>
  <c r="H678" i="6"/>
  <c r="H679" i="6"/>
  <c r="H680" i="6"/>
  <c r="H681" i="6"/>
  <c r="H682" i="6"/>
  <c r="H683" i="6"/>
  <c r="H684" i="6"/>
  <c r="H685" i="6"/>
  <c r="H686" i="6"/>
  <c r="H687" i="6"/>
  <c r="H688" i="6"/>
  <c r="H689" i="6"/>
  <c r="H690" i="6"/>
  <c r="H691" i="6"/>
  <c r="H692" i="6"/>
  <c r="H693" i="6"/>
  <c r="H694" i="6"/>
  <c r="H695" i="6"/>
  <c r="H696" i="6"/>
  <c r="H697" i="6"/>
  <c r="H698" i="6"/>
  <c r="H699" i="6"/>
  <c r="H700" i="6"/>
  <c r="H701" i="6"/>
  <c r="H702" i="6"/>
  <c r="H703" i="6"/>
  <c r="H704" i="6"/>
  <c r="H705" i="6"/>
  <c r="H706" i="6"/>
  <c r="H707" i="6"/>
  <c r="H708" i="6"/>
  <c r="H709" i="6"/>
  <c r="H662" i="6"/>
  <c r="H634" i="6"/>
  <c r="H635" i="6"/>
  <c r="H636" i="6"/>
  <c r="H637" i="6"/>
  <c r="H638" i="6"/>
  <c r="H639" i="6"/>
  <c r="H640" i="6"/>
  <c r="H641" i="6"/>
  <c r="H642" i="6"/>
  <c r="H643" i="6"/>
  <c r="H644" i="6"/>
  <c r="H645" i="6"/>
  <c r="H646" i="6"/>
  <c r="H647" i="6"/>
  <c r="H648" i="6"/>
  <c r="H649" i="6"/>
  <c r="H650" i="6"/>
  <c r="H651" i="6"/>
  <c r="H652" i="6"/>
  <c r="H653" i="6"/>
  <c r="H654" i="6"/>
  <c r="H655" i="6"/>
  <c r="H656" i="6"/>
  <c r="H633" i="6"/>
  <c r="H583" i="6"/>
  <c r="H584" i="6"/>
  <c r="H585" i="6"/>
  <c r="H586" i="6"/>
  <c r="H587" i="6"/>
  <c r="H588" i="6"/>
  <c r="H589" i="6"/>
  <c r="H590" i="6"/>
  <c r="H591" i="6"/>
  <c r="H592" i="6"/>
  <c r="H593" i="6"/>
  <c r="H594" i="6"/>
  <c r="H595" i="6"/>
  <c r="H596" i="6"/>
  <c r="H597" i="6"/>
  <c r="H598" i="6"/>
  <c r="H599" i="6"/>
  <c r="H600" i="6"/>
  <c r="H601" i="6"/>
  <c r="H602" i="6"/>
  <c r="H603" i="6"/>
  <c r="H604" i="6"/>
  <c r="H605" i="6"/>
  <c r="H606" i="6"/>
  <c r="H607" i="6"/>
  <c r="H608" i="6"/>
  <c r="H609" i="6"/>
  <c r="H610" i="6"/>
  <c r="H611" i="6"/>
  <c r="H612" i="6"/>
  <c r="H613" i="6"/>
  <c r="H614" i="6"/>
  <c r="H615" i="6"/>
  <c r="H616" i="6"/>
  <c r="H617" i="6"/>
  <c r="H618" i="6"/>
  <c r="H619" i="6"/>
  <c r="H620" i="6"/>
  <c r="H621" i="6"/>
  <c r="H622" i="6"/>
  <c r="H623" i="6"/>
  <c r="H624" i="6"/>
  <c r="H625" i="6"/>
  <c r="H582" i="6"/>
  <c r="H534" i="6"/>
  <c r="H535" i="6"/>
  <c r="H536" i="6"/>
  <c r="H537" i="6"/>
  <c r="H538" i="6"/>
  <c r="H539" i="6"/>
  <c r="H540" i="6"/>
  <c r="H541" i="6"/>
  <c r="H542" i="6"/>
  <c r="H543" i="6"/>
  <c r="H544" i="6"/>
  <c r="H545" i="6"/>
  <c r="H546" i="6"/>
  <c r="H547" i="6"/>
  <c r="H548" i="6"/>
  <c r="H549" i="6"/>
  <c r="H550" i="6"/>
  <c r="H551" i="6"/>
  <c r="H552" i="6"/>
  <c r="H553" i="6"/>
  <c r="H554" i="6"/>
  <c r="H555" i="6"/>
  <c r="H556" i="6"/>
  <c r="H557" i="6"/>
  <c r="H558" i="6"/>
  <c r="H559" i="6"/>
  <c r="H560" i="6"/>
  <c r="H561" i="6"/>
  <c r="H562" i="6"/>
  <c r="H563" i="6"/>
  <c r="H564" i="6"/>
  <c r="H565" i="6"/>
  <c r="H566" i="6"/>
  <c r="H567" i="6"/>
  <c r="H568" i="6"/>
  <c r="H569" i="6"/>
  <c r="H570" i="6"/>
  <c r="H571" i="6"/>
  <c r="H572" i="6"/>
  <c r="H573" i="6"/>
  <c r="H574" i="6"/>
  <c r="H533" i="6"/>
  <c r="U523" i="6"/>
  <c r="U524" i="6"/>
  <c r="U525" i="6"/>
  <c r="U526" i="6"/>
  <c r="U522" i="6"/>
  <c r="U492" i="6"/>
  <c r="U493" i="6"/>
  <c r="U494" i="6"/>
  <c r="U495" i="6"/>
  <c r="U496" i="6"/>
  <c r="U497" i="6"/>
  <c r="U498" i="6"/>
  <c r="U499" i="6"/>
  <c r="U500" i="6"/>
  <c r="U501" i="6"/>
  <c r="U502" i="6"/>
  <c r="U503" i="6"/>
  <c r="U504" i="6"/>
  <c r="U505" i="6"/>
  <c r="U506" i="6"/>
  <c r="U507" i="6"/>
  <c r="U508" i="6"/>
  <c r="U509" i="6"/>
  <c r="U510" i="6"/>
  <c r="U511" i="6"/>
  <c r="U512" i="6"/>
  <c r="U513" i="6"/>
  <c r="U514" i="6"/>
  <c r="U515" i="6"/>
  <c r="U516" i="6"/>
  <c r="U491" i="6"/>
  <c r="U406" i="6"/>
  <c r="U407" i="6"/>
  <c r="U408" i="6"/>
  <c r="U409" i="6"/>
  <c r="U410" i="6"/>
  <c r="U411" i="6"/>
  <c r="U412" i="6"/>
  <c r="U413" i="6"/>
  <c r="U414" i="6"/>
  <c r="U415" i="6"/>
  <c r="U416" i="6"/>
  <c r="U417" i="6"/>
  <c r="U418" i="6"/>
  <c r="U419" i="6"/>
  <c r="U420" i="6"/>
  <c r="U421" i="6"/>
  <c r="U422" i="6"/>
  <c r="U423" i="6"/>
  <c r="U424" i="6"/>
  <c r="U425" i="6"/>
  <c r="U426" i="6"/>
  <c r="U427" i="6"/>
  <c r="U428" i="6"/>
  <c r="U429" i="6"/>
  <c r="U430" i="6"/>
  <c r="U431" i="6"/>
  <c r="U432" i="6"/>
  <c r="U433" i="6"/>
  <c r="U434" i="6"/>
  <c r="U435" i="6"/>
  <c r="U436" i="6"/>
  <c r="U437" i="6"/>
  <c r="U438" i="6"/>
  <c r="U439" i="6"/>
  <c r="U440" i="6"/>
  <c r="U441" i="6"/>
  <c r="U442" i="6"/>
  <c r="U443" i="6"/>
  <c r="U444" i="6"/>
  <c r="U445" i="6"/>
  <c r="U446" i="6"/>
  <c r="U447" i="6"/>
  <c r="U448" i="6"/>
  <c r="U449" i="6"/>
  <c r="U450" i="6"/>
  <c r="U451" i="6"/>
  <c r="U452" i="6"/>
  <c r="U453" i="6"/>
  <c r="U454" i="6"/>
  <c r="U455" i="6"/>
  <c r="U456" i="6"/>
  <c r="U457" i="6"/>
  <c r="U458" i="6"/>
  <c r="U459" i="6"/>
  <c r="U460" i="6"/>
  <c r="U461" i="6"/>
  <c r="U462" i="6"/>
  <c r="U463" i="6"/>
  <c r="U464" i="6"/>
  <c r="U465" i="6"/>
  <c r="U466" i="6"/>
  <c r="U467" i="6"/>
  <c r="U468" i="6"/>
  <c r="U469" i="6"/>
  <c r="U470" i="6"/>
  <c r="U471" i="6"/>
  <c r="U472" i="6"/>
  <c r="U473" i="6"/>
  <c r="U474" i="6"/>
  <c r="U475" i="6"/>
  <c r="U476" i="6"/>
  <c r="U477" i="6"/>
  <c r="U478" i="6"/>
  <c r="U479" i="6"/>
  <c r="U480" i="6"/>
  <c r="U481" i="6"/>
  <c r="U482" i="6"/>
  <c r="U483" i="6"/>
  <c r="U484" i="6"/>
  <c r="U485" i="6"/>
  <c r="U486" i="6"/>
  <c r="U405" i="6"/>
  <c r="U308" i="6"/>
  <c r="U309" i="6"/>
  <c r="U310" i="6"/>
  <c r="U311" i="6"/>
  <c r="U312" i="6"/>
  <c r="U313" i="6"/>
  <c r="U314" i="6"/>
  <c r="U315" i="6"/>
  <c r="U316" i="6"/>
  <c r="U317" i="6"/>
  <c r="U318" i="6"/>
  <c r="U319" i="6"/>
  <c r="U320" i="6"/>
  <c r="U321" i="6"/>
  <c r="U322" i="6"/>
  <c r="U323" i="6"/>
  <c r="U324" i="6"/>
  <c r="U325" i="6"/>
  <c r="U326" i="6"/>
  <c r="U327" i="6"/>
  <c r="U328" i="6"/>
  <c r="U329" i="6"/>
  <c r="U330" i="6"/>
  <c r="U331" i="6"/>
  <c r="U332" i="6"/>
  <c r="U333" i="6"/>
  <c r="U334" i="6"/>
  <c r="U335" i="6"/>
  <c r="U336" i="6"/>
  <c r="U337" i="6"/>
  <c r="U338" i="6"/>
  <c r="U339" i="6"/>
  <c r="U340" i="6"/>
  <c r="U341" i="6"/>
  <c r="U342" i="6"/>
  <c r="U343" i="6"/>
  <c r="U344" i="6"/>
  <c r="U345" i="6"/>
  <c r="U346" i="6"/>
  <c r="U347" i="6"/>
  <c r="U348" i="6"/>
  <c r="U349" i="6"/>
  <c r="U350" i="6"/>
  <c r="U351" i="6"/>
  <c r="U352" i="6"/>
  <c r="U353" i="6"/>
  <c r="U354" i="6"/>
  <c r="U355" i="6"/>
  <c r="U356" i="6"/>
  <c r="U357" i="6"/>
  <c r="U358" i="6"/>
  <c r="U359" i="6"/>
  <c r="U360" i="6"/>
  <c r="U361" i="6"/>
  <c r="U362" i="6"/>
  <c r="U363" i="6"/>
  <c r="U364" i="6"/>
  <c r="U365" i="6"/>
  <c r="U366" i="6"/>
  <c r="U367" i="6"/>
  <c r="U368" i="6"/>
  <c r="U369" i="6"/>
  <c r="U370" i="6"/>
  <c r="U371" i="6"/>
  <c r="U372" i="6"/>
  <c r="U373" i="6"/>
  <c r="U374" i="6"/>
  <c r="U375" i="6"/>
  <c r="U376" i="6"/>
  <c r="U377" i="6"/>
  <c r="U378" i="6"/>
  <c r="U379" i="6"/>
  <c r="U380" i="6"/>
  <c r="U381" i="6"/>
  <c r="U382" i="6"/>
  <c r="U383" i="6"/>
  <c r="U384" i="6"/>
  <c r="U385" i="6"/>
  <c r="U386" i="6"/>
  <c r="U387" i="6"/>
  <c r="U388" i="6"/>
  <c r="U389" i="6"/>
  <c r="U390" i="6"/>
  <c r="U391" i="6"/>
  <c r="U392" i="6"/>
  <c r="U393" i="6"/>
  <c r="U394" i="6"/>
  <c r="U395" i="6"/>
  <c r="U396" i="6"/>
  <c r="U397" i="6"/>
  <c r="U398" i="6"/>
  <c r="U399" i="6"/>
  <c r="U241" i="6"/>
  <c r="U242" i="6"/>
  <c r="U243" i="6"/>
  <c r="U244" i="6"/>
  <c r="U245" i="6"/>
  <c r="U246" i="6"/>
  <c r="U247" i="6"/>
  <c r="U248" i="6"/>
  <c r="U249" i="6"/>
  <c r="U250" i="6"/>
  <c r="U251" i="6"/>
  <c r="U252" i="6"/>
  <c r="U253" i="6"/>
  <c r="U254" i="6"/>
  <c r="U255" i="6"/>
  <c r="U256" i="6"/>
  <c r="U257" i="6"/>
  <c r="U258" i="6"/>
  <c r="U259" i="6"/>
  <c r="U260" i="6"/>
  <c r="U261" i="6"/>
  <c r="U262" i="6"/>
  <c r="U263" i="6"/>
  <c r="U264" i="6"/>
  <c r="U265" i="6"/>
  <c r="U266" i="6"/>
  <c r="U267" i="6"/>
  <c r="U268" i="6"/>
  <c r="U269" i="6"/>
  <c r="U270" i="6"/>
  <c r="U271" i="6"/>
  <c r="U272" i="6"/>
  <c r="U273" i="6"/>
  <c r="U274" i="6"/>
  <c r="U275" i="6"/>
  <c r="U276" i="6"/>
  <c r="U277" i="6"/>
  <c r="U278" i="6"/>
  <c r="U279" i="6"/>
  <c r="U280" i="6"/>
  <c r="U281" i="6"/>
  <c r="U282" i="6"/>
  <c r="U283" i="6"/>
  <c r="U284" i="6"/>
  <c r="U285" i="6"/>
  <c r="U286" i="6"/>
  <c r="U287" i="6"/>
  <c r="U288" i="6"/>
  <c r="U289" i="6"/>
  <c r="U290" i="6"/>
  <c r="U291" i="6"/>
  <c r="U292" i="6"/>
  <c r="U293" i="6"/>
  <c r="U294" i="6"/>
  <c r="U295" i="6"/>
  <c r="U296" i="6"/>
  <c r="U297" i="6"/>
  <c r="U298" i="6"/>
  <c r="U299" i="6"/>
  <c r="U300" i="6"/>
  <c r="U301" i="6"/>
  <c r="U302" i="6"/>
  <c r="U303" i="6"/>
  <c r="U304" i="6"/>
  <c r="U305" i="6"/>
  <c r="U306" i="6"/>
  <c r="U307" i="6"/>
  <c r="U240" i="6"/>
  <c r="U239" i="6"/>
  <c r="Q1264" i="6"/>
  <c r="S1264" i="6" s="1"/>
  <c r="P1264" i="6"/>
  <c r="M1264" i="6"/>
  <c r="Q1263" i="6"/>
  <c r="S1263" i="6" s="1"/>
  <c r="P1263" i="6"/>
  <c r="M1263" i="6"/>
  <c r="Q1262" i="6"/>
  <c r="S1262" i="6" s="1"/>
  <c r="P1262" i="6"/>
  <c r="M1262" i="6"/>
  <c r="Q1261" i="6"/>
  <c r="S1261" i="6" s="1"/>
  <c r="P1261" i="6"/>
  <c r="M1261" i="6"/>
  <c r="Q1260" i="6"/>
  <c r="S1260" i="6" s="1"/>
  <c r="P1260" i="6"/>
  <c r="M1260" i="6"/>
  <c r="Q1259" i="6"/>
  <c r="S1259" i="6" s="1"/>
  <c r="P1259" i="6"/>
  <c r="M1259" i="6"/>
  <c r="Q1258" i="6"/>
  <c r="S1258" i="6" s="1"/>
  <c r="P1258" i="6"/>
  <c r="M1258" i="6"/>
  <c r="Q1257" i="6"/>
  <c r="S1257" i="6" s="1"/>
  <c r="P1257" i="6"/>
  <c r="M1257" i="6"/>
  <c r="Q1256" i="6"/>
  <c r="S1256" i="6" s="1"/>
  <c r="P1256" i="6"/>
  <c r="M1256" i="6"/>
  <c r="Q1255" i="6"/>
  <c r="S1255" i="6" s="1"/>
  <c r="P1255" i="6"/>
  <c r="M1255" i="6"/>
  <c r="Q1254" i="6"/>
  <c r="S1254" i="6" s="1"/>
  <c r="P1254" i="6"/>
  <c r="M1254" i="6"/>
  <c r="Q1253" i="6"/>
  <c r="S1253" i="6" s="1"/>
  <c r="P1253" i="6"/>
  <c r="M1253" i="6"/>
  <c r="Q1252" i="6"/>
  <c r="S1252" i="6" s="1"/>
  <c r="P1252" i="6"/>
  <c r="M1252" i="6"/>
  <c r="Q1251" i="6"/>
  <c r="S1251" i="6" s="1"/>
  <c r="P1251" i="6"/>
  <c r="M1251" i="6"/>
  <c r="Q1250" i="6"/>
  <c r="S1250" i="6" s="1"/>
  <c r="P1250" i="6"/>
  <c r="M1250" i="6"/>
  <c r="Q1249" i="6"/>
  <c r="S1249" i="6" s="1"/>
  <c r="P1249" i="6"/>
  <c r="M1249" i="6"/>
  <c r="Q1248" i="6"/>
  <c r="S1248" i="6" s="1"/>
  <c r="P1248" i="6"/>
  <c r="M1248" i="6"/>
  <c r="Q1247" i="6"/>
  <c r="S1247" i="6" s="1"/>
  <c r="P1247" i="6"/>
  <c r="M1247" i="6"/>
  <c r="Q1246" i="6"/>
  <c r="S1246" i="6" s="1"/>
  <c r="P1246" i="6"/>
  <c r="M1246" i="6"/>
  <c r="Q1245" i="6"/>
  <c r="S1245" i="6" s="1"/>
  <c r="P1245" i="6"/>
  <c r="M1245" i="6"/>
  <c r="Q1244" i="6"/>
  <c r="S1244" i="6" s="1"/>
  <c r="P1244" i="6"/>
  <c r="M1244" i="6"/>
  <c r="Q1243" i="6"/>
  <c r="S1243" i="6" s="1"/>
  <c r="P1243" i="6"/>
  <c r="M1243" i="6"/>
  <c r="Q1242" i="6"/>
  <c r="S1242" i="6" s="1"/>
  <c r="P1242" i="6"/>
  <c r="M1242" i="6"/>
  <c r="Q1241" i="6"/>
  <c r="S1241" i="6" s="1"/>
  <c r="P1241" i="6"/>
  <c r="M1241" i="6"/>
  <c r="Q1240" i="6"/>
  <c r="S1240" i="6" s="1"/>
  <c r="P1240" i="6"/>
  <c r="M1240" i="6"/>
  <c r="Q1239" i="6"/>
  <c r="S1239" i="6" s="1"/>
  <c r="P1239" i="6"/>
  <c r="M1239" i="6"/>
  <c r="Q1238" i="6"/>
  <c r="S1238" i="6" s="1"/>
  <c r="P1238" i="6"/>
  <c r="M1238" i="6"/>
  <c r="Q1237" i="6"/>
  <c r="S1237" i="6" s="1"/>
  <c r="P1237" i="6"/>
  <c r="M1237" i="6"/>
  <c r="Q1236" i="6"/>
  <c r="S1236" i="6" s="1"/>
  <c r="P1236" i="6"/>
  <c r="M1236" i="6"/>
  <c r="Q1235" i="6"/>
  <c r="S1235" i="6" s="1"/>
  <c r="P1235" i="6"/>
  <c r="M1235" i="6"/>
  <c r="Q1234" i="6"/>
  <c r="S1234" i="6" s="1"/>
  <c r="P1234" i="6"/>
  <c r="M1234" i="6"/>
  <c r="Q1233" i="6"/>
  <c r="S1233" i="6" s="1"/>
  <c r="P1233" i="6"/>
  <c r="M1233" i="6"/>
  <c r="Q1232" i="6"/>
  <c r="S1232" i="6" s="1"/>
  <c r="P1232" i="6"/>
  <c r="M1232" i="6"/>
  <c r="Q1231" i="6"/>
  <c r="S1231" i="6" s="1"/>
  <c r="P1231" i="6"/>
  <c r="M1231" i="6"/>
  <c r="Q1230" i="6"/>
  <c r="S1230" i="6" s="1"/>
  <c r="P1230" i="6"/>
  <c r="M1230" i="6"/>
  <c r="Q1229" i="6"/>
  <c r="S1229" i="6" s="1"/>
  <c r="P1229" i="6"/>
  <c r="M1229" i="6"/>
  <c r="Q1222" i="6"/>
  <c r="S1222" i="6" s="1"/>
  <c r="P1222" i="6"/>
  <c r="M1222" i="6"/>
  <c r="Q1221" i="6"/>
  <c r="S1221" i="6" s="1"/>
  <c r="P1221" i="6"/>
  <c r="M1221" i="6"/>
  <c r="Q1220" i="6"/>
  <c r="S1220" i="6" s="1"/>
  <c r="P1220" i="6"/>
  <c r="M1220" i="6"/>
  <c r="Q1219" i="6"/>
  <c r="S1219" i="6" s="1"/>
  <c r="P1219" i="6"/>
  <c r="M1219" i="6"/>
  <c r="Q1218" i="6"/>
  <c r="S1218" i="6" s="1"/>
  <c r="P1218" i="6"/>
  <c r="M1218" i="6"/>
  <c r="Q1217" i="6"/>
  <c r="S1217" i="6" s="1"/>
  <c r="P1217" i="6"/>
  <c r="M1217" i="6"/>
  <c r="Q1216" i="6"/>
  <c r="S1216" i="6" s="1"/>
  <c r="P1216" i="6"/>
  <c r="M1216" i="6"/>
  <c r="Q1207" i="6"/>
  <c r="S1207" i="6" s="1"/>
  <c r="P1207" i="6"/>
  <c r="Q1206" i="6"/>
  <c r="S1206" i="6" s="1"/>
  <c r="P1206" i="6"/>
  <c r="Q1205" i="6"/>
  <c r="S1205" i="6" s="1"/>
  <c r="P1205" i="6"/>
  <c r="Q1204" i="6"/>
  <c r="S1204" i="6" s="1"/>
  <c r="P1204" i="6"/>
  <c r="Q1203" i="6"/>
  <c r="S1203" i="6" s="1"/>
  <c r="P1203" i="6"/>
  <c r="Q1202" i="6"/>
  <c r="S1202" i="6" s="1"/>
  <c r="P1202" i="6"/>
  <c r="Q1201" i="6"/>
  <c r="S1201" i="6" s="1"/>
  <c r="P1201" i="6"/>
  <c r="Q1200" i="6"/>
  <c r="S1200" i="6" s="1"/>
  <c r="P1200" i="6"/>
  <c r="Q1199" i="6"/>
  <c r="S1199" i="6" s="1"/>
  <c r="P1199" i="6"/>
  <c r="Q1198" i="6"/>
  <c r="S1198" i="6" s="1"/>
  <c r="P1198" i="6"/>
  <c r="Q1197" i="6"/>
  <c r="S1197" i="6" s="1"/>
  <c r="P1197" i="6"/>
  <c r="Q1196" i="6"/>
  <c r="S1196" i="6" s="1"/>
  <c r="P1196" i="6"/>
  <c r="Q1195" i="6"/>
  <c r="S1195" i="6" s="1"/>
  <c r="P1195" i="6"/>
  <c r="Q1194" i="6"/>
  <c r="S1194" i="6" s="1"/>
  <c r="P1194" i="6"/>
  <c r="Q1193" i="6"/>
  <c r="S1193" i="6" s="1"/>
  <c r="P1193" i="6"/>
  <c r="Q1192" i="6"/>
  <c r="S1192" i="6" s="1"/>
  <c r="P1192" i="6"/>
  <c r="Q1191" i="6"/>
  <c r="S1191" i="6" s="1"/>
  <c r="P1191" i="6"/>
  <c r="Q1190" i="6"/>
  <c r="S1190" i="6" s="1"/>
  <c r="P1190" i="6"/>
  <c r="Q1189" i="6"/>
  <c r="S1189" i="6" s="1"/>
  <c r="P1189" i="6"/>
  <c r="Q1188" i="6"/>
  <c r="S1188" i="6" s="1"/>
  <c r="P1188" i="6"/>
  <c r="Q1187" i="6"/>
  <c r="S1187" i="6" s="1"/>
  <c r="P1187" i="6"/>
  <c r="Q1186" i="6"/>
  <c r="S1186" i="6" s="1"/>
  <c r="P1186" i="6"/>
  <c r="Q1185" i="6"/>
  <c r="S1185" i="6" s="1"/>
  <c r="P1185" i="6"/>
  <c r="Q1184" i="6"/>
  <c r="S1184" i="6" s="1"/>
  <c r="P1184" i="6"/>
  <c r="Q1183" i="6"/>
  <c r="S1183" i="6" s="1"/>
  <c r="P1183" i="6"/>
  <c r="Q1182" i="6"/>
  <c r="S1182" i="6" s="1"/>
  <c r="P1182" i="6"/>
  <c r="Q1181" i="6"/>
  <c r="S1181" i="6" s="1"/>
  <c r="P1181" i="6"/>
  <c r="Q1180" i="6"/>
  <c r="S1180" i="6" s="1"/>
  <c r="P1180" i="6"/>
  <c r="Q1179" i="6"/>
  <c r="S1179" i="6" s="1"/>
  <c r="P1179" i="6"/>
  <c r="Q1178" i="6"/>
  <c r="S1178" i="6" s="1"/>
  <c r="P1178" i="6"/>
  <c r="Q1177" i="6"/>
  <c r="S1177" i="6" s="1"/>
  <c r="P1177" i="6"/>
  <c r="Q1176" i="6"/>
  <c r="S1176" i="6" s="1"/>
  <c r="P1176" i="6"/>
  <c r="Q1175" i="6"/>
  <c r="S1175" i="6" s="1"/>
  <c r="P1175" i="6"/>
  <c r="Q1174" i="6"/>
  <c r="S1174" i="6" s="1"/>
  <c r="P1174" i="6"/>
  <c r="Q1173" i="6"/>
  <c r="S1173" i="6" s="1"/>
  <c r="P1173" i="6"/>
  <c r="Q1172" i="6"/>
  <c r="S1172" i="6" s="1"/>
  <c r="P1172" i="6"/>
  <c r="Q1171" i="6"/>
  <c r="S1171" i="6" s="1"/>
  <c r="P1171" i="6"/>
  <c r="Q1170" i="6"/>
  <c r="S1170" i="6" s="1"/>
  <c r="P1170" i="6"/>
  <c r="Q1169" i="6"/>
  <c r="S1169" i="6" s="1"/>
  <c r="P1169" i="6"/>
  <c r="Q1168" i="6"/>
  <c r="S1168" i="6" s="1"/>
  <c r="P1168" i="6"/>
  <c r="Q1167" i="6"/>
  <c r="S1167" i="6" s="1"/>
  <c r="P1167" i="6"/>
  <c r="Q1166" i="6"/>
  <c r="S1166" i="6" s="1"/>
  <c r="P1166" i="6"/>
  <c r="Q1165" i="6"/>
  <c r="S1165" i="6" s="1"/>
  <c r="P1165" i="6"/>
  <c r="Q1164" i="6"/>
  <c r="S1164" i="6" s="1"/>
  <c r="P1164" i="6"/>
  <c r="Q1163" i="6"/>
  <c r="S1163" i="6" s="1"/>
  <c r="P1163" i="6"/>
  <c r="Q1162" i="6"/>
  <c r="S1162" i="6" s="1"/>
  <c r="P1162" i="6"/>
  <c r="Q1161" i="6"/>
  <c r="S1161" i="6" s="1"/>
  <c r="P1161" i="6"/>
  <c r="Q1160" i="6"/>
  <c r="S1160" i="6" s="1"/>
  <c r="P1160" i="6"/>
  <c r="Q1159" i="6"/>
  <c r="S1159" i="6" s="1"/>
  <c r="P1159" i="6"/>
  <c r="M1159" i="6"/>
  <c r="Q1158" i="6"/>
  <c r="S1158" i="6" s="1"/>
  <c r="P1158" i="6"/>
  <c r="M1158" i="6"/>
  <c r="Q1157" i="6"/>
  <c r="S1157" i="6" s="1"/>
  <c r="P1157" i="6"/>
  <c r="M1157" i="6"/>
  <c r="Q1156" i="6"/>
  <c r="S1156" i="6" s="1"/>
  <c r="P1156" i="6"/>
  <c r="M1156" i="6"/>
  <c r="Q1155" i="6"/>
  <c r="S1155" i="6" s="1"/>
  <c r="P1155" i="6"/>
  <c r="M1155" i="6"/>
  <c r="Q1154" i="6"/>
  <c r="S1154" i="6" s="1"/>
  <c r="P1154" i="6"/>
  <c r="M1154" i="6"/>
  <c r="Q1153" i="6"/>
  <c r="S1153" i="6" s="1"/>
  <c r="P1153" i="6"/>
  <c r="M1153" i="6"/>
  <c r="Q1152" i="6"/>
  <c r="S1152" i="6" s="1"/>
  <c r="P1152" i="6"/>
  <c r="M1152" i="6"/>
  <c r="Q1151" i="6"/>
  <c r="S1151" i="6" s="1"/>
  <c r="P1151" i="6"/>
  <c r="M1151" i="6"/>
  <c r="Q1150" i="6"/>
  <c r="S1150" i="6" s="1"/>
  <c r="P1150" i="6"/>
  <c r="M1150" i="6"/>
  <c r="Q1149" i="6"/>
  <c r="S1149" i="6" s="1"/>
  <c r="P1149" i="6"/>
  <c r="M1149" i="6"/>
  <c r="Q1148" i="6"/>
  <c r="S1148" i="6" s="1"/>
  <c r="P1148" i="6"/>
  <c r="M1148" i="6"/>
  <c r="Q1147" i="6"/>
  <c r="S1147" i="6" s="1"/>
  <c r="P1147" i="6"/>
  <c r="M1147" i="6"/>
  <c r="Q1146" i="6"/>
  <c r="S1146" i="6" s="1"/>
  <c r="P1146" i="6"/>
  <c r="M1146" i="6"/>
  <c r="Q1145" i="6"/>
  <c r="S1145" i="6" s="1"/>
  <c r="P1145" i="6"/>
  <c r="M1145" i="6"/>
  <c r="Q1144" i="6"/>
  <c r="S1144" i="6" s="1"/>
  <c r="P1144" i="6"/>
  <c r="M1144" i="6"/>
  <c r="Q1143" i="6"/>
  <c r="S1143" i="6" s="1"/>
  <c r="P1143" i="6"/>
  <c r="M1143" i="6"/>
  <c r="Q1142" i="6"/>
  <c r="S1142" i="6" s="1"/>
  <c r="P1142" i="6"/>
  <c r="M1142" i="6"/>
  <c r="Q1141" i="6"/>
  <c r="S1141" i="6" s="1"/>
  <c r="P1141" i="6"/>
  <c r="M1141" i="6"/>
  <c r="Q1140" i="6"/>
  <c r="S1140" i="6" s="1"/>
  <c r="P1140" i="6"/>
  <c r="M1140" i="6"/>
  <c r="Q1139" i="6"/>
  <c r="S1139" i="6" s="1"/>
  <c r="P1139" i="6"/>
  <c r="M1139" i="6"/>
  <c r="Q1138" i="6"/>
  <c r="S1138" i="6" s="1"/>
  <c r="P1138" i="6"/>
  <c r="M1138" i="6"/>
  <c r="Q1137" i="6"/>
  <c r="S1137" i="6" s="1"/>
  <c r="P1137" i="6"/>
  <c r="M1137" i="6"/>
  <c r="Q1136" i="6"/>
  <c r="S1136" i="6" s="1"/>
  <c r="P1136" i="6"/>
  <c r="M1136" i="6"/>
  <c r="Q1135" i="6"/>
  <c r="S1135" i="6" s="1"/>
  <c r="P1135" i="6"/>
  <c r="M1135" i="6"/>
  <c r="Q1134" i="6"/>
  <c r="S1134" i="6" s="1"/>
  <c r="P1134" i="6"/>
  <c r="M1134" i="6"/>
  <c r="Q1133" i="6"/>
  <c r="S1133" i="6" s="1"/>
  <c r="P1133" i="6"/>
  <c r="M1133" i="6"/>
  <c r="Q1132" i="6"/>
  <c r="S1132" i="6" s="1"/>
  <c r="P1132" i="6"/>
  <c r="M1132" i="6"/>
  <c r="Q1131" i="6"/>
  <c r="S1131" i="6" s="1"/>
  <c r="P1131" i="6"/>
  <c r="M1131" i="6"/>
  <c r="Q1130" i="6"/>
  <c r="S1130" i="6" s="1"/>
  <c r="P1130" i="6"/>
  <c r="M1130" i="6"/>
  <c r="Q1129" i="6"/>
  <c r="S1129" i="6" s="1"/>
  <c r="P1129" i="6"/>
  <c r="M1129" i="6"/>
  <c r="Q1128" i="6"/>
  <c r="S1128" i="6" s="1"/>
  <c r="P1128" i="6"/>
  <c r="M1128" i="6"/>
  <c r="Q1127" i="6"/>
  <c r="S1127" i="6" s="1"/>
  <c r="P1127" i="6"/>
  <c r="M1127" i="6"/>
  <c r="Q1126" i="6"/>
  <c r="S1126" i="6" s="1"/>
  <c r="P1126" i="6"/>
  <c r="M1126" i="6"/>
  <c r="Q1125" i="6"/>
  <c r="S1125" i="6" s="1"/>
  <c r="P1125" i="6"/>
  <c r="M1125" i="6"/>
  <c r="Q1124" i="6"/>
  <c r="S1124" i="6" s="1"/>
  <c r="P1124" i="6"/>
  <c r="M1124" i="6"/>
  <c r="Q1123" i="6"/>
  <c r="S1123" i="6" s="1"/>
  <c r="P1123" i="6"/>
  <c r="M1123" i="6"/>
  <c r="Q1122" i="6"/>
  <c r="S1122" i="6" s="1"/>
  <c r="P1122" i="6"/>
  <c r="M1122" i="6"/>
  <c r="Q1121" i="6"/>
  <c r="S1121" i="6" s="1"/>
  <c r="P1121" i="6"/>
  <c r="M1121" i="6"/>
  <c r="Q1120" i="6"/>
  <c r="S1120" i="6" s="1"/>
  <c r="P1120" i="6"/>
  <c r="M1120" i="6"/>
  <c r="Q1119" i="6"/>
  <c r="S1119" i="6" s="1"/>
  <c r="P1119" i="6"/>
  <c r="M1119" i="6"/>
  <c r="Q1111" i="6"/>
  <c r="S1111" i="6" s="1"/>
  <c r="P1111" i="6"/>
  <c r="M1111" i="6"/>
  <c r="Q1110" i="6"/>
  <c r="S1110" i="6" s="1"/>
  <c r="P1110" i="6"/>
  <c r="M1110" i="6"/>
  <c r="Q1109" i="6"/>
  <c r="S1109" i="6" s="1"/>
  <c r="P1109" i="6"/>
  <c r="M1109" i="6"/>
  <c r="Q1108" i="6"/>
  <c r="S1108" i="6" s="1"/>
  <c r="P1108" i="6"/>
  <c r="M1108" i="6"/>
  <c r="Q1107" i="6"/>
  <c r="S1107" i="6" s="1"/>
  <c r="P1107" i="6"/>
  <c r="M1107" i="6"/>
  <c r="Q1106" i="6"/>
  <c r="S1106" i="6" s="1"/>
  <c r="P1106" i="6"/>
  <c r="M1106" i="6"/>
  <c r="Q1105" i="6"/>
  <c r="S1105" i="6" s="1"/>
  <c r="P1105" i="6"/>
  <c r="M1105" i="6"/>
  <c r="Q1104" i="6"/>
  <c r="S1104" i="6" s="1"/>
  <c r="P1104" i="6"/>
  <c r="M1104" i="6"/>
  <c r="Q1103" i="6"/>
  <c r="S1103" i="6" s="1"/>
  <c r="P1103" i="6"/>
  <c r="M1103" i="6"/>
  <c r="Q1102" i="6"/>
  <c r="S1102" i="6" s="1"/>
  <c r="P1102" i="6"/>
  <c r="M1102" i="6"/>
  <c r="Q1093" i="6"/>
  <c r="S1093" i="6" s="1"/>
  <c r="P1093" i="6"/>
  <c r="M1093" i="6"/>
  <c r="Q1092" i="6"/>
  <c r="S1092" i="6" s="1"/>
  <c r="P1092" i="6"/>
  <c r="M1092" i="6"/>
  <c r="Q1091" i="6"/>
  <c r="S1091" i="6" s="1"/>
  <c r="P1091" i="6"/>
  <c r="M1091" i="6"/>
  <c r="Q1090" i="6"/>
  <c r="S1090" i="6" s="1"/>
  <c r="P1090" i="6"/>
  <c r="M1090" i="6"/>
  <c r="Q1089" i="6"/>
  <c r="S1089" i="6" s="1"/>
  <c r="P1089" i="6"/>
  <c r="M1089" i="6"/>
  <c r="Q1088" i="6"/>
  <c r="S1088" i="6" s="1"/>
  <c r="P1088" i="6"/>
  <c r="M1088" i="6"/>
  <c r="Q1087" i="6"/>
  <c r="S1087" i="6" s="1"/>
  <c r="P1087" i="6"/>
  <c r="M1087" i="6"/>
  <c r="Q1086" i="6"/>
  <c r="S1086" i="6" s="1"/>
  <c r="P1086" i="6"/>
  <c r="M1086" i="6"/>
  <c r="Q1085" i="6"/>
  <c r="S1085" i="6" s="1"/>
  <c r="P1085" i="6"/>
  <c r="M1085" i="6"/>
  <c r="Q1084" i="6"/>
  <c r="S1084" i="6" s="1"/>
  <c r="P1084" i="6"/>
  <c r="M1084" i="6"/>
  <c r="Q1083" i="6"/>
  <c r="S1083" i="6" s="1"/>
  <c r="P1083" i="6"/>
  <c r="M1083" i="6"/>
  <c r="Q1082" i="6"/>
  <c r="S1082" i="6" s="1"/>
  <c r="P1082" i="6"/>
  <c r="M1082" i="6"/>
  <c r="Q1081" i="6"/>
  <c r="S1081" i="6" s="1"/>
  <c r="P1081" i="6"/>
  <c r="M1081" i="6"/>
  <c r="Q1080" i="6"/>
  <c r="S1080" i="6" s="1"/>
  <c r="P1080" i="6"/>
  <c r="M1080" i="6"/>
  <c r="Q1079" i="6"/>
  <c r="S1079" i="6" s="1"/>
  <c r="P1079" i="6"/>
  <c r="M1079" i="6"/>
  <c r="Q1078" i="6"/>
  <c r="S1078" i="6" s="1"/>
  <c r="P1078" i="6"/>
  <c r="M1078" i="6"/>
  <c r="Q1077" i="6"/>
  <c r="S1077" i="6" s="1"/>
  <c r="P1077" i="6"/>
  <c r="M1077" i="6"/>
  <c r="Q1076" i="6"/>
  <c r="S1076" i="6" s="1"/>
  <c r="P1076" i="6"/>
  <c r="M1076" i="6"/>
  <c r="Q1075" i="6"/>
  <c r="S1075" i="6" s="1"/>
  <c r="P1075" i="6"/>
  <c r="M1075" i="6"/>
  <c r="Q1074" i="6"/>
  <c r="S1074" i="6" s="1"/>
  <c r="P1074" i="6"/>
  <c r="M1074" i="6"/>
  <c r="Q1073" i="6"/>
  <c r="S1073" i="6" s="1"/>
  <c r="P1073" i="6"/>
  <c r="M1073" i="6"/>
  <c r="Q1072" i="6"/>
  <c r="S1072" i="6" s="1"/>
  <c r="P1072" i="6"/>
  <c r="M1072" i="6"/>
  <c r="Q1071" i="6"/>
  <c r="S1071" i="6" s="1"/>
  <c r="P1071" i="6"/>
  <c r="M1071" i="6"/>
  <c r="Q1064" i="6"/>
  <c r="S1064" i="6" s="1"/>
  <c r="P1064" i="6"/>
  <c r="M1064" i="6"/>
  <c r="Q1063" i="6"/>
  <c r="S1063" i="6" s="1"/>
  <c r="P1063" i="6"/>
  <c r="M1063" i="6"/>
  <c r="Q1062" i="6"/>
  <c r="S1062" i="6" s="1"/>
  <c r="P1062" i="6"/>
  <c r="M1062" i="6"/>
  <c r="Q1061" i="6"/>
  <c r="S1061" i="6" s="1"/>
  <c r="P1061" i="6"/>
  <c r="M1061" i="6"/>
  <c r="Q1060" i="6"/>
  <c r="S1060" i="6" s="1"/>
  <c r="P1060" i="6"/>
  <c r="M1060" i="6"/>
  <c r="Q1059" i="6"/>
  <c r="S1059" i="6" s="1"/>
  <c r="P1059" i="6"/>
  <c r="M1059" i="6"/>
  <c r="Q1058" i="6"/>
  <c r="S1058" i="6" s="1"/>
  <c r="P1058" i="6"/>
  <c r="M1058" i="6"/>
  <c r="Q1057" i="6"/>
  <c r="S1057" i="6" s="1"/>
  <c r="P1057" i="6"/>
  <c r="M1057" i="6"/>
  <c r="Q1056" i="6"/>
  <c r="S1056" i="6" s="1"/>
  <c r="P1056" i="6"/>
  <c r="M1056" i="6"/>
  <c r="Q1055" i="6"/>
  <c r="S1055" i="6" s="1"/>
  <c r="P1055" i="6"/>
  <c r="M1055" i="6"/>
  <c r="Q1054" i="6"/>
  <c r="S1054" i="6" s="1"/>
  <c r="P1054" i="6"/>
  <c r="M1054" i="6"/>
  <c r="Q1053" i="6"/>
  <c r="S1053" i="6" s="1"/>
  <c r="P1053" i="6"/>
  <c r="M1053" i="6"/>
  <c r="Q1052" i="6"/>
  <c r="S1052" i="6" s="1"/>
  <c r="P1052" i="6"/>
  <c r="M1052" i="6"/>
  <c r="Q1051" i="6"/>
  <c r="S1051" i="6" s="1"/>
  <c r="P1051" i="6"/>
  <c r="M1051" i="6"/>
  <c r="Q1050" i="6"/>
  <c r="S1050" i="6" s="1"/>
  <c r="P1050" i="6"/>
  <c r="M1050" i="6"/>
  <c r="Q1049" i="6"/>
  <c r="S1049" i="6" s="1"/>
  <c r="P1049" i="6"/>
  <c r="M1049" i="6"/>
  <c r="Q1048" i="6"/>
  <c r="S1048" i="6" s="1"/>
  <c r="P1048" i="6"/>
  <c r="M1048" i="6"/>
  <c r="Q1047" i="6"/>
  <c r="S1047" i="6" s="1"/>
  <c r="P1047" i="6"/>
  <c r="M1047" i="6"/>
  <c r="Q1046" i="6"/>
  <c r="S1046" i="6" s="1"/>
  <c r="P1046" i="6"/>
  <c r="M1046" i="6"/>
  <c r="Q1045" i="6"/>
  <c r="S1045" i="6" s="1"/>
  <c r="P1045" i="6"/>
  <c r="M1045" i="6"/>
  <c r="Q1044" i="6"/>
  <c r="S1044" i="6" s="1"/>
  <c r="P1044" i="6"/>
  <c r="M1044" i="6"/>
  <c r="Q1043" i="6"/>
  <c r="S1043" i="6" s="1"/>
  <c r="P1043" i="6"/>
  <c r="M1043" i="6"/>
  <c r="Q1042" i="6"/>
  <c r="S1042" i="6" s="1"/>
  <c r="P1042" i="6"/>
  <c r="M1042" i="6"/>
  <c r="Q1041" i="6"/>
  <c r="S1041" i="6" s="1"/>
  <c r="P1041" i="6"/>
  <c r="M1041" i="6"/>
  <c r="Q1040" i="6"/>
  <c r="S1040" i="6" s="1"/>
  <c r="P1040" i="6"/>
  <c r="M1040" i="6"/>
  <c r="Q1039" i="6"/>
  <c r="S1039" i="6" s="1"/>
  <c r="P1039" i="6"/>
  <c r="M1039" i="6"/>
  <c r="Q1038" i="6"/>
  <c r="S1038" i="6" s="1"/>
  <c r="P1038" i="6"/>
  <c r="M1038" i="6"/>
  <c r="Q1037" i="6"/>
  <c r="S1037" i="6" s="1"/>
  <c r="P1037" i="6"/>
  <c r="M1037" i="6"/>
  <c r="Q1036" i="6"/>
  <c r="S1036" i="6" s="1"/>
  <c r="P1036" i="6"/>
  <c r="M1036" i="6"/>
  <c r="Q1035" i="6"/>
  <c r="S1035" i="6" s="1"/>
  <c r="P1035" i="6"/>
  <c r="M1035" i="6"/>
  <c r="Q1034" i="6"/>
  <c r="S1034" i="6" s="1"/>
  <c r="P1034" i="6"/>
  <c r="M1034" i="6"/>
  <c r="Q1033" i="6"/>
  <c r="S1033" i="6" s="1"/>
  <c r="P1033" i="6"/>
  <c r="M1033" i="6"/>
  <c r="Q1032" i="6"/>
  <c r="S1032" i="6" s="1"/>
  <c r="P1032" i="6"/>
  <c r="M1032" i="6"/>
  <c r="Q1031" i="6"/>
  <c r="S1031" i="6" s="1"/>
  <c r="P1031" i="6"/>
  <c r="M1031" i="6"/>
  <c r="Q1030" i="6"/>
  <c r="S1030" i="6" s="1"/>
  <c r="P1030" i="6"/>
  <c r="M1030" i="6"/>
  <c r="Q1029" i="6"/>
  <c r="S1029" i="6" s="1"/>
  <c r="P1029" i="6"/>
  <c r="M1029" i="6"/>
  <c r="Q1028" i="6"/>
  <c r="S1028" i="6" s="1"/>
  <c r="P1028" i="6"/>
  <c r="M1028" i="6"/>
  <c r="Q1027" i="6"/>
  <c r="S1027" i="6" s="1"/>
  <c r="P1027" i="6"/>
  <c r="M1027" i="6"/>
  <c r="Q1026" i="6"/>
  <c r="S1026" i="6" s="1"/>
  <c r="P1026" i="6"/>
  <c r="M1026" i="6"/>
  <c r="Q1025" i="6"/>
  <c r="S1025" i="6" s="1"/>
  <c r="P1025" i="6"/>
  <c r="M1025" i="6"/>
  <c r="Q1024" i="6"/>
  <c r="S1024" i="6" s="1"/>
  <c r="P1024" i="6"/>
  <c r="M1024" i="6"/>
  <c r="Q1023" i="6"/>
  <c r="S1023" i="6" s="1"/>
  <c r="P1023" i="6"/>
  <c r="M1023" i="6"/>
  <c r="Q1022" i="6"/>
  <c r="S1022" i="6" s="1"/>
  <c r="P1022" i="6"/>
  <c r="M1022" i="6"/>
  <c r="Q1021" i="6"/>
  <c r="S1021" i="6" s="1"/>
  <c r="P1021" i="6"/>
  <c r="M1021" i="6"/>
  <c r="Q1020" i="6"/>
  <c r="S1020" i="6" s="1"/>
  <c r="P1020" i="6"/>
  <c r="M1020" i="6"/>
  <c r="Q1019" i="6"/>
  <c r="S1019" i="6" s="1"/>
  <c r="P1019" i="6"/>
  <c r="M1019" i="6"/>
  <c r="Q1018" i="6"/>
  <c r="S1018" i="6" s="1"/>
  <c r="P1018" i="6"/>
  <c r="M1018" i="6"/>
  <c r="Q1017" i="6"/>
  <c r="S1017" i="6" s="1"/>
  <c r="P1017" i="6"/>
  <c r="M1017" i="6"/>
  <c r="Q1016" i="6"/>
  <c r="S1016" i="6" s="1"/>
  <c r="P1016" i="6"/>
  <c r="M1016" i="6"/>
  <c r="Q1015" i="6"/>
  <c r="S1015" i="6" s="1"/>
  <c r="P1015" i="6"/>
  <c r="M1015" i="6"/>
  <c r="Q1014" i="6"/>
  <c r="S1014" i="6" s="1"/>
  <c r="P1014" i="6"/>
  <c r="M1014" i="6"/>
  <c r="Q1013" i="6"/>
  <c r="S1013" i="6" s="1"/>
  <c r="P1013" i="6"/>
  <c r="M1013" i="6"/>
  <c r="Q1012" i="6"/>
  <c r="S1012" i="6" s="1"/>
  <c r="P1012" i="6"/>
  <c r="M1012" i="6"/>
  <c r="Q1011" i="6"/>
  <c r="S1011" i="6" s="1"/>
  <c r="P1011" i="6"/>
  <c r="M1011" i="6"/>
  <c r="Q1010" i="6"/>
  <c r="S1010" i="6" s="1"/>
  <c r="P1010" i="6"/>
  <c r="M1010" i="6"/>
  <c r="Q1009" i="6"/>
  <c r="S1009" i="6" s="1"/>
  <c r="P1009" i="6"/>
  <c r="M1009" i="6"/>
  <c r="Q1008" i="6"/>
  <c r="S1008" i="6" s="1"/>
  <c r="P1008" i="6"/>
  <c r="M1008" i="6"/>
  <c r="Q1007" i="6"/>
  <c r="S1007" i="6" s="1"/>
  <c r="P1007" i="6"/>
  <c r="M1007" i="6"/>
  <c r="Q1006" i="6"/>
  <c r="S1006" i="6" s="1"/>
  <c r="P1006" i="6"/>
  <c r="M1006" i="6"/>
  <c r="Q1005" i="6"/>
  <c r="S1005" i="6" s="1"/>
  <c r="P1005" i="6"/>
  <c r="M1005" i="6"/>
  <c r="Q1004" i="6"/>
  <c r="S1004" i="6" s="1"/>
  <c r="P1004" i="6"/>
  <c r="M1004" i="6"/>
  <c r="Q1003" i="6"/>
  <c r="S1003" i="6" s="1"/>
  <c r="P1003" i="6"/>
  <c r="M1003" i="6"/>
  <c r="Q1002" i="6"/>
  <c r="S1002" i="6" s="1"/>
  <c r="P1002" i="6"/>
  <c r="M1002" i="6"/>
  <c r="Q1001" i="6"/>
  <c r="S1001" i="6" s="1"/>
  <c r="P1001" i="6"/>
  <c r="M1001" i="6"/>
  <c r="Q1000" i="6"/>
  <c r="S1000" i="6" s="1"/>
  <c r="P1000" i="6"/>
  <c r="M1000" i="6"/>
  <c r="Q999" i="6"/>
  <c r="S999" i="6" s="1"/>
  <c r="P999" i="6"/>
  <c r="M999" i="6"/>
  <c r="Q998" i="6"/>
  <c r="S998" i="6" s="1"/>
  <c r="P998" i="6"/>
  <c r="M998" i="6"/>
  <c r="Q997" i="6"/>
  <c r="S997" i="6" s="1"/>
  <c r="P997" i="6"/>
  <c r="M997" i="6"/>
  <c r="Q996" i="6"/>
  <c r="S996" i="6" s="1"/>
  <c r="P996" i="6"/>
  <c r="M996" i="6"/>
  <c r="Q995" i="6"/>
  <c r="S995" i="6" s="1"/>
  <c r="P995" i="6"/>
  <c r="M995" i="6"/>
  <c r="Q994" i="6"/>
  <c r="S994" i="6" s="1"/>
  <c r="P994" i="6"/>
  <c r="M994" i="6"/>
  <c r="Q993" i="6"/>
  <c r="S993" i="6" s="1"/>
  <c r="P993" i="6"/>
  <c r="M993" i="6"/>
  <c r="Q992" i="6"/>
  <c r="S992" i="6" s="1"/>
  <c r="P992" i="6"/>
  <c r="M992" i="6"/>
  <c r="Q991" i="6"/>
  <c r="S991" i="6" s="1"/>
  <c r="P991" i="6"/>
  <c r="M991" i="6"/>
  <c r="Q990" i="6"/>
  <c r="S990" i="6" s="1"/>
  <c r="P990" i="6"/>
  <c r="M990" i="6"/>
  <c r="Q989" i="6"/>
  <c r="S989" i="6" s="1"/>
  <c r="P989" i="6"/>
  <c r="M989" i="6"/>
  <c r="Q988" i="6"/>
  <c r="S988" i="6" s="1"/>
  <c r="P988" i="6"/>
  <c r="M988" i="6"/>
  <c r="Q987" i="6"/>
  <c r="S987" i="6" s="1"/>
  <c r="P987" i="6"/>
  <c r="M987" i="6"/>
  <c r="Q986" i="6"/>
  <c r="S986" i="6" s="1"/>
  <c r="P986" i="6"/>
  <c r="M986" i="6"/>
  <c r="Q985" i="6"/>
  <c r="S985" i="6" s="1"/>
  <c r="P985" i="6"/>
  <c r="M985" i="6"/>
  <c r="Q984" i="6"/>
  <c r="S984" i="6" s="1"/>
  <c r="P984" i="6"/>
  <c r="M984" i="6"/>
  <c r="Q983" i="6"/>
  <c r="S983" i="6" s="1"/>
  <c r="P983" i="6"/>
  <c r="M983" i="6"/>
  <c r="Q982" i="6"/>
  <c r="S982" i="6" s="1"/>
  <c r="P982" i="6"/>
  <c r="M982" i="6"/>
  <c r="Q981" i="6"/>
  <c r="S981" i="6" s="1"/>
  <c r="P981" i="6"/>
  <c r="M981" i="6"/>
  <c r="Q980" i="6"/>
  <c r="S980" i="6" s="1"/>
  <c r="P980" i="6"/>
  <c r="M980" i="6"/>
  <c r="Q979" i="6"/>
  <c r="S979" i="6" s="1"/>
  <c r="P979" i="6"/>
  <c r="M979" i="6"/>
  <c r="Q978" i="6"/>
  <c r="S978" i="6" s="1"/>
  <c r="P978" i="6"/>
  <c r="M978" i="6"/>
  <c r="Q977" i="6"/>
  <c r="S977" i="6" s="1"/>
  <c r="P977" i="6"/>
  <c r="M977" i="6"/>
  <c r="Q976" i="6"/>
  <c r="S976" i="6" s="1"/>
  <c r="P976" i="6"/>
  <c r="M976" i="6"/>
  <c r="Q975" i="6"/>
  <c r="S975" i="6" s="1"/>
  <c r="P975" i="6"/>
  <c r="M975" i="6"/>
  <c r="Q974" i="6"/>
  <c r="S974" i="6" s="1"/>
  <c r="P974" i="6"/>
  <c r="M974" i="6"/>
  <c r="Q973" i="6"/>
  <c r="S973" i="6" s="1"/>
  <c r="P973" i="6"/>
  <c r="M973" i="6"/>
  <c r="Q972" i="6"/>
  <c r="S972" i="6" s="1"/>
  <c r="P972" i="6"/>
  <c r="M972" i="6"/>
  <c r="Q971" i="6"/>
  <c r="S971" i="6" s="1"/>
  <c r="P971" i="6"/>
  <c r="M971" i="6"/>
  <c r="Q970" i="6"/>
  <c r="S970" i="6" s="1"/>
  <c r="P970" i="6"/>
  <c r="M970" i="6"/>
  <c r="Q969" i="6"/>
  <c r="S969" i="6" s="1"/>
  <c r="P969" i="6"/>
  <c r="M969" i="6"/>
  <c r="Q968" i="6"/>
  <c r="S968" i="6" s="1"/>
  <c r="P968" i="6"/>
  <c r="M968" i="6"/>
  <c r="Q967" i="6"/>
  <c r="S967" i="6" s="1"/>
  <c r="P967" i="6"/>
  <c r="M967" i="6"/>
  <c r="Q966" i="6"/>
  <c r="S966" i="6" s="1"/>
  <c r="P966" i="6"/>
  <c r="M966" i="6"/>
  <c r="Q965" i="6"/>
  <c r="S965" i="6" s="1"/>
  <c r="P965" i="6"/>
  <c r="M965" i="6"/>
  <c r="Q964" i="6"/>
  <c r="S964" i="6" s="1"/>
  <c r="P964" i="6"/>
  <c r="M964" i="6"/>
  <c r="Q963" i="6"/>
  <c r="S963" i="6" s="1"/>
  <c r="P963" i="6"/>
  <c r="M963" i="6"/>
  <c r="Q962" i="6"/>
  <c r="S962" i="6" s="1"/>
  <c r="P962" i="6"/>
  <c r="M962" i="6"/>
  <c r="Q961" i="6"/>
  <c r="S961" i="6" s="1"/>
  <c r="P961" i="6"/>
  <c r="M961" i="6"/>
  <c r="Q960" i="6"/>
  <c r="S960" i="6" s="1"/>
  <c r="P960" i="6"/>
  <c r="M960" i="6"/>
  <c r="Q959" i="6"/>
  <c r="S959" i="6" s="1"/>
  <c r="P959" i="6"/>
  <c r="M959" i="6"/>
  <c r="Q958" i="6"/>
  <c r="S958" i="6" s="1"/>
  <c r="P958" i="6"/>
  <c r="M958" i="6"/>
  <c r="Q957" i="6"/>
  <c r="S957" i="6" s="1"/>
  <c r="P957" i="6"/>
  <c r="M957" i="6"/>
  <c r="Q956" i="6"/>
  <c r="S956" i="6" s="1"/>
  <c r="P956" i="6"/>
  <c r="M956" i="6"/>
  <c r="Q955" i="6"/>
  <c r="S955" i="6" s="1"/>
  <c r="P955" i="6"/>
  <c r="M955" i="6"/>
  <c r="Q954" i="6"/>
  <c r="S954" i="6" s="1"/>
  <c r="P954" i="6"/>
  <c r="M954" i="6"/>
  <c r="Q953" i="6"/>
  <c r="S953" i="6" s="1"/>
  <c r="P953" i="6"/>
  <c r="M953" i="6"/>
  <c r="Q952" i="6"/>
  <c r="S952" i="6" s="1"/>
  <c r="P952" i="6"/>
  <c r="M952" i="6"/>
  <c r="Q951" i="6"/>
  <c r="S951" i="6" s="1"/>
  <c r="P951" i="6"/>
  <c r="M951" i="6"/>
  <c r="Q950" i="6"/>
  <c r="S950" i="6" s="1"/>
  <c r="P950" i="6"/>
  <c r="M950" i="6"/>
  <c r="Q949" i="6"/>
  <c r="S949" i="6" s="1"/>
  <c r="P949" i="6"/>
  <c r="M949" i="6"/>
  <c r="Q948" i="6"/>
  <c r="S948" i="6" s="1"/>
  <c r="P948" i="6"/>
  <c r="M948" i="6"/>
  <c r="Q947" i="6"/>
  <c r="S947" i="6" s="1"/>
  <c r="P947" i="6"/>
  <c r="M947" i="6"/>
  <c r="Q946" i="6"/>
  <c r="S946" i="6" s="1"/>
  <c r="P946" i="6"/>
  <c r="M946" i="6"/>
  <c r="Q945" i="6"/>
  <c r="S945" i="6" s="1"/>
  <c r="P945" i="6"/>
  <c r="M945" i="6"/>
  <c r="Q944" i="6"/>
  <c r="S944" i="6" s="1"/>
  <c r="P944" i="6"/>
  <c r="M944" i="6"/>
  <c r="Q943" i="6"/>
  <c r="S943" i="6" s="1"/>
  <c r="P943" i="6"/>
  <c r="M943" i="6"/>
  <c r="Q942" i="6"/>
  <c r="S942" i="6" s="1"/>
  <c r="P942" i="6"/>
  <c r="M942" i="6"/>
  <c r="Q941" i="6"/>
  <c r="S941" i="6" s="1"/>
  <c r="P941" i="6"/>
  <c r="M941" i="6"/>
  <c r="Q940" i="6"/>
  <c r="S940" i="6" s="1"/>
  <c r="P940" i="6"/>
  <c r="M940" i="6"/>
  <c r="Q939" i="6"/>
  <c r="S939" i="6" s="1"/>
  <c r="P939" i="6"/>
  <c r="M939" i="6"/>
  <c r="Q938" i="6"/>
  <c r="S938" i="6" s="1"/>
  <c r="P938" i="6"/>
  <c r="M938" i="6"/>
  <c r="Q937" i="6"/>
  <c r="S937" i="6" s="1"/>
  <c r="P937" i="6"/>
  <c r="M937" i="6"/>
  <c r="Q936" i="6"/>
  <c r="S936" i="6" s="1"/>
  <c r="P936" i="6"/>
  <c r="M936" i="6"/>
  <c r="Q935" i="6"/>
  <c r="S935" i="6" s="1"/>
  <c r="P935" i="6"/>
  <c r="M935" i="6"/>
  <c r="Q934" i="6"/>
  <c r="S934" i="6" s="1"/>
  <c r="P934" i="6"/>
  <c r="M934" i="6"/>
  <c r="Q925" i="6"/>
  <c r="S925" i="6" s="1"/>
  <c r="P925" i="6"/>
  <c r="M925" i="6"/>
  <c r="Q924" i="6"/>
  <c r="S924" i="6" s="1"/>
  <c r="P924" i="6"/>
  <c r="M924" i="6"/>
  <c r="Q923" i="6"/>
  <c r="S923" i="6" s="1"/>
  <c r="P923" i="6"/>
  <c r="M923" i="6"/>
  <c r="Q922" i="6"/>
  <c r="S922" i="6" s="1"/>
  <c r="P922" i="6"/>
  <c r="M922" i="6"/>
  <c r="Q921" i="6"/>
  <c r="S921" i="6" s="1"/>
  <c r="P921" i="6"/>
  <c r="M921" i="6"/>
  <c r="Q920" i="6"/>
  <c r="S920" i="6" s="1"/>
  <c r="P920" i="6"/>
  <c r="M920" i="6"/>
  <c r="Q919" i="6"/>
  <c r="S919" i="6" s="1"/>
  <c r="P919" i="6"/>
  <c r="M919" i="6"/>
  <c r="Q918" i="6"/>
  <c r="S918" i="6" s="1"/>
  <c r="P918" i="6"/>
  <c r="M918" i="6"/>
  <c r="Q917" i="6"/>
  <c r="S917" i="6" s="1"/>
  <c r="P917" i="6"/>
  <c r="M917" i="6"/>
  <c r="Q916" i="6"/>
  <c r="S916" i="6" s="1"/>
  <c r="P916" i="6"/>
  <c r="M916" i="6"/>
  <c r="Q915" i="6"/>
  <c r="S915" i="6" s="1"/>
  <c r="P915" i="6"/>
  <c r="M915" i="6"/>
  <c r="Q914" i="6"/>
  <c r="S914" i="6" s="1"/>
  <c r="P914" i="6"/>
  <c r="M914" i="6"/>
  <c r="Q913" i="6"/>
  <c r="S913" i="6" s="1"/>
  <c r="P913" i="6"/>
  <c r="M913" i="6"/>
  <c r="Q912" i="6"/>
  <c r="S912" i="6" s="1"/>
  <c r="P912" i="6"/>
  <c r="M912" i="6"/>
  <c r="Q911" i="6"/>
  <c r="S911" i="6" s="1"/>
  <c r="P911" i="6"/>
  <c r="M911" i="6"/>
  <c r="Q910" i="6"/>
  <c r="S910" i="6" s="1"/>
  <c r="P910" i="6"/>
  <c r="M910" i="6"/>
  <c r="Q909" i="6"/>
  <c r="S909" i="6" s="1"/>
  <c r="P909" i="6"/>
  <c r="M909" i="6"/>
  <c r="Q908" i="6"/>
  <c r="S908" i="6" s="1"/>
  <c r="P908" i="6"/>
  <c r="M908" i="6"/>
  <c r="Q907" i="6"/>
  <c r="S907" i="6" s="1"/>
  <c r="P907" i="6"/>
  <c r="M907" i="6"/>
  <c r="Q906" i="6"/>
  <c r="S906" i="6" s="1"/>
  <c r="P906" i="6"/>
  <c r="M906" i="6"/>
  <c r="Q905" i="6"/>
  <c r="S905" i="6" s="1"/>
  <c r="P905" i="6"/>
  <c r="M905" i="6"/>
  <c r="Q904" i="6"/>
  <c r="S904" i="6" s="1"/>
  <c r="P904" i="6"/>
  <c r="M904" i="6"/>
  <c r="Q903" i="6"/>
  <c r="S903" i="6" s="1"/>
  <c r="P903" i="6"/>
  <c r="M903" i="6"/>
  <c r="Q902" i="6"/>
  <c r="S902" i="6" s="1"/>
  <c r="P902" i="6"/>
  <c r="M902" i="6"/>
  <c r="Q901" i="6"/>
  <c r="S901" i="6" s="1"/>
  <c r="P901" i="6"/>
  <c r="M901" i="6"/>
  <c r="Q900" i="6"/>
  <c r="S900" i="6" s="1"/>
  <c r="P900" i="6"/>
  <c r="M900" i="6"/>
  <c r="Q899" i="6"/>
  <c r="S899" i="6" s="1"/>
  <c r="P899" i="6"/>
  <c r="M899" i="6"/>
  <c r="Q898" i="6"/>
  <c r="S898" i="6" s="1"/>
  <c r="P898" i="6"/>
  <c r="M898" i="6"/>
  <c r="Q897" i="6"/>
  <c r="S897" i="6" s="1"/>
  <c r="P897" i="6"/>
  <c r="M897" i="6"/>
  <c r="Q896" i="6"/>
  <c r="S896" i="6" s="1"/>
  <c r="P896" i="6"/>
  <c r="M896" i="6"/>
  <c r="Q895" i="6"/>
  <c r="S895" i="6" s="1"/>
  <c r="P895" i="6"/>
  <c r="M895" i="6"/>
  <c r="Q894" i="6"/>
  <c r="S894" i="6" s="1"/>
  <c r="P894" i="6"/>
  <c r="M894" i="6"/>
  <c r="Q893" i="6"/>
  <c r="S893" i="6" s="1"/>
  <c r="P893" i="6"/>
  <c r="M893" i="6"/>
  <c r="Q892" i="6"/>
  <c r="S892" i="6" s="1"/>
  <c r="P892" i="6"/>
  <c r="M892" i="6"/>
  <c r="Q891" i="6"/>
  <c r="S891" i="6" s="1"/>
  <c r="P891" i="6"/>
  <c r="M891" i="6"/>
  <c r="Q890" i="6"/>
  <c r="S890" i="6" s="1"/>
  <c r="P890" i="6"/>
  <c r="M890" i="6"/>
  <c r="Q889" i="6"/>
  <c r="S889" i="6" s="1"/>
  <c r="P889" i="6"/>
  <c r="M889" i="6"/>
  <c r="Q888" i="6"/>
  <c r="S888" i="6" s="1"/>
  <c r="P888" i="6"/>
  <c r="M888" i="6"/>
  <c r="Q887" i="6"/>
  <c r="S887" i="6" s="1"/>
  <c r="P887" i="6"/>
  <c r="M887" i="6"/>
  <c r="Q886" i="6"/>
  <c r="S886" i="6" s="1"/>
  <c r="P886" i="6"/>
  <c r="M886" i="6"/>
  <c r="Q885" i="6"/>
  <c r="S885" i="6" s="1"/>
  <c r="P885" i="6"/>
  <c r="M885" i="6"/>
  <c r="Q884" i="6"/>
  <c r="S884" i="6" s="1"/>
  <c r="P884" i="6"/>
  <c r="M884" i="6"/>
  <c r="Q883" i="6"/>
  <c r="S883" i="6" s="1"/>
  <c r="P883" i="6"/>
  <c r="M883" i="6"/>
  <c r="Q882" i="6"/>
  <c r="S882" i="6" s="1"/>
  <c r="P882" i="6"/>
  <c r="M882" i="6"/>
  <c r="Q881" i="6"/>
  <c r="S881" i="6" s="1"/>
  <c r="P881" i="6"/>
  <c r="M881" i="6"/>
  <c r="Q880" i="6"/>
  <c r="S880" i="6" s="1"/>
  <c r="P880" i="6"/>
  <c r="M880" i="6"/>
  <c r="Q879" i="6"/>
  <c r="S879" i="6" s="1"/>
  <c r="P879" i="6"/>
  <c r="M879" i="6"/>
  <c r="Q878" i="6"/>
  <c r="S878" i="6" s="1"/>
  <c r="P878" i="6"/>
  <c r="M878" i="6"/>
  <c r="Q870" i="6"/>
  <c r="S870" i="6" s="1"/>
  <c r="P870" i="6"/>
  <c r="M870" i="6"/>
  <c r="Q869" i="6"/>
  <c r="S869" i="6" s="1"/>
  <c r="P869" i="6"/>
  <c r="M869" i="6"/>
  <c r="Q868" i="6"/>
  <c r="S868" i="6" s="1"/>
  <c r="P868" i="6"/>
  <c r="M868" i="6"/>
  <c r="Q867" i="6"/>
  <c r="S867" i="6" s="1"/>
  <c r="P867" i="6"/>
  <c r="M867" i="6"/>
  <c r="Q866" i="6"/>
  <c r="S866" i="6" s="1"/>
  <c r="P866" i="6"/>
  <c r="M866" i="6"/>
  <c r="Q865" i="6"/>
  <c r="S865" i="6" s="1"/>
  <c r="P865" i="6"/>
  <c r="M865" i="6"/>
  <c r="Q864" i="6"/>
  <c r="S864" i="6" s="1"/>
  <c r="P864" i="6"/>
  <c r="M864" i="6"/>
  <c r="Q863" i="6"/>
  <c r="S863" i="6" s="1"/>
  <c r="P863" i="6"/>
  <c r="M863" i="6"/>
  <c r="Q862" i="6"/>
  <c r="S862" i="6" s="1"/>
  <c r="P862" i="6"/>
  <c r="M862" i="6"/>
  <c r="Q861" i="6"/>
  <c r="S861" i="6" s="1"/>
  <c r="P861" i="6"/>
  <c r="M861" i="6"/>
  <c r="Q860" i="6"/>
  <c r="S860" i="6" s="1"/>
  <c r="P860" i="6"/>
  <c r="M860" i="6"/>
  <c r="Q859" i="6"/>
  <c r="S859" i="6" s="1"/>
  <c r="P859" i="6"/>
  <c r="M859" i="6"/>
  <c r="Q857" i="6"/>
  <c r="S857" i="6" s="1"/>
  <c r="P857" i="6"/>
  <c r="M857" i="6"/>
  <c r="Q856" i="6"/>
  <c r="S856" i="6" s="1"/>
  <c r="P856" i="6"/>
  <c r="M856" i="6"/>
  <c r="Q855" i="6"/>
  <c r="S855" i="6" s="1"/>
  <c r="P855" i="6"/>
  <c r="M855" i="6"/>
  <c r="Q854" i="6"/>
  <c r="S854" i="6" s="1"/>
  <c r="P854" i="6"/>
  <c r="M854" i="6"/>
  <c r="Q853" i="6"/>
  <c r="S853" i="6" s="1"/>
  <c r="P853" i="6"/>
  <c r="M853" i="6"/>
  <c r="Q852" i="6"/>
  <c r="S852" i="6" s="1"/>
  <c r="P852" i="6"/>
  <c r="M852" i="6"/>
  <c r="Q851" i="6"/>
  <c r="S851" i="6" s="1"/>
  <c r="P851" i="6"/>
  <c r="M851" i="6"/>
  <c r="Q850" i="6"/>
  <c r="S850" i="6" s="1"/>
  <c r="P850" i="6"/>
  <c r="M850" i="6"/>
  <c r="Q849" i="6"/>
  <c r="S849" i="6" s="1"/>
  <c r="P849" i="6"/>
  <c r="M849" i="6"/>
  <c r="Q848" i="6"/>
  <c r="S848" i="6" s="1"/>
  <c r="P848" i="6"/>
  <c r="M848" i="6"/>
  <c r="Q847" i="6"/>
  <c r="S847" i="6" s="1"/>
  <c r="P847" i="6"/>
  <c r="M847" i="6"/>
  <c r="Q846" i="6"/>
  <c r="S846" i="6" s="1"/>
  <c r="P846" i="6"/>
  <c r="M846" i="6"/>
  <c r="Q845" i="6"/>
  <c r="S845" i="6" s="1"/>
  <c r="P845" i="6"/>
  <c r="M845" i="6"/>
  <c r="Q844" i="6"/>
  <c r="S844" i="6" s="1"/>
  <c r="P844" i="6"/>
  <c r="M844" i="6"/>
  <c r="Q843" i="6"/>
  <c r="S843" i="6" s="1"/>
  <c r="P843" i="6"/>
  <c r="M843" i="6"/>
  <c r="Q842" i="6"/>
  <c r="S842" i="6" s="1"/>
  <c r="P842" i="6"/>
  <c r="M842" i="6"/>
  <c r="P841" i="6"/>
  <c r="K841" i="6"/>
  <c r="Q841" i="6" s="1"/>
  <c r="S841" i="6" s="1"/>
  <c r="P840" i="6"/>
  <c r="K840" i="6"/>
  <c r="Q840" i="6" s="1"/>
  <c r="S840" i="6" s="1"/>
  <c r="P839" i="6"/>
  <c r="K839" i="6"/>
  <c r="M839" i="6" s="1"/>
  <c r="P838" i="6"/>
  <c r="K838" i="6"/>
  <c r="P837" i="6"/>
  <c r="K837" i="6"/>
  <c r="P836" i="6"/>
  <c r="K836" i="6"/>
  <c r="P835" i="6"/>
  <c r="K835" i="6"/>
  <c r="P834" i="6"/>
  <c r="K834" i="6"/>
  <c r="Q834" i="6" s="1"/>
  <c r="S834" i="6" s="1"/>
  <c r="P833" i="6"/>
  <c r="K833" i="6"/>
  <c r="P832" i="6"/>
  <c r="K832" i="6"/>
  <c r="Q832" i="6" s="1"/>
  <c r="S832" i="6" s="1"/>
  <c r="P831" i="6"/>
  <c r="K831" i="6"/>
  <c r="P830" i="6"/>
  <c r="K830" i="6"/>
  <c r="P829" i="6"/>
  <c r="K829" i="6"/>
  <c r="Q829" i="6" s="1"/>
  <c r="S829" i="6" s="1"/>
  <c r="P828" i="6"/>
  <c r="K828" i="6"/>
  <c r="M828" i="6" s="1"/>
  <c r="P827" i="6"/>
  <c r="K827" i="6"/>
  <c r="M827" i="6" s="1"/>
  <c r="P826" i="6"/>
  <c r="K826" i="6"/>
  <c r="P825" i="6"/>
  <c r="K825" i="6"/>
  <c r="Q825" i="6" s="1"/>
  <c r="S825" i="6" s="1"/>
  <c r="P824" i="6"/>
  <c r="K824" i="6"/>
  <c r="M824" i="6" s="1"/>
  <c r="P823" i="6"/>
  <c r="K823" i="6"/>
  <c r="M823" i="6" s="1"/>
  <c r="P822" i="6"/>
  <c r="K822" i="6"/>
  <c r="P821" i="6"/>
  <c r="K821" i="6"/>
  <c r="P820" i="6"/>
  <c r="K820" i="6"/>
  <c r="P819" i="6"/>
  <c r="K819" i="6"/>
  <c r="P818" i="6"/>
  <c r="K818" i="6"/>
  <c r="Q818" i="6" s="1"/>
  <c r="S818" i="6" s="1"/>
  <c r="P817" i="6"/>
  <c r="K817" i="6"/>
  <c r="P816" i="6"/>
  <c r="K816" i="6"/>
  <c r="P815" i="6"/>
  <c r="K815" i="6"/>
  <c r="M815" i="6" s="1"/>
  <c r="P814" i="6"/>
  <c r="K814" i="6"/>
  <c r="Q814" i="6" s="1"/>
  <c r="S814" i="6" s="1"/>
  <c r="P813" i="6"/>
  <c r="K813" i="6"/>
  <c r="Q813" i="6" s="1"/>
  <c r="S813" i="6" s="1"/>
  <c r="P812" i="6"/>
  <c r="K812" i="6"/>
  <c r="P811" i="6"/>
  <c r="K811" i="6"/>
  <c r="Q811" i="6" s="1"/>
  <c r="S811" i="6" s="1"/>
  <c r="P810" i="6"/>
  <c r="K810" i="6"/>
  <c r="Q810" i="6" s="1"/>
  <c r="S810" i="6" s="1"/>
  <c r="P809" i="6"/>
  <c r="K809" i="6"/>
  <c r="Q809" i="6" s="1"/>
  <c r="S809" i="6" s="1"/>
  <c r="P808" i="6"/>
  <c r="K808" i="6"/>
  <c r="P807" i="6"/>
  <c r="K807" i="6"/>
  <c r="M807" i="6" s="1"/>
  <c r="P806" i="6"/>
  <c r="K806" i="6"/>
  <c r="P805" i="6"/>
  <c r="K805" i="6"/>
  <c r="P804" i="6"/>
  <c r="K804" i="6"/>
  <c r="Q804" i="6" s="1"/>
  <c r="S804" i="6" s="1"/>
  <c r="Q803" i="6"/>
  <c r="S803" i="6" s="1"/>
  <c r="P803" i="6"/>
  <c r="M803" i="6"/>
  <c r="P802" i="6"/>
  <c r="K802" i="6"/>
  <c r="Q802" i="6" s="1"/>
  <c r="S802" i="6" s="1"/>
  <c r="P801" i="6"/>
  <c r="K801" i="6"/>
  <c r="P800" i="6"/>
  <c r="K800" i="6"/>
  <c r="M800" i="6" s="1"/>
  <c r="P799" i="6"/>
  <c r="K799" i="6"/>
  <c r="Q799" i="6" s="1"/>
  <c r="S799" i="6" s="1"/>
  <c r="P798" i="6"/>
  <c r="K798" i="6"/>
  <c r="M798" i="6" s="1"/>
  <c r="P797" i="6"/>
  <c r="K797" i="6"/>
  <c r="M797" i="6" s="1"/>
  <c r="P796" i="6"/>
  <c r="K796" i="6"/>
  <c r="Q796" i="6" s="1"/>
  <c r="S796" i="6" s="1"/>
  <c r="P795" i="6"/>
  <c r="K795" i="6"/>
  <c r="Q795" i="6" s="1"/>
  <c r="S795" i="6" s="1"/>
  <c r="Q787" i="6"/>
  <c r="S787" i="6" s="1"/>
  <c r="P787" i="6"/>
  <c r="M787" i="6"/>
  <c r="Q786" i="6"/>
  <c r="S786" i="6" s="1"/>
  <c r="P786" i="6"/>
  <c r="M786" i="6"/>
  <c r="Q785" i="6"/>
  <c r="S785" i="6" s="1"/>
  <c r="P785" i="6"/>
  <c r="M785" i="6"/>
  <c r="Q784" i="6"/>
  <c r="S784" i="6" s="1"/>
  <c r="P784" i="6"/>
  <c r="M784" i="6"/>
  <c r="Q783" i="6"/>
  <c r="S783" i="6" s="1"/>
  <c r="P783" i="6"/>
  <c r="M783" i="6"/>
  <c r="Q782" i="6"/>
  <c r="S782" i="6" s="1"/>
  <c r="P782" i="6"/>
  <c r="M782" i="6"/>
  <c r="Q781" i="6"/>
  <c r="S781" i="6" s="1"/>
  <c r="P781" i="6"/>
  <c r="M781" i="6"/>
  <c r="Q780" i="6"/>
  <c r="S780" i="6" s="1"/>
  <c r="P780" i="6"/>
  <c r="M780" i="6"/>
  <c r="Q779" i="6"/>
  <c r="S779" i="6" s="1"/>
  <c r="P779" i="6"/>
  <c r="M779" i="6"/>
  <c r="Q778" i="6"/>
  <c r="S778" i="6" s="1"/>
  <c r="P778" i="6"/>
  <c r="M778" i="6"/>
  <c r="Q777" i="6"/>
  <c r="S777" i="6" s="1"/>
  <c r="P777" i="6"/>
  <c r="M777" i="6"/>
  <c r="Q776" i="6"/>
  <c r="S776" i="6" s="1"/>
  <c r="P776" i="6"/>
  <c r="M776" i="6"/>
  <c r="Q775" i="6"/>
  <c r="S775" i="6" s="1"/>
  <c r="P775" i="6"/>
  <c r="M775" i="6"/>
  <c r="Q774" i="6"/>
  <c r="S774" i="6" s="1"/>
  <c r="P774" i="6"/>
  <c r="M774" i="6"/>
  <c r="Q773" i="6"/>
  <c r="S773" i="6" s="1"/>
  <c r="P773" i="6"/>
  <c r="M773" i="6"/>
  <c r="Q772" i="6"/>
  <c r="S772" i="6" s="1"/>
  <c r="P772" i="6"/>
  <c r="M772" i="6"/>
  <c r="Q771" i="6"/>
  <c r="S771" i="6" s="1"/>
  <c r="P771" i="6"/>
  <c r="M771" i="6"/>
  <c r="Q770" i="6"/>
  <c r="S770" i="6" s="1"/>
  <c r="P770" i="6"/>
  <c r="M770" i="6"/>
  <c r="Q769" i="6"/>
  <c r="S769" i="6" s="1"/>
  <c r="P769" i="6"/>
  <c r="M769" i="6"/>
  <c r="Q768" i="6"/>
  <c r="S768" i="6" s="1"/>
  <c r="P768" i="6"/>
  <c r="M768" i="6"/>
  <c r="Q767" i="6"/>
  <c r="S767" i="6" s="1"/>
  <c r="P767" i="6"/>
  <c r="M767" i="6"/>
  <c r="Q766" i="6"/>
  <c r="S766" i="6" s="1"/>
  <c r="P766" i="6"/>
  <c r="M766" i="6"/>
  <c r="Q765" i="6"/>
  <c r="S765" i="6" s="1"/>
  <c r="P765" i="6"/>
  <c r="M765" i="6"/>
  <c r="Q764" i="6"/>
  <c r="S764" i="6" s="1"/>
  <c r="P764" i="6"/>
  <c r="M764" i="6"/>
  <c r="Q763" i="6"/>
  <c r="S763" i="6" s="1"/>
  <c r="P763" i="6"/>
  <c r="M763" i="6"/>
  <c r="Q762" i="6"/>
  <c r="S762" i="6" s="1"/>
  <c r="P762" i="6"/>
  <c r="M762" i="6"/>
  <c r="Q761" i="6"/>
  <c r="S761" i="6" s="1"/>
  <c r="P761" i="6"/>
  <c r="M761" i="6"/>
  <c r="Q760" i="6"/>
  <c r="S760" i="6" s="1"/>
  <c r="P760" i="6"/>
  <c r="M760" i="6"/>
  <c r="Q759" i="6"/>
  <c r="S759" i="6" s="1"/>
  <c r="P759" i="6"/>
  <c r="M759" i="6"/>
  <c r="Q758" i="6"/>
  <c r="S758" i="6" s="1"/>
  <c r="P758" i="6"/>
  <c r="M758" i="6"/>
  <c r="T751" i="6"/>
  <c r="V751" i="6" s="1"/>
  <c r="T750" i="6"/>
  <c r="V750" i="6" s="1"/>
  <c r="T749" i="6"/>
  <c r="V749" i="6" s="1"/>
  <c r="T748" i="6"/>
  <c r="V748" i="6" s="1"/>
  <c r="T747" i="6"/>
  <c r="V747" i="6" s="1"/>
  <c r="T746" i="6"/>
  <c r="V746" i="6" s="1"/>
  <c r="T745" i="6"/>
  <c r="V745" i="6" s="1"/>
  <c r="T744" i="6"/>
  <c r="V744" i="6" s="1"/>
  <c r="T743" i="6"/>
  <c r="V743" i="6" s="1"/>
  <c r="T742" i="6"/>
  <c r="V742" i="6" s="1"/>
  <c r="T741" i="6"/>
  <c r="V741" i="6" s="1"/>
  <c r="T740" i="6"/>
  <c r="V740" i="6" s="1"/>
  <c r="T739" i="6"/>
  <c r="V739" i="6" s="1"/>
  <c r="T738" i="6"/>
  <c r="V738" i="6" s="1"/>
  <c r="T737" i="6"/>
  <c r="V737" i="6" s="1"/>
  <c r="T736" i="6"/>
  <c r="V736" i="6" s="1"/>
  <c r="T735" i="6"/>
  <c r="V735" i="6" s="1"/>
  <c r="T734" i="6"/>
  <c r="V734" i="6" s="1"/>
  <c r="T733" i="6"/>
  <c r="V733" i="6" s="1"/>
  <c r="T732" i="6"/>
  <c r="V732" i="6" s="1"/>
  <c r="T731" i="6"/>
  <c r="V731" i="6" s="1"/>
  <c r="T730" i="6"/>
  <c r="V730" i="6" s="1"/>
  <c r="T729" i="6"/>
  <c r="V729" i="6" s="1"/>
  <c r="T728" i="6"/>
  <c r="V728" i="6" s="1"/>
  <c r="T727" i="6"/>
  <c r="V727" i="6" s="1"/>
  <c r="T726" i="6"/>
  <c r="V726" i="6" s="1"/>
  <c r="S726" i="6"/>
  <c r="P726" i="6"/>
  <c r="M726" i="6"/>
  <c r="T725" i="6"/>
  <c r="V725" i="6" s="1"/>
  <c r="S725" i="6"/>
  <c r="P725" i="6"/>
  <c r="M725" i="6"/>
  <c r="T724" i="6"/>
  <c r="V724" i="6" s="1"/>
  <c r="T723" i="6"/>
  <c r="V723" i="6" s="1"/>
  <c r="T722" i="6"/>
  <c r="V722" i="6" s="1"/>
  <c r="T721" i="6"/>
  <c r="V721" i="6" s="1"/>
  <c r="T720" i="6"/>
  <c r="V720" i="6" s="1"/>
  <c r="T719" i="6"/>
  <c r="V719" i="6" s="1"/>
  <c r="T718" i="6"/>
  <c r="V718" i="6" s="1"/>
  <c r="T717" i="6"/>
  <c r="V717" i="6" s="1"/>
  <c r="T716" i="6"/>
  <c r="V716" i="6" s="1"/>
  <c r="N709" i="6"/>
  <c r="Q709" i="6" s="1"/>
  <c r="S709" i="6" s="1"/>
  <c r="M709" i="6"/>
  <c r="N708" i="6"/>
  <c r="Q708" i="6" s="1"/>
  <c r="S708" i="6" s="1"/>
  <c r="M708" i="6"/>
  <c r="N707" i="6"/>
  <c r="M707" i="6"/>
  <c r="N706" i="6"/>
  <c r="P706" i="6" s="1"/>
  <c r="M706" i="6"/>
  <c r="N705" i="6"/>
  <c r="P705" i="6" s="1"/>
  <c r="M705" i="6"/>
  <c r="N704" i="6"/>
  <c r="Q704" i="6" s="1"/>
  <c r="S704" i="6" s="1"/>
  <c r="M704" i="6"/>
  <c r="N703" i="6"/>
  <c r="M703" i="6"/>
  <c r="N702" i="6"/>
  <c r="M702" i="6"/>
  <c r="N701" i="6"/>
  <c r="Q701" i="6" s="1"/>
  <c r="S701" i="6" s="1"/>
  <c r="M701" i="6"/>
  <c r="N700" i="6"/>
  <c r="Q700" i="6" s="1"/>
  <c r="S700" i="6" s="1"/>
  <c r="M700" i="6"/>
  <c r="N699" i="6"/>
  <c r="Q699" i="6" s="1"/>
  <c r="S699" i="6" s="1"/>
  <c r="M699" i="6"/>
  <c r="N698" i="6"/>
  <c r="P698" i="6" s="1"/>
  <c r="M698" i="6"/>
  <c r="N697" i="6"/>
  <c r="P697" i="6" s="1"/>
  <c r="M697" i="6"/>
  <c r="N696" i="6"/>
  <c r="Q696" i="6" s="1"/>
  <c r="S696" i="6" s="1"/>
  <c r="M696" i="6"/>
  <c r="N695" i="6"/>
  <c r="Q695" i="6" s="1"/>
  <c r="S695" i="6" s="1"/>
  <c r="M695" i="6"/>
  <c r="N694" i="6"/>
  <c r="P694" i="6" s="1"/>
  <c r="M694" i="6"/>
  <c r="N693" i="6"/>
  <c r="P693" i="6" s="1"/>
  <c r="M693" i="6"/>
  <c r="N692" i="6"/>
  <c r="Q692" i="6" s="1"/>
  <c r="S692" i="6" s="1"/>
  <c r="M692" i="6"/>
  <c r="N691" i="6"/>
  <c r="M691" i="6"/>
  <c r="N690" i="6"/>
  <c r="P690" i="6" s="1"/>
  <c r="M690" i="6"/>
  <c r="N689" i="6"/>
  <c r="P689" i="6" s="1"/>
  <c r="M689" i="6"/>
  <c r="N688" i="6"/>
  <c r="Q688" i="6" s="1"/>
  <c r="S688" i="6" s="1"/>
  <c r="M688" i="6"/>
  <c r="N687" i="6"/>
  <c r="Q687" i="6" s="1"/>
  <c r="S687" i="6" s="1"/>
  <c r="M687" i="6"/>
  <c r="N686" i="6"/>
  <c r="M686" i="6"/>
  <c r="N685" i="6"/>
  <c r="Q685" i="6" s="1"/>
  <c r="S685" i="6" s="1"/>
  <c r="M685" i="6"/>
  <c r="N684" i="6"/>
  <c r="Q684" i="6" s="1"/>
  <c r="S684" i="6" s="1"/>
  <c r="M684" i="6"/>
  <c r="N683" i="6"/>
  <c r="Q683" i="6" s="1"/>
  <c r="S683" i="6" s="1"/>
  <c r="M683" i="6"/>
  <c r="N682" i="6"/>
  <c r="P682" i="6" s="1"/>
  <c r="M682" i="6"/>
  <c r="N681" i="6"/>
  <c r="Q681" i="6" s="1"/>
  <c r="S681" i="6" s="1"/>
  <c r="M681" i="6"/>
  <c r="N680" i="6"/>
  <c r="Q680" i="6" s="1"/>
  <c r="S680" i="6" s="1"/>
  <c r="M680" i="6"/>
  <c r="N679" i="6"/>
  <c r="Q679" i="6" s="1"/>
  <c r="S679" i="6" s="1"/>
  <c r="M679" i="6"/>
  <c r="N678" i="6"/>
  <c r="P678" i="6" s="1"/>
  <c r="M678" i="6"/>
  <c r="N677" i="6"/>
  <c r="P677" i="6" s="1"/>
  <c r="M677" i="6"/>
  <c r="N676" i="6"/>
  <c r="Q676" i="6" s="1"/>
  <c r="S676" i="6" s="1"/>
  <c r="M676" i="6"/>
  <c r="N675" i="6"/>
  <c r="M675" i="6"/>
  <c r="N674" i="6"/>
  <c r="P674" i="6" s="1"/>
  <c r="M674" i="6"/>
  <c r="N673" i="6"/>
  <c r="P673" i="6" s="1"/>
  <c r="M673" i="6"/>
  <c r="N672" i="6"/>
  <c r="Q672" i="6" s="1"/>
  <c r="S672" i="6" s="1"/>
  <c r="M672" i="6"/>
  <c r="N671" i="6"/>
  <c r="Q671" i="6" s="1"/>
  <c r="S671" i="6" s="1"/>
  <c r="M671" i="6"/>
  <c r="N670" i="6"/>
  <c r="M670" i="6"/>
  <c r="N669" i="6"/>
  <c r="M669" i="6"/>
  <c r="N668" i="6"/>
  <c r="Q668" i="6" s="1"/>
  <c r="S668" i="6" s="1"/>
  <c r="M668" i="6"/>
  <c r="N667" i="6"/>
  <c r="Q667" i="6" s="1"/>
  <c r="S667" i="6" s="1"/>
  <c r="M667" i="6"/>
  <c r="N666" i="6"/>
  <c r="M666" i="6"/>
  <c r="N665" i="6"/>
  <c r="Q665" i="6" s="1"/>
  <c r="S665" i="6" s="1"/>
  <c r="M665" i="6"/>
  <c r="N664" i="6"/>
  <c r="Q664" i="6" s="1"/>
  <c r="S664" i="6" s="1"/>
  <c r="M664" i="6"/>
  <c r="N663" i="6"/>
  <c r="M663" i="6"/>
  <c r="N662" i="6"/>
  <c r="P662" i="6" s="1"/>
  <c r="M662" i="6"/>
  <c r="Q656" i="6"/>
  <c r="S656" i="6" s="1"/>
  <c r="P656" i="6"/>
  <c r="M656" i="6"/>
  <c r="Q655" i="6"/>
  <c r="S655" i="6" s="1"/>
  <c r="P655" i="6"/>
  <c r="M655" i="6"/>
  <c r="Q654" i="6"/>
  <c r="S654" i="6" s="1"/>
  <c r="P654" i="6"/>
  <c r="M654" i="6"/>
  <c r="Q653" i="6"/>
  <c r="S653" i="6" s="1"/>
  <c r="P653" i="6"/>
  <c r="M653" i="6"/>
  <c r="Q652" i="6"/>
  <c r="S652" i="6" s="1"/>
  <c r="P652" i="6"/>
  <c r="M652" i="6"/>
  <c r="Q651" i="6"/>
  <c r="S651" i="6" s="1"/>
  <c r="P651" i="6"/>
  <c r="M651" i="6"/>
  <c r="Q650" i="6"/>
  <c r="S650" i="6" s="1"/>
  <c r="P650" i="6"/>
  <c r="M650" i="6"/>
  <c r="Q649" i="6"/>
  <c r="S649" i="6" s="1"/>
  <c r="P649" i="6"/>
  <c r="M649" i="6"/>
  <c r="Q648" i="6"/>
  <c r="S648" i="6" s="1"/>
  <c r="P648" i="6"/>
  <c r="M648" i="6"/>
  <c r="Q647" i="6"/>
  <c r="S647" i="6" s="1"/>
  <c r="P647" i="6"/>
  <c r="M647" i="6"/>
  <c r="Q646" i="6"/>
  <c r="S646" i="6" s="1"/>
  <c r="P646" i="6"/>
  <c r="M646" i="6"/>
  <c r="Q645" i="6"/>
  <c r="S645" i="6" s="1"/>
  <c r="P645" i="6"/>
  <c r="M645" i="6"/>
  <c r="Q644" i="6"/>
  <c r="S644" i="6" s="1"/>
  <c r="P644" i="6"/>
  <c r="M644" i="6"/>
  <c r="Q643" i="6"/>
  <c r="S643" i="6" s="1"/>
  <c r="P643" i="6"/>
  <c r="M643" i="6"/>
  <c r="Q642" i="6"/>
  <c r="S642" i="6" s="1"/>
  <c r="P642" i="6"/>
  <c r="M642" i="6"/>
  <c r="Q641" i="6"/>
  <c r="S641" i="6" s="1"/>
  <c r="P641" i="6"/>
  <c r="M641" i="6"/>
  <c r="Q640" i="6"/>
  <c r="S640" i="6" s="1"/>
  <c r="P640" i="6"/>
  <c r="M640" i="6"/>
  <c r="Q639" i="6"/>
  <c r="S639" i="6" s="1"/>
  <c r="P639" i="6"/>
  <c r="M639" i="6"/>
  <c r="Q638" i="6"/>
  <c r="S638" i="6" s="1"/>
  <c r="P638" i="6"/>
  <c r="M638" i="6"/>
  <c r="Q637" i="6"/>
  <c r="S637" i="6" s="1"/>
  <c r="P637" i="6"/>
  <c r="M637" i="6"/>
  <c r="Q636" i="6"/>
  <c r="S636" i="6" s="1"/>
  <c r="P636" i="6"/>
  <c r="M636" i="6"/>
  <c r="Q635" i="6"/>
  <c r="S635" i="6" s="1"/>
  <c r="P635" i="6"/>
  <c r="M635" i="6"/>
  <c r="Q634" i="6"/>
  <c r="S634" i="6" s="1"/>
  <c r="P634" i="6"/>
  <c r="M634" i="6"/>
  <c r="Q633" i="6"/>
  <c r="S633" i="6" s="1"/>
  <c r="P633" i="6"/>
  <c r="M633" i="6"/>
  <c r="Q625" i="6"/>
  <c r="S625" i="6" s="1"/>
  <c r="P625" i="6"/>
  <c r="M625" i="6"/>
  <c r="Q624" i="6"/>
  <c r="S624" i="6" s="1"/>
  <c r="P624" i="6"/>
  <c r="M624" i="6"/>
  <c r="Q623" i="6"/>
  <c r="S623" i="6" s="1"/>
  <c r="P623" i="6"/>
  <c r="M623" i="6"/>
  <c r="Q622" i="6"/>
  <c r="S622" i="6" s="1"/>
  <c r="P622" i="6"/>
  <c r="M622" i="6"/>
  <c r="Q621" i="6"/>
  <c r="S621" i="6" s="1"/>
  <c r="P621" i="6"/>
  <c r="M621" i="6"/>
  <c r="Q620" i="6"/>
  <c r="S620" i="6" s="1"/>
  <c r="P620" i="6"/>
  <c r="M620" i="6"/>
  <c r="Q619" i="6"/>
  <c r="S619" i="6" s="1"/>
  <c r="P619" i="6"/>
  <c r="M619" i="6"/>
  <c r="Q618" i="6"/>
  <c r="S618" i="6" s="1"/>
  <c r="P618" i="6"/>
  <c r="M618" i="6"/>
  <c r="Q617" i="6"/>
  <c r="S617" i="6" s="1"/>
  <c r="P617" i="6"/>
  <c r="M617" i="6"/>
  <c r="Q616" i="6"/>
  <c r="S616" i="6" s="1"/>
  <c r="P616" i="6"/>
  <c r="M616" i="6"/>
  <c r="Q615" i="6"/>
  <c r="S615" i="6" s="1"/>
  <c r="P615" i="6"/>
  <c r="M615" i="6"/>
  <c r="Q614" i="6"/>
  <c r="S614" i="6" s="1"/>
  <c r="P614" i="6"/>
  <c r="M614" i="6"/>
  <c r="Q613" i="6"/>
  <c r="S613" i="6" s="1"/>
  <c r="P613" i="6"/>
  <c r="M613" i="6"/>
  <c r="Q612" i="6"/>
  <c r="S612" i="6" s="1"/>
  <c r="P612" i="6"/>
  <c r="M612" i="6"/>
  <c r="Q611" i="6"/>
  <c r="S611" i="6" s="1"/>
  <c r="P611" i="6"/>
  <c r="M611" i="6"/>
  <c r="Q610" i="6"/>
  <c r="S610" i="6" s="1"/>
  <c r="P610" i="6"/>
  <c r="M610" i="6"/>
  <c r="Q609" i="6"/>
  <c r="S609" i="6" s="1"/>
  <c r="P609" i="6"/>
  <c r="M609" i="6"/>
  <c r="Q608" i="6"/>
  <c r="S608" i="6" s="1"/>
  <c r="P608" i="6"/>
  <c r="M608" i="6"/>
  <c r="Q607" i="6"/>
  <c r="S607" i="6" s="1"/>
  <c r="P607" i="6"/>
  <c r="M607" i="6"/>
  <c r="Q606" i="6"/>
  <c r="S606" i="6" s="1"/>
  <c r="P606" i="6"/>
  <c r="M606" i="6"/>
  <c r="Q605" i="6"/>
  <c r="S605" i="6" s="1"/>
  <c r="P605" i="6"/>
  <c r="M605" i="6"/>
  <c r="Q604" i="6"/>
  <c r="S604" i="6" s="1"/>
  <c r="P604" i="6"/>
  <c r="M604" i="6"/>
  <c r="Q603" i="6"/>
  <c r="S603" i="6" s="1"/>
  <c r="P603" i="6"/>
  <c r="M603" i="6"/>
  <c r="Q602" i="6"/>
  <c r="S602" i="6" s="1"/>
  <c r="P602" i="6"/>
  <c r="M602" i="6"/>
  <c r="Q601" i="6"/>
  <c r="S601" i="6" s="1"/>
  <c r="P601" i="6"/>
  <c r="M601" i="6"/>
  <c r="Q600" i="6"/>
  <c r="S600" i="6" s="1"/>
  <c r="P600" i="6"/>
  <c r="M600" i="6"/>
  <c r="Q599" i="6"/>
  <c r="S599" i="6" s="1"/>
  <c r="P599" i="6"/>
  <c r="M599" i="6"/>
  <c r="Q598" i="6"/>
  <c r="S598" i="6" s="1"/>
  <c r="P598" i="6"/>
  <c r="M598" i="6"/>
  <c r="Q597" i="6"/>
  <c r="S597" i="6" s="1"/>
  <c r="P597" i="6"/>
  <c r="M597" i="6"/>
  <c r="Q596" i="6"/>
  <c r="S596" i="6" s="1"/>
  <c r="P596" i="6"/>
  <c r="M596" i="6"/>
  <c r="Q595" i="6"/>
  <c r="S595" i="6" s="1"/>
  <c r="P595" i="6"/>
  <c r="M595" i="6"/>
  <c r="Q594" i="6"/>
  <c r="S594" i="6" s="1"/>
  <c r="P594" i="6"/>
  <c r="M594" i="6"/>
  <c r="Q593" i="6"/>
  <c r="S593" i="6" s="1"/>
  <c r="P593" i="6"/>
  <c r="M593" i="6"/>
  <c r="Q592" i="6"/>
  <c r="S592" i="6" s="1"/>
  <c r="P592" i="6"/>
  <c r="M592" i="6"/>
  <c r="Q591" i="6"/>
  <c r="S591" i="6" s="1"/>
  <c r="P591" i="6"/>
  <c r="M591" i="6"/>
  <c r="Q590" i="6"/>
  <c r="S590" i="6" s="1"/>
  <c r="P590" i="6"/>
  <c r="M590" i="6"/>
  <c r="Q589" i="6"/>
  <c r="S589" i="6" s="1"/>
  <c r="P589" i="6"/>
  <c r="M589" i="6"/>
  <c r="Q588" i="6"/>
  <c r="S588" i="6" s="1"/>
  <c r="P588" i="6"/>
  <c r="M588" i="6"/>
  <c r="Q587" i="6"/>
  <c r="S587" i="6" s="1"/>
  <c r="P587" i="6"/>
  <c r="M587" i="6"/>
  <c r="Q586" i="6"/>
  <c r="S586" i="6" s="1"/>
  <c r="P586" i="6"/>
  <c r="M586" i="6"/>
  <c r="Q585" i="6"/>
  <c r="S585" i="6" s="1"/>
  <c r="P585" i="6"/>
  <c r="M585" i="6"/>
  <c r="Q584" i="6"/>
  <c r="S584" i="6" s="1"/>
  <c r="P584" i="6"/>
  <c r="M584" i="6"/>
  <c r="Q583" i="6"/>
  <c r="S583" i="6" s="1"/>
  <c r="P583" i="6"/>
  <c r="M583" i="6"/>
  <c r="Q582" i="6"/>
  <c r="S582" i="6" s="1"/>
  <c r="P582" i="6"/>
  <c r="M582" i="6"/>
  <c r="T574" i="6"/>
  <c r="V574" i="6" s="1"/>
  <c r="S574" i="6"/>
  <c r="P574" i="6"/>
  <c r="M574" i="6"/>
  <c r="T573" i="6"/>
  <c r="V573" i="6" s="1"/>
  <c r="S573" i="6"/>
  <c r="P573" i="6"/>
  <c r="M573" i="6"/>
  <c r="T572" i="6"/>
  <c r="V572" i="6" s="1"/>
  <c r="S572" i="6"/>
  <c r="P572" i="6"/>
  <c r="M572" i="6"/>
  <c r="T571" i="6"/>
  <c r="V571" i="6" s="1"/>
  <c r="S571" i="6"/>
  <c r="P571" i="6"/>
  <c r="M571" i="6"/>
  <c r="T570" i="6"/>
  <c r="V570" i="6" s="1"/>
  <c r="S570" i="6"/>
  <c r="P570" i="6"/>
  <c r="M570" i="6"/>
  <c r="T569" i="6"/>
  <c r="V569" i="6" s="1"/>
  <c r="S569" i="6"/>
  <c r="P569" i="6"/>
  <c r="M569" i="6"/>
  <c r="T568" i="6"/>
  <c r="V568" i="6" s="1"/>
  <c r="S568" i="6"/>
  <c r="P568" i="6"/>
  <c r="M568" i="6"/>
  <c r="T567" i="6"/>
  <c r="V567" i="6" s="1"/>
  <c r="S567" i="6"/>
  <c r="P567" i="6"/>
  <c r="M567" i="6"/>
  <c r="T566" i="6"/>
  <c r="V566" i="6" s="1"/>
  <c r="S566" i="6"/>
  <c r="P566" i="6"/>
  <c r="M566" i="6"/>
  <c r="T565" i="6"/>
  <c r="V565" i="6" s="1"/>
  <c r="S565" i="6"/>
  <c r="P565" i="6"/>
  <c r="M565" i="6"/>
  <c r="T564" i="6"/>
  <c r="V564" i="6" s="1"/>
  <c r="S564" i="6"/>
  <c r="P564" i="6"/>
  <c r="M564" i="6"/>
  <c r="T563" i="6"/>
  <c r="V563" i="6" s="1"/>
  <c r="S563" i="6"/>
  <c r="P563" i="6"/>
  <c r="M563" i="6"/>
  <c r="T562" i="6"/>
  <c r="V562" i="6" s="1"/>
  <c r="S562" i="6"/>
  <c r="P562" i="6"/>
  <c r="M562" i="6"/>
  <c r="T561" i="6"/>
  <c r="V561" i="6" s="1"/>
  <c r="S561" i="6"/>
  <c r="P561" i="6"/>
  <c r="M561" i="6"/>
  <c r="T560" i="6"/>
  <c r="V560" i="6" s="1"/>
  <c r="S560" i="6"/>
  <c r="P560" i="6"/>
  <c r="M560" i="6"/>
  <c r="T559" i="6"/>
  <c r="V559" i="6" s="1"/>
  <c r="S559" i="6"/>
  <c r="P559" i="6"/>
  <c r="M559" i="6"/>
  <c r="T558" i="6"/>
  <c r="V558" i="6" s="1"/>
  <c r="S558" i="6"/>
  <c r="P558" i="6"/>
  <c r="M558" i="6"/>
  <c r="T557" i="6"/>
  <c r="V557" i="6" s="1"/>
  <c r="S557" i="6"/>
  <c r="P557" i="6"/>
  <c r="M557" i="6"/>
  <c r="T556" i="6"/>
  <c r="V556" i="6" s="1"/>
  <c r="S556" i="6"/>
  <c r="P556" i="6"/>
  <c r="M556" i="6"/>
  <c r="T555" i="6"/>
  <c r="V555" i="6" s="1"/>
  <c r="S555" i="6"/>
  <c r="P555" i="6"/>
  <c r="M555" i="6"/>
  <c r="T554" i="6"/>
  <c r="V554" i="6" s="1"/>
  <c r="S554" i="6"/>
  <c r="P554" i="6"/>
  <c r="M554" i="6"/>
  <c r="T553" i="6"/>
  <c r="V553" i="6" s="1"/>
  <c r="S553" i="6"/>
  <c r="P553" i="6"/>
  <c r="M553" i="6"/>
  <c r="T552" i="6"/>
  <c r="V552" i="6" s="1"/>
  <c r="S552" i="6"/>
  <c r="P552" i="6"/>
  <c r="M552" i="6"/>
  <c r="T551" i="6"/>
  <c r="V551" i="6" s="1"/>
  <c r="S551" i="6"/>
  <c r="P551" i="6"/>
  <c r="M551" i="6"/>
  <c r="T550" i="6"/>
  <c r="V550" i="6" s="1"/>
  <c r="S550" i="6"/>
  <c r="P550" i="6"/>
  <c r="M550" i="6"/>
  <c r="T549" i="6"/>
  <c r="V549" i="6" s="1"/>
  <c r="S549" i="6"/>
  <c r="P549" i="6"/>
  <c r="M549" i="6"/>
  <c r="T548" i="6"/>
  <c r="V548" i="6" s="1"/>
  <c r="S548" i="6"/>
  <c r="P548" i="6"/>
  <c r="M548" i="6"/>
  <c r="T547" i="6"/>
  <c r="V547" i="6" s="1"/>
  <c r="S547" i="6"/>
  <c r="P547" i="6"/>
  <c r="M547" i="6"/>
  <c r="T546" i="6"/>
  <c r="V546" i="6" s="1"/>
  <c r="S546" i="6"/>
  <c r="P546" i="6"/>
  <c r="M546" i="6"/>
  <c r="T545" i="6"/>
  <c r="V545" i="6" s="1"/>
  <c r="S545" i="6"/>
  <c r="P545" i="6"/>
  <c r="M545" i="6"/>
  <c r="T544" i="6"/>
  <c r="V544" i="6" s="1"/>
  <c r="S544" i="6"/>
  <c r="P544" i="6"/>
  <c r="M544" i="6"/>
  <c r="T543" i="6"/>
  <c r="V543" i="6" s="1"/>
  <c r="S543" i="6"/>
  <c r="P543" i="6"/>
  <c r="M543" i="6"/>
  <c r="T542" i="6"/>
  <c r="V542" i="6" s="1"/>
  <c r="S542" i="6"/>
  <c r="P542" i="6"/>
  <c r="M542" i="6"/>
  <c r="T541" i="6"/>
  <c r="V541" i="6" s="1"/>
  <c r="S541" i="6"/>
  <c r="P541" i="6"/>
  <c r="M541" i="6"/>
  <c r="T540" i="6"/>
  <c r="V540" i="6" s="1"/>
  <c r="S540" i="6"/>
  <c r="P540" i="6"/>
  <c r="M540" i="6"/>
  <c r="T539" i="6"/>
  <c r="V539" i="6" s="1"/>
  <c r="S539" i="6"/>
  <c r="P539" i="6"/>
  <c r="M539" i="6"/>
  <c r="T538" i="6"/>
  <c r="V538" i="6" s="1"/>
  <c r="S538" i="6"/>
  <c r="P538" i="6"/>
  <c r="M538" i="6"/>
  <c r="T537" i="6"/>
  <c r="V537" i="6" s="1"/>
  <c r="S537" i="6"/>
  <c r="P537" i="6"/>
  <c r="M537" i="6"/>
  <c r="T536" i="6"/>
  <c r="V536" i="6" s="1"/>
  <c r="S536" i="6"/>
  <c r="P536" i="6"/>
  <c r="M536" i="6"/>
  <c r="T535" i="6"/>
  <c r="V535" i="6" s="1"/>
  <c r="S535" i="6"/>
  <c r="P535" i="6"/>
  <c r="M535" i="6"/>
  <c r="T534" i="6"/>
  <c r="V534" i="6" s="1"/>
  <c r="S534" i="6"/>
  <c r="P534" i="6"/>
  <c r="M534" i="6"/>
  <c r="T533" i="6"/>
  <c r="V533" i="6" s="1"/>
  <c r="S533" i="6"/>
  <c r="P533" i="6"/>
  <c r="M533" i="6"/>
  <c r="Q526" i="6"/>
  <c r="S526" i="6" s="1"/>
  <c r="P526" i="6"/>
  <c r="M526" i="6"/>
  <c r="Q525" i="6"/>
  <c r="S525" i="6" s="1"/>
  <c r="P525" i="6"/>
  <c r="M525" i="6"/>
  <c r="Q524" i="6"/>
  <c r="S524" i="6" s="1"/>
  <c r="P524" i="6"/>
  <c r="M524" i="6"/>
  <c r="Q523" i="6"/>
  <c r="S523" i="6" s="1"/>
  <c r="P523" i="6"/>
  <c r="M523" i="6"/>
  <c r="Q522" i="6"/>
  <c r="S522" i="6" s="1"/>
  <c r="P522" i="6"/>
  <c r="M522" i="6"/>
  <c r="Q515" i="6"/>
  <c r="S515" i="6" s="1"/>
  <c r="P515" i="6"/>
  <c r="M515" i="6"/>
  <c r="Q514" i="6"/>
  <c r="S514" i="6" s="1"/>
  <c r="P514" i="6"/>
  <c r="M514" i="6"/>
  <c r="Q513" i="6"/>
  <c r="S513" i="6" s="1"/>
  <c r="P513" i="6"/>
  <c r="M513" i="6"/>
  <c r="Q512" i="6"/>
  <c r="S512" i="6" s="1"/>
  <c r="P512" i="6"/>
  <c r="M512" i="6"/>
  <c r="Q511" i="6"/>
  <c r="S511" i="6" s="1"/>
  <c r="P511" i="6"/>
  <c r="M511" i="6"/>
  <c r="Q510" i="6"/>
  <c r="S510" i="6" s="1"/>
  <c r="P510" i="6"/>
  <c r="M510" i="6"/>
  <c r="Q509" i="6"/>
  <c r="S509" i="6" s="1"/>
  <c r="P509" i="6"/>
  <c r="M509" i="6"/>
  <c r="Q508" i="6"/>
  <c r="S508" i="6" s="1"/>
  <c r="P508" i="6"/>
  <c r="M508" i="6"/>
  <c r="Q507" i="6"/>
  <c r="S507" i="6" s="1"/>
  <c r="P507" i="6"/>
  <c r="M507" i="6"/>
  <c r="Q506" i="6"/>
  <c r="S506" i="6" s="1"/>
  <c r="P506" i="6"/>
  <c r="M506" i="6"/>
  <c r="Q505" i="6"/>
  <c r="S505" i="6" s="1"/>
  <c r="P505" i="6"/>
  <c r="M505" i="6"/>
  <c r="Q504" i="6"/>
  <c r="S504" i="6" s="1"/>
  <c r="P504" i="6"/>
  <c r="M504" i="6"/>
  <c r="Q503" i="6"/>
  <c r="S503" i="6" s="1"/>
  <c r="P503" i="6"/>
  <c r="M503" i="6"/>
  <c r="Q502" i="6"/>
  <c r="S502" i="6" s="1"/>
  <c r="P502" i="6"/>
  <c r="M502" i="6"/>
  <c r="Q501" i="6"/>
  <c r="S501" i="6" s="1"/>
  <c r="P501" i="6"/>
  <c r="M501" i="6"/>
  <c r="Q500" i="6"/>
  <c r="S500" i="6" s="1"/>
  <c r="P500" i="6"/>
  <c r="M500" i="6"/>
  <c r="Q499" i="6"/>
  <c r="S499" i="6" s="1"/>
  <c r="P499" i="6"/>
  <c r="M499" i="6"/>
  <c r="Q498" i="6"/>
  <c r="S498" i="6" s="1"/>
  <c r="P498" i="6"/>
  <c r="M498" i="6"/>
  <c r="Q497" i="6"/>
  <c r="S497" i="6" s="1"/>
  <c r="P497" i="6"/>
  <c r="M497" i="6"/>
  <c r="Q496" i="6"/>
  <c r="S496" i="6" s="1"/>
  <c r="P496" i="6"/>
  <c r="M496" i="6"/>
  <c r="Q495" i="6"/>
  <c r="S495" i="6" s="1"/>
  <c r="P495" i="6"/>
  <c r="M495" i="6"/>
  <c r="Q494" i="6"/>
  <c r="S494" i="6" s="1"/>
  <c r="P494" i="6"/>
  <c r="M494" i="6"/>
  <c r="Q493" i="6"/>
  <c r="S493" i="6" s="1"/>
  <c r="P493" i="6"/>
  <c r="M493" i="6"/>
  <c r="Q492" i="6"/>
  <c r="S492" i="6" s="1"/>
  <c r="P492" i="6"/>
  <c r="M492" i="6"/>
  <c r="Q491" i="6"/>
  <c r="S491" i="6" s="1"/>
  <c r="P491" i="6"/>
  <c r="M491" i="6"/>
  <c r="Q485" i="6"/>
  <c r="S485" i="6" s="1"/>
  <c r="P485" i="6"/>
  <c r="M485" i="6"/>
  <c r="Q484" i="6"/>
  <c r="S484" i="6" s="1"/>
  <c r="P484" i="6"/>
  <c r="M484" i="6"/>
  <c r="Q483" i="6"/>
  <c r="S483" i="6" s="1"/>
  <c r="P483" i="6"/>
  <c r="M483" i="6"/>
  <c r="Q482" i="6"/>
  <c r="S482" i="6" s="1"/>
  <c r="P482" i="6"/>
  <c r="M482" i="6"/>
  <c r="Q481" i="6"/>
  <c r="S481" i="6" s="1"/>
  <c r="P481" i="6"/>
  <c r="M481" i="6"/>
  <c r="Q480" i="6"/>
  <c r="S480" i="6" s="1"/>
  <c r="P480" i="6"/>
  <c r="M480" i="6"/>
  <c r="Q479" i="6"/>
  <c r="S479" i="6" s="1"/>
  <c r="P479" i="6"/>
  <c r="M479" i="6"/>
  <c r="Q478" i="6"/>
  <c r="S478" i="6" s="1"/>
  <c r="P478" i="6"/>
  <c r="M478" i="6"/>
  <c r="Q477" i="6"/>
  <c r="S477" i="6" s="1"/>
  <c r="P477" i="6"/>
  <c r="M477" i="6"/>
  <c r="Q476" i="6"/>
  <c r="S476" i="6" s="1"/>
  <c r="P476" i="6"/>
  <c r="M476" i="6"/>
  <c r="Q475" i="6"/>
  <c r="S475" i="6" s="1"/>
  <c r="P475" i="6"/>
  <c r="M475" i="6"/>
  <c r="Q474" i="6"/>
  <c r="S474" i="6" s="1"/>
  <c r="P474" i="6"/>
  <c r="M474" i="6"/>
  <c r="Q473" i="6"/>
  <c r="S473" i="6" s="1"/>
  <c r="P473" i="6"/>
  <c r="M473" i="6"/>
  <c r="Q472" i="6"/>
  <c r="S472" i="6" s="1"/>
  <c r="P472" i="6"/>
  <c r="M472" i="6"/>
  <c r="Q471" i="6"/>
  <c r="S471" i="6" s="1"/>
  <c r="P471" i="6"/>
  <c r="M471" i="6"/>
  <c r="Q470" i="6"/>
  <c r="S470" i="6" s="1"/>
  <c r="P470" i="6"/>
  <c r="M470" i="6"/>
  <c r="Q469" i="6"/>
  <c r="S469" i="6" s="1"/>
  <c r="P469" i="6"/>
  <c r="M469" i="6"/>
  <c r="Q468" i="6"/>
  <c r="S468" i="6" s="1"/>
  <c r="P468" i="6"/>
  <c r="M468" i="6"/>
  <c r="Q467" i="6"/>
  <c r="S467" i="6" s="1"/>
  <c r="P467" i="6"/>
  <c r="M467" i="6"/>
  <c r="Q466" i="6"/>
  <c r="S466" i="6" s="1"/>
  <c r="P466" i="6"/>
  <c r="M466" i="6"/>
  <c r="Q465" i="6"/>
  <c r="S465" i="6" s="1"/>
  <c r="P465" i="6"/>
  <c r="M465" i="6"/>
  <c r="Q464" i="6"/>
  <c r="S464" i="6" s="1"/>
  <c r="P464" i="6"/>
  <c r="M464" i="6"/>
  <c r="Q463" i="6"/>
  <c r="S463" i="6" s="1"/>
  <c r="P463" i="6"/>
  <c r="M463" i="6"/>
  <c r="Q462" i="6"/>
  <c r="S462" i="6" s="1"/>
  <c r="P462" i="6"/>
  <c r="M462" i="6"/>
  <c r="Q461" i="6"/>
  <c r="S461" i="6" s="1"/>
  <c r="P461" i="6"/>
  <c r="M461" i="6"/>
  <c r="Q460" i="6"/>
  <c r="S460" i="6" s="1"/>
  <c r="P460" i="6"/>
  <c r="M460" i="6"/>
  <c r="Q459" i="6"/>
  <c r="S459" i="6" s="1"/>
  <c r="P459" i="6"/>
  <c r="M459" i="6"/>
  <c r="Q458" i="6"/>
  <c r="S458" i="6" s="1"/>
  <c r="P458" i="6"/>
  <c r="M458" i="6"/>
  <c r="Q457" i="6"/>
  <c r="S457" i="6" s="1"/>
  <c r="P457" i="6"/>
  <c r="M457" i="6"/>
  <c r="Q456" i="6"/>
  <c r="S456" i="6" s="1"/>
  <c r="P456" i="6"/>
  <c r="M456" i="6"/>
  <c r="Q455" i="6"/>
  <c r="S455" i="6" s="1"/>
  <c r="P455" i="6"/>
  <c r="M455" i="6"/>
  <c r="Q454" i="6"/>
  <c r="S454" i="6" s="1"/>
  <c r="P454" i="6"/>
  <c r="M454" i="6"/>
  <c r="Q453" i="6"/>
  <c r="S453" i="6" s="1"/>
  <c r="P453" i="6"/>
  <c r="M453" i="6"/>
  <c r="Q452" i="6"/>
  <c r="S452" i="6" s="1"/>
  <c r="P452" i="6"/>
  <c r="M452" i="6"/>
  <c r="Q451" i="6"/>
  <c r="S451" i="6" s="1"/>
  <c r="P451" i="6"/>
  <c r="M451" i="6"/>
  <c r="Q450" i="6"/>
  <c r="S450" i="6" s="1"/>
  <c r="P450" i="6"/>
  <c r="M450" i="6"/>
  <c r="Q449" i="6"/>
  <c r="S449" i="6" s="1"/>
  <c r="P449" i="6"/>
  <c r="M449" i="6"/>
  <c r="Q448" i="6"/>
  <c r="S448" i="6" s="1"/>
  <c r="P448" i="6"/>
  <c r="M448" i="6"/>
  <c r="Q447" i="6"/>
  <c r="S447" i="6" s="1"/>
  <c r="P447" i="6"/>
  <c r="M447" i="6"/>
  <c r="Q446" i="6"/>
  <c r="S446" i="6" s="1"/>
  <c r="P446" i="6"/>
  <c r="M446" i="6"/>
  <c r="Q445" i="6"/>
  <c r="S445" i="6" s="1"/>
  <c r="P445" i="6"/>
  <c r="M445" i="6"/>
  <c r="Q444" i="6"/>
  <c r="S444" i="6" s="1"/>
  <c r="P444" i="6"/>
  <c r="M444" i="6"/>
  <c r="Q443" i="6"/>
  <c r="S443" i="6" s="1"/>
  <c r="P443" i="6"/>
  <c r="M443" i="6"/>
  <c r="Q442" i="6"/>
  <c r="S442" i="6" s="1"/>
  <c r="P442" i="6"/>
  <c r="M442" i="6"/>
  <c r="Q441" i="6"/>
  <c r="S441" i="6" s="1"/>
  <c r="P441" i="6"/>
  <c r="M441" i="6"/>
  <c r="Q440" i="6"/>
  <c r="S440" i="6" s="1"/>
  <c r="P440" i="6"/>
  <c r="M440" i="6"/>
  <c r="Q439" i="6"/>
  <c r="S439" i="6" s="1"/>
  <c r="P439" i="6"/>
  <c r="M439" i="6"/>
  <c r="Q438" i="6"/>
  <c r="S438" i="6" s="1"/>
  <c r="P438" i="6"/>
  <c r="M438" i="6"/>
  <c r="Q437" i="6"/>
  <c r="S437" i="6" s="1"/>
  <c r="P437" i="6"/>
  <c r="M437" i="6"/>
  <c r="Q436" i="6"/>
  <c r="S436" i="6" s="1"/>
  <c r="P436" i="6"/>
  <c r="M436" i="6"/>
  <c r="Q435" i="6"/>
  <c r="S435" i="6" s="1"/>
  <c r="P435" i="6"/>
  <c r="M435" i="6"/>
  <c r="Q434" i="6"/>
  <c r="S434" i="6" s="1"/>
  <c r="P434" i="6"/>
  <c r="M434" i="6"/>
  <c r="Q433" i="6"/>
  <c r="S433" i="6" s="1"/>
  <c r="P433" i="6"/>
  <c r="M433" i="6"/>
  <c r="Q432" i="6"/>
  <c r="S432" i="6" s="1"/>
  <c r="P432" i="6"/>
  <c r="M432" i="6"/>
  <c r="Q431" i="6"/>
  <c r="S431" i="6" s="1"/>
  <c r="P431" i="6"/>
  <c r="M431" i="6"/>
  <c r="Q430" i="6"/>
  <c r="S430" i="6" s="1"/>
  <c r="P430" i="6"/>
  <c r="M430" i="6"/>
  <c r="Q429" i="6"/>
  <c r="S429" i="6" s="1"/>
  <c r="P429" i="6"/>
  <c r="M429" i="6"/>
  <c r="Q428" i="6"/>
  <c r="S428" i="6" s="1"/>
  <c r="P428" i="6"/>
  <c r="M428" i="6"/>
  <c r="Q427" i="6"/>
  <c r="S427" i="6" s="1"/>
  <c r="P427" i="6"/>
  <c r="M427" i="6"/>
  <c r="Q426" i="6"/>
  <c r="S426" i="6" s="1"/>
  <c r="P426" i="6"/>
  <c r="M426" i="6"/>
  <c r="Q425" i="6"/>
  <c r="S425" i="6" s="1"/>
  <c r="P425" i="6"/>
  <c r="M425" i="6"/>
  <c r="Q424" i="6"/>
  <c r="S424" i="6" s="1"/>
  <c r="P424" i="6"/>
  <c r="M424" i="6"/>
  <c r="Q423" i="6"/>
  <c r="S423" i="6" s="1"/>
  <c r="P423" i="6"/>
  <c r="M423" i="6"/>
  <c r="Q422" i="6"/>
  <c r="S422" i="6" s="1"/>
  <c r="P422" i="6"/>
  <c r="M422" i="6"/>
  <c r="Q421" i="6"/>
  <c r="S421" i="6" s="1"/>
  <c r="P421" i="6"/>
  <c r="M421" i="6"/>
  <c r="Q420" i="6"/>
  <c r="S420" i="6" s="1"/>
  <c r="P420" i="6"/>
  <c r="M420" i="6"/>
  <c r="Q419" i="6"/>
  <c r="S419" i="6" s="1"/>
  <c r="P419" i="6"/>
  <c r="M419" i="6"/>
  <c r="Q418" i="6"/>
  <c r="S418" i="6" s="1"/>
  <c r="P418" i="6"/>
  <c r="M418" i="6"/>
  <c r="Q417" i="6"/>
  <c r="S417" i="6" s="1"/>
  <c r="P417" i="6"/>
  <c r="M417" i="6"/>
  <c r="Q416" i="6"/>
  <c r="S416" i="6" s="1"/>
  <c r="P416" i="6"/>
  <c r="M416" i="6"/>
  <c r="Q415" i="6"/>
  <c r="S415" i="6" s="1"/>
  <c r="P415" i="6"/>
  <c r="M415" i="6"/>
  <c r="Q414" i="6"/>
  <c r="S414" i="6" s="1"/>
  <c r="P414" i="6"/>
  <c r="M414" i="6"/>
  <c r="Q413" i="6"/>
  <c r="S413" i="6" s="1"/>
  <c r="P413" i="6"/>
  <c r="M413" i="6"/>
  <c r="Q412" i="6"/>
  <c r="S412" i="6" s="1"/>
  <c r="P412" i="6"/>
  <c r="M412" i="6"/>
  <c r="Q411" i="6"/>
  <c r="S411" i="6" s="1"/>
  <c r="P411" i="6"/>
  <c r="M411" i="6"/>
  <c r="Q410" i="6"/>
  <c r="S410" i="6" s="1"/>
  <c r="P410" i="6"/>
  <c r="M410" i="6"/>
  <c r="Q409" i="6"/>
  <c r="S409" i="6" s="1"/>
  <c r="P409" i="6"/>
  <c r="M409" i="6"/>
  <c r="Q408" i="6"/>
  <c r="S408" i="6" s="1"/>
  <c r="P408" i="6"/>
  <c r="M408" i="6"/>
  <c r="Q407" i="6"/>
  <c r="S407" i="6" s="1"/>
  <c r="P407" i="6"/>
  <c r="M407" i="6"/>
  <c r="Q406" i="6"/>
  <c r="S406" i="6" s="1"/>
  <c r="P406" i="6"/>
  <c r="M406" i="6"/>
  <c r="Q405" i="6"/>
  <c r="S405" i="6" s="1"/>
  <c r="P405" i="6"/>
  <c r="M405" i="6"/>
  <c r="Q398" i="6"/>
  <c r="S398" i="6" s="1"/>
  <c r="P398" i="6"/>
  <c r="M398" i="6"/>
  <c r="Q397" i="6"/>
  <c r="S397" i="6" s="1"/>
  <c r="P397" i="6"/>
  <c r="M397" i="6"/>
  <c r="Q396" i="6"/>
  <c r="S396" i="6" s="1"/>
  <c r="P396" i="6"/>
  <c r="M396" i="6"/>
  <c r="Q395" i="6"/>
  <c r="S395" i="6" s="1"/>
  <c r="P395" i="6"/>
  <c r="M395" i="6"/>
  <c r="Q394" i="6"/>
  <c r="S394" i="6" s="1"/>
  <c r="P394" i="6"/>
  <c r="M394" i="6"/>
  <c r="Q393" i="6"/>
  <c r="S393" i="6" s="1"/>
  <c r="P393" i="6"/>
  <c r="M393" i="6"/>
  <c r="Q392" i="6"/>
  <c r="S392" i="6" s="1"/>
  <c r="P392" i="6"/>
  <c r="M392" i="6"/>
  <c r="Q391" i="6"/>
  <c r="S391" i="6" s="1"/>
  <c r="P391" i="6"/>
  <c r="M391" i="6"/>
  <c r="Q390" i="6"/>
  <c r="S390" i="6" s="1"/>
  <c r="P390" i="6"/>
  <c r="M390" i="6"/>
  <c r="Q389" i="6"/>
  <c r="S389" i="6" s="1"/>
  <c r="P389" i="6"/>
  <c r="M389" i="6"/>
  <c r="Q388" i="6"/>
  <c r="S388" i="6" s="1"/>
  <c r="P388" i="6"/>
  <c r="M388" i="6"/>
  <c r="Q387" i="6"/>
  <c r="S387" i="6" s="1"/>
  <c r="P387" i="6"/>
  <c r="M387" i="6"/>
  <c r="Q386" i="6"/>
  <c r="S386" i="6" s="1"/>
  <c r="P386" i="6"/>
  <c r="M386" i="6"/>
  <c r="Q385" i="6"/>
  <c r="S385" i="6" s="1"/>
  <c r="P385" i="6"/>
  <c r="M385" i="6"/>
  <c r="Q384" i="6"/>
  <c r="S384" i="6" s="1"/>
  <c r="P384" i="6"/>
  <c r="M384" i="6"/>
  <c r="Q383" i="6"/>
  <c r="S383" i="6" s="1"/>
  <c r="P383" i="6"/>
  <c r="M383" i="6"/>
  <c r="Q382" i="6"/>
  <c r="S382" i="6" s="1"/>
  <c r="P382" i="6"/>
  <c r="M382" i="6"/>
  <c r="Q381" i="6"/>
  <c r="S381" i="6" s="1"/>
  <c r="P381" i="6"/>
  <c r="M381" i="6"/>
  <c r="Q380" i="6"/>
  <c r="S380" i="6" s="1"/>
  <c r="P380" i="6"/>
  <c r="M380" i="6"/>
  <c r="Q379" i="6"/>
  <c r="S379" i="6" s="1"/>
  <c r="P379" i="6"/>
  <c r="M379" i="6"/>
  <c r="Q378" i="6"/>
  <c r="S378" i="6" s="1"/>
  <c r="P378" i="6"/>
  <c r="M378" i="6"/>
  <c r="Q377" i="6"/>
  <c r="S377" i="6" s="1"/>
  <c r="P377" i="6"/>
  <c r="M377" i="6"/>
  <c r="Q376" i="6"/>
  <c r="S376" i="6" s="1"/>
  <c r="P376" i="6"/>
  <c r="M376" i="6"/>
  <c r="Q375" i="6"/>
  <c r="S375" i="6" s="1"/>
  <c r="P375" i="6"/>
  <c r="M375" i="6"/>
  <c r="Q374" i="6"/>
  <c r="S374" i="6" s="1"/>
  <c r="P374" i="6"/>
  <c r="M374" i="6"/>
  <c r="Q373" i="6"/>
  <c r="S373" i="6" s="1"/>
  <c r="P373" i="6"/>
  <c r="M373" i="6"/>
  <c r="Q372" i="6"/>
  <c r="S372" i="6" s="1"/>
  <c r="P372" i="6"/>
  <c r="M372" i="6"/>
  <c r="Q371" i="6"/>
  <c r="S371" i="6" s="1"/>
  <c r="P371" i="6"/>
  <c r="M371" i="6"/>
  <c r="Q370" i="6"/>
  <c r="S370" i="6" s="1"/>
  <c r="P370" i="6"/>
  <c r="M370" i="6"/>
  <c r="Q369" i="6"/>
  <c r="S369" i="6" s="1"/>
  <c r="P369" i="6"/>
  <c r="M369" i="6"/>
  <c r="Q368" i="6"/>
  <c r="S368" i="6" s="1"/>
  <c r="P368" i="6"/>
  <c r="M368" i="6"/>
  <c r="Q367" i="6"/>
  <c r="S367" i="6" s="1"/>
  <c r="P367" i="6"/>
  <c r="M367" i="6"/>
  <c r="Q366" i="6"/>
  <c r="S366" i="6" s="1"/>
  <c r="P366" i="6"/>
  <c r="M366" i="6"/>
  <c r="Q365" i="6"/>
  <c r="S365" i="6" s="1"/>
  <c r="P365" i="6"/>
  <c r="M365" i="6"/>
  <c r="Q364" i="6"/>
  <c r="S364" i="6" s="1"/>
  <c r="P364" i="6"/>
  <c r="M364" i="6"/>
  <c r="Q363" i="6"/>
  <c r="S363" i="6" s="1"/>
  <c r="P363" i="6"/>
  <c r="M363" i="6"/>
  <c r="Q362" i="6"/>
  <c r="S362" i="6" s="1"/>
  <c r="P362" i="6"/>
  <c r="M362" i="6"/>
  <c r="Q361" i="6"/>
  <c r="S361" i="6" s="1"/>
  <c r="P361" i="6"/>
  <c r="M361" i="6"/>
  <c r="Q360" i="6"/>
  <c r="S360" i="6" s="1"/>
  <c r="P360" i="6"/>
  <c r="M360" i="6"/>
  <c r="Q359" i="6"/>
  <c r="S359" i="6" s="1"/>
  <c r="P359" i="6"/>
  <c r="M359" i="6"/>
  <c r="Q358" i="6"/>
  <c r="S358" i="6" s="1"/>
  <c r="P358" i="6"/>
  <c r="M358" i="6"/>
  <c r="Q357" i="6"/>
  <c r="S357" i="6" s="1"/>
  <c r="P357" i="6"/>
  <c r="M357" i="6"/>
  <c r="Q356" i="6"/>
  <c r="S356" i="6" s="1"/>
  <c r="P356" i="6"/>
  <c r="M356" i="6"/>
  <c r="Q355" i="6"/>
  <c r="S355" i="6" s="1"/>
  <c r="P355" i="6"/>
  <c r="M355" i="6"/>
  <c r="Q354" i="6"/>
  <c r="S354" i="6" s="1"/>
  <c r="P354" i="6"/>
  <c r="M354" i="6"/>
  <c r="Q353" i="6"/>
  <c r="S353" i="6" s="1"/>
  <c r="P353" i="6"/>
  <c r="M353" i="6"/>
  <c r="Q352" i="6"/>
  <c r="S352" i="6" s="1"/>
  <c r="P352" i="6"/>
  <c r="M352" i="6"/>
  <c r="Q351" i="6"/>
  <c r="S351" i="6" s="1"/>
  <c r="P351" i="6"/>
  <c r="M351" i="6"/>
  <c r="Q350" i="6"/>
  <c r="S350" i="6" s="1"/>
  <c r="P350" i="6"/>
  <c r="M350" i="6"/>
  <c r="Q349" i="6"/>
  <c r="S349" i="6" s="1"/>
  <c r="P349" i="6"/>
  <c r="M349" i="6"/>
  <c r="Q348" i="6"/>
  <c r="S348" i="6" s="1"/>
  <c r="P348" i="6"/>
  <c r="M348" i="6"/>
  <c r="Q347" i="6"/>
  <c r="S347" i="6" s="1"/>
  <c r="P347" i="6"/>
  <c r="M347" i="6"/>
  <c r="Q346" i="6"/>
  <c r="S346" i="6" s="1"/>
  <c r="P346" i="6"/>
  <c r="M346" i="6"/>
  <c r="Q345" i="6"/>
  <c r="S345" i="6" s="1"/>
  <c r="P345" i="6"/>
  <c r="M345" i="6"/>
  <c r="Q344" i="6"/>
  <c r="S344" i="6" s="1"/>
  <c r="P344" i="6"/>
  <c r="M344" i="6"/>
  <c r="Q343" i="6"/>
  <c r="S343" i="6" s="1"/>
  <c r="P343" i="6"/>
  <c r="M343" i="6"/>
  <c r="Q342" i="6"/>
  <c r="S342" i="6" s="1"/>
  <c r="P342" i="6"/>
  <c r="M342" i="6"/>
  <c r="Q341" i="6"/>
  <c r="S341" i="6" s="1"/>
  <c r="P341" i="6"/>
  <c r="M341" i="6"/>
  <c r="Q340" i="6"/>
  <c r="S340" i="6" s="1"/>
  <c r="P340" i="6"/>
  <c r="M340" i="6"/>
  <c r="Q339" i="6"/>
  <c r="S339" i="6" s="1"/>
  <c r="P339" i="6"/>
  <c r="M339" i="6"/>
  <c r="Q338" i="6"/>
  <c r="S338" i="6" s="1"/>
  <c r="P338" i="6"/>
  <c r="M338" i="6"/>
  <c r="Q337" i="6"/>
  <c r="S337" i="6" s="1"/>
  <c r="P337" i="6"/>
  <c r="M337" i="6"/>
  <c r="Q336" i="6"/>
  <c r="S336" i="6" s="1"/>
  <c r="P336" i="6"/>
  <c r="M336" i="6"/>
  <c r="Q335" i="6"/>
  <c r="S335" i="6" s="1"/>
  <c r="P335" i="6"/>
  <c r="M335" i="6"/>
  <c r="Q334" i="6"/>
  <c r="S334" i="6" s="1"/>
  <c r="P334" i="6"/>
  <c r="M334" i="6"/>
  <c r="Q333" i="6"/>
  <c r="S333" i="6" s="1"/>
  <c r="P333" i="6"/>
  <c r="M333" i="6"/>
  <c r="Q332" i="6"/>
  <c r="S332" i="6" s="1"/>
  <c r="P332" i="6"/>
  <c r="M332" i="6"/>
  <c r="Q331" i="6"/>
  <c r="S331" i="6" s="1"/>
  <c r="P331" i="6"/>
  <c r="M331" i="6"/>
  <c r="Q330" i="6"/>
  <c r="S330" i="6" s="1"/>
  <c r="P330" i="6"/>
  <c r="M330" i="6"/>
  <c r="Q329" i="6"/>
  <c r="S329" i="6" s="1"/>
  <c r="P329" i="6"/>
  <c r="M329" i="6"/>
  <c r="Q328" i="6"/>
  <c r="S328" i="6" s="1"/>
  <c r="P328" i="6"/>
  <c r="M328" i="6"/>
  <c r="Q327" i="6"/>
  <c r="S327" i="6" s="1"/>
  <c r="P327" i="6"/>
  <c r="M327" i="6"/>
  <c r="Q326" i="6"/>
  <c r="S326" i="6" s="1"/>
  <c r="P326" i="6"/>
  <c r="M326" i="6"/>
  <c r="Q325" i="6"/>
  <c r="S325" i="6" s="1"/>
  <c r="P325" i="6"/>
  <c r="M325" i="6"/>
  <c r="Q324" i="6"/>
  <c r="S324" i="6" s="1"/>
  <c r="P324" i="6"/>
  <c r="M324" i="6"/>
  <c r="Q323" i="6"/>
  <c r="S323" i="6" s="1"/>
  <c r="P323" i="6"/>
  <c r="M323" i="6"/>
  <c r="Q322" i="6"/>
  <c r="S322" i="6" s="1"/>
  <c r="P322" i="6"/>
  <c r="M322" i="6"/>
  <c r="Q321" i="6"/>
  <c r="S321" i="6" s="1"/>
  <c r="P321" i="6"/>
  <c r="M321" i="6"/>
  <c r="Q320" i="6"/>
  <c r="S320" i="6" s="1"/>
  <c r="P320" i="6"/>
  <c r="M320" i="6"/>
  <c r="Q319" i="6"/>
  <c r="S319" i="6" s="1"/>
  <c r="P319" i="6"/>
  <c r="M319" i="6"/>
  <c r="Q318" i="6"/>
  <c r="S318" i="6" s="1"/>
  <c r="P318" i="6"/>
  <c r="M318" i="6"/>
  <c r="Q317" i="6"/>
  <c r="S317" i="6" s="1"/>
  <c r="P317" i="6"/>
  <c r="M317" i="6"/>
  <c r="Q316" i="6"/>
  <c r="S316" i="6" s="1"/>
  <c r="P316" i="6"/>
  <c r="M316" i="6"/>
  <c r="Q315" i="6"/>
  <c r="S315" i="6" s="1"/>
  <c r="P315" i="6"/>
  <c r="M315" i="6"/>
  <c r="Q314" i="6"/>
  <c r="S314" i="6" s="1"/>
  <c r="P314" i="6"/>
  <c r="M314" i="6"/>
  <c r="Q313" i="6"/>
  <c r="S313" i="6" s="1"/>
  <c r="P313" i="6"/>
  <c r="M313" i="6"/>
  <c r="Q312" i="6"/>
  <c r="S312" i="6" s="1"/>
  <c r="P312" i="6"/>
  <c r="M312" i="6"/>
  <c r="Q311" i="6"/>
  <c r="S311" i="6" s="1"/>
  <c r="P311" i="6"/>
  <c r="M311" i="6"/>
  <c r="Q310" i="6"/>
  <c r="S310" i="6" s="1"/>
  <c r="P310" i="6"/>
  <c r="M310" i="6"/>
  <c r="Q309" i="6"/>
  <c r="S309" i="6" s="1"/>
  <c r="P309" i="6"/>
  <c r="M309" i="6"/>
  <c r="Q308" i="6"/>
  <c r="S308" i="6" s="1"/>
  <c r="P308" i="6"/>
  <c r="M308" i="6"/>
  <c r="Q307" i="6"/>
  <c r="S307" i="6" s="1"/>
  <c r="P307" i="6"/>
  <c r="M307" i="6"/>
  <c r="Q306" i="6"/>
  <c r="S306" i="6" s="1"/>
  <c r="P306" i="6"/>
  <c r="M306" i="6"/>
  <c r="Q305" i="6"/>
  <c r="S305" i="6" s="1"/>
  <c r="P305" i="6"/>
  <c r="M305" i="6"/>
  <c r="Q304" i="6"/>
  <c r="S304" i="6" s="1"/>
  <c r="P304" i="6"/>
  <c r="M304" i="6"/>
  <c r="Q303" i="6"/>
  <c r="S303" i="6" s="1"/>
  <c r="P303" i="6"/>
  <c r="M303" i="6"/>
  <c r="Q302" i="6"/>
  <c r="S302" i="6" s="1"/>
  <c r="P302" i="6"/>
  <c r="M302" i="6"/>
  <c r="Q301" i="6"/>
  <c r="S301" i="6" s="1"/>
  <c r="P301" i="6"/>
  <c r="M301" i="6"/>
  <c r="Q300" i="6"/>
  <c r="S300" i="6" s="1"/>
  <c r="P300" i="6"/>
  <c r="M300" i="6"/>
  <c r="Q299" i="6"/>
  <c r="S299" i="6" s="1"/>
  <c r="P299" i="6"/>
  <c r="M299" i="6"/>
  <c r="Q298" i="6"/>
  <c r="S298" i="6" s="1"/>
  <c r="P298" i="6"/>
  <c r="M298" i="6"/>
  <c r="Q297" i="6"/>
  <c r="S297" i="6" s="1"/>
  <c r="P297" i="6"/>
  <c r="M297" i="6"/>
  <c r="Q296" i="6"/>
  <c r="S296" i="6" s="1"/>
  <c r="P296" i="6"/>
  <c r="M296" i="6"/>
  <c r="Q295" i="6"/>
  <c r="S295" i="6" s="1"/>
  <c r="P295" i="6"/>
  <c r="M295" i="6"/>
  <c r="Q294" i="6"/>
  <c r="S294" i="6" s="1"/>
  <c r="P294" i="6"/>
  <c r="M294" i="6"/>
  <c r="Q293" i="6"/>
  <c r="S293" i="6" s="1"/>
  <c r="P293" i="6"/>
  <c r="M293" i="6"/>
  <c r="Q292" i="6"/>
  <c r="S292" i="6" s="1"/>
  <c r="P292" i="6"/>
  <c r="M292" i="6"/>
  <c r="Q291" i="6"/>
  <c r="S291" i="6" s="1"/>
  <c r="P291" i="6"/>
  <c r="M291" i="6"/>
  <c r="Q290" i="6"/>
  <c r="S290" i="6" s="1"/>
  <c r="P290" i="6"/>
  <c r="M290" i="6"/>
  <c r="Q289" i="6"/>
  <c r="S289" i="6" s="1"/>
  <c r="P289" i="6"/>
  <c r="M289" i="6"/>
  <c r="Q288" i="6"/>
  <c r="S288" i="6" s="1"/>
  <c r="P288" i="6"/>
  <c r="M288" i="6"/>
  <c r="Q287" i="6"/>
  <c r="S287" i="6" s="1"/>
  <c r="P287" i="6"/>
  <c r="M287" i="6"/>
  <c r="Q286" i="6"/>
  <c r="S286" i="6" s="1"/>
  <c r="P286" i="6"/>
  <c r="M286" i="6"/>
  <c r="Q285" i="6"/>
  <c r="S285" i="6" s="1"/>
  <c r="P285" i="6"/>
  <c r="M285" i="6"/>
  <c r="Q284" i="6"/>
  <c r="S284" i="6" s="1"/>
  <c r="P284" i="6"/>
  <c r="M284" i="6"/>
  <c r="Q283" i="6"/>
  <c r="S283" i="6" s="1"/>
  <c r="P283" i="6"/>
  <c r="M283" i="6"/>
  <c r="Q282" i="6"/>
  <c r="S282" i="6" s="1"/>
  <c r="P282" i="6"/>
  <c r="M282" i="6"/>
  <c r="Q281" i="6"/>
  <c r="S281" i="6" s="1"/>
  <c r="P281" i="6"/>
  <c r="M281" i="6"/>
  <c r="Q280" i="6"/>
  <c r="S280" i="6" s="1"/>
  <c r="P280" i="6"/>
  <c r="M280" i="6"/>
  <c r="Q279" i="6"/>
  <c r="S279" i="6" s="1"/>
  <c r="P279" i="6"/>
  <c r="M279" i="6"/>
  <c r="Q278" i="6"/>
  <c r="S278" i="6" s="1"/>
  <c r="P278" i="6"/>
  <c r="M278" i="6"/>
  <c r="Q277" i="6"/>
  <c r="S277" i="6" s="1"/>
  <c r="P277" i="6"/>
  <c r="M277" i="6"/>
  <c r="Q276" i="6"/>
  <c r="S276" i="6" s="1"/>
  <c r="P276" i="6"/>
  <c r="M276" i="6"/>
  <c r="Q275" i="6"/>
  <c r="S275" i="6" s="1"/>
  <c r="P275" i="6"/>
  <c r="M275" i="6"/>
  <c r="Q268" i="6"/>
  <c r="S268" i="6" s="1"/>
  <c r="P268" i="6"/>
  <c r="M268" i="6"/>
  <c r="Q267" i="6"/>
  <c r="S267" i="6" s="1"/>
  <c r="P267" i="6"/>
  <c r="M267" i="6"/>
  <c r="Q266" i="6"/>
  <c r="S266" i="6" s="1"/>
  <c r="P266" i="6"/>
  <c r="M266" i="6"/>
  <c r="Q265" i="6"/>
  <c r="S265" i="6" s="1"/>
  <c r="P265" i="6"/>
  <c r="M265" i="6"/>
  <c r="Q264" i="6"/>
  <c r="S264" i="6" s="1"/>
  <c r="P264" i="6"/>
  <c r="M264" i="6"/>
  <c r="Q263" i="6"/>
  <c r="S263" i="6" s="1"/>
  <c r="P263" i="6"/>
  <c r="M263" i="6"/>
  <c r="Q262" i="6"/>
  <c r="S262" i="6" s="1"/>
  <c r="P262" i="6"/>
  <c r="M262" i="6"/>
  <c r="Q261" i="6"/>
  <c r="S261" i="6" s="1"/>
  <c r="P261" i="6"/>
  <c r="M261" i="6"/>
  <c r="Q260" i="6"/>
  <c r="S260" i="6" s="1"/>
  <c r="P260" i="6"/>
  <c r="M260" i="6"/>
  <c r="Q259" i="6"/>
  <c r="S259" i="6" s="1"/>
  <c r="P259" i="6"/>
  <c r="M259" i="6"/>
  <c r="Q258" i="6"/>
  <c r="S258" i="6" s="1"/>
  <c r="P258" i="6"/>
  <c r="M258" i="6"/>
  <c r="Q257" i="6"/>
  <c r="S257" i="6" s="1"/>
  <c r="P257" i="6"/>
  <c r="M257" i="6"/>
  <c r="Q256" i="6"/>
  <c r="S256" i="6" s="1"/>
  <c r="P256" i="6"/>
  <c r="M256" i="6"/>
  <c r="Q255" i="6"/>
  <c r="S255" i="6" s="1"/>
  <c r="P255" i="6"/>
  <c r="M255" i="6"/>
  <c r="Q254" i="6"/>
  <c r="S254" i="6" s="1"/>
  <c r="P254" i="6"/>
  <c r="M254" i="6"/>
  <c r="Q253" i="6"/>
  <c r="S253" i="6" s="1"/>
  <c r="P253" i="6"/>
  <c r="M253" i="6"/>
  <c r="Q252" i="6"/>
  <c r="S252" i="6" s="1"/>
  <c r="P252" i="6"/>
  <c r="M252" i="6"/>
  <c r="Q251" i="6"/>
  <c r="S251" i="6" s="1"/>
  <c r="P251" i="6"/>
  <c r="M251" i="6"/>
  <c r="Q250" i="6"/>
  <c r="S250" i="6" s="1"/>
  <c r="P250" i="6"/>
  <c r="M250" i="6"/>
  <c r="Q249" i="6"/>
  <c r="S249" i="6" s="1"/>
  <c r="P249" i="6"/>
  <c r="M249" i="6"/>
  <c r="Q248" i="6"/>
  <c r="S248" i="6" s="1"/>
  <c r="P248" i="6"/>
  <c r="M248" i="6"/>
  <c r="Q247" i="6"/>
  <c r="S247" i="6" s="1"/>
  <c r="P247" i="6"/>
  <c r="M247" i="6"/>
  <c r="Q246" i="6"/>
  <c r="S246" i="6" s="1"/>
  <c r="P246" i="6"/>
  <c r="M246" i="6"/>
  <c r="Q245" i="6"/>
  <c r="S245" i="6" s="1"/>
  <c r="P245" i="6"/>
  <c r="M245" i="6"/>
  <c r="Q244" i="6"/>
  <c r="S244" i="6" s="1"/>
  <c r="P244" i="6"/>
  <c r="M244" i="6"/>
  <c r="Q243" i="6"/>
  <c r="S243" i="6" s="1"/>
  <c r="P243" i="6"/>
  <c r="M243" i="6"/>
  <c r="Q242" i="6"/>
  <c r="S242" i="6" s="1"/>
  <c r="P242" i="6"/>
  <c r="M242" i="6"/>
  <c r="Q241" i="6"/>
  <c r="S241" i="6" s="1"/>
  <c r="P241" i="6"/>
  <c r="M241" i="6"/>
  <c r="Q240" i="6"/>
  <c r="S240" i="6" s="1"/>
  <c r="P240" i="6"/>
  <c r="M240" i="6"/>
  <c r="Q239" i="6"/>
  <c r="S239" i="6" s="1"/>
  <c r="P239" i="6"/>
  <c r="M239" i="6"/>
  <c r="U232" i="6"/>
  <c r="W232" i="6" s="1"/>
  <c r="T232" i="6"/>
  <c r="Q232" i="6"/>
  <c r="N232" i="6"/>
  <c r="U231" i="6"/>
  <c r="W231" i="6" s="1"/>
  <c r="T231" i="6"/>
  <c r="Q231" i="6"/>
  <c r="N231" i="6"/>
  <c r="U230" i="6"/>
  <c r="W230" i="6" s="1"/>
  <c r="T230" i="6"/>
  <c r="Q230" i="6"/>
  <c r="N230" i="6"/>
  <c r="U229" i="6"/>
  <c r="W229" i="6" s="1"/>
  <c r="T229" i="6"/>
  <c r="Q229" i="6"/>
  <c r="N229" i="6"/>
  <c r="U228" i="6"/>
  <c r="W228" i="6" s="1"/>
  <c r="T228" i="6"/>
  <c r="Q228" i="6"/>
  <c r="N228" i="6"/>
  <c r="U227" i="6"/>
  <c r="W227" i="6" s="1"/>
  <c r="T227" i="6"/>
  <c r="Q227" i="6"/>
  <c r="N227" i="6"/>
  <c r="U226" i="6"/>
  <c r="W226" i="6" s="1"/>
  <c r="T226" i="6"/>
  <c r="Q226" i="6"/>
  <c r="N226" i="6"/>
  <c r="U225" i="6"/>
  <c r="W225" i="6" s="1"/>
  <c r="T225" i="6"/>
  <c r="Q225" i="6"/>
  <c r="N225" i="6"/>
  <c r="U224" i="6"/>
  <c r="W224" i="6" s="1"/>
  <c r="T224" i="6"/>
  <c r="Q224" i="6"/>
  <c r="N224" i="6"/>
  <c r="W217" i="6"/>
  <c r="Y217" i="6" s="1"/>
  <c r="V217" i="6"/>
  <c r="S217" i="6"/>
  <c r="P217" i="6"/>
  <c r="M217" i="6"/>
  <c r="W216" i="6"/>
  <c r="Y216" i="6" s="1"/>
  <c r="V216" i="6"/>
  <c r="S216" i="6"/>
  <c r="P216" i="6"/>
  <c r="M216" i="6"/>
  <c r="W215" i="6"/>
  <c r="Y215" i="6" s="1"/>
  <c r="V215" i="6"/>
  <c r="S215" i="6"/>
  <c r="P215" i="6"/>
  <c r="M215" i="6"/>
  <c r="W214" i="6"/>
  <c r="Y214" i="6" s="1"/>
  <c r="V214" i="6"/>
  <c r="S214" i="6"/>
  <c r="P214" i="6"/>
  <c r="M214" i="6"/>
  <c r="W213" i="6"/>
  <c r="Y213" i="6" s="1"/>
  <c r="V213" i="6"/>
  <c r="S213" i="6"/>
  <c r="P213" i="6"/>
  <c r="M213" i="6"/>
  <c r="W212" i="6"/>
  <c r="Y212" i="6" s="1"/>
  <c r="V212" i="6"/>
  <c r="S212" i="6"/>
  <c r="P212" i="6"/>
  <c r="M212" i="6"/>
  <c r="W211" i="6"/>
  <c r="Y211" i="6" s="1"/>
  <c r="V211" i="6"/>
  <c r="S211" i="6"/>
  <c r="P211" i="6"/>
  <c r="M211" i="6"/>
  <c r="W210" i="6"/>
  <c r="Y210" i="6" s="1"/>
  <c r="V210" i="6"/>
  <c r="S210" i="6"/>
  <c r="P210" i="6"/>
  <c r="M210" i="6"/>
  <c r="W209" i="6"/>
  <c r="Y209" i="6" s="1"/>
  <c r="V209" i="6"/>
  <c r="S209" i="6"/>
  <c r="P209" i="6"/>
  <c r="M209" i="6"/>
  <c r="W208" i="6"/>
  <c r="Y208" i="6" s="1"/>
  <c r="V208" i="6"/>
  <c r="S208" i="6"/>
  <c r="P208" i="6"/>
  <c r="M208" i="6"/>
  <c r="W207" i="6"/>
  <c r="Y207" i="6" s="1"/>
  <c r="V207" i="6"/>
  <c r="S207" i="6"/>
  <c r="P207" i="6"/>
  <c r="M207" i="6"/>
  <c r="W206" i="6"/>
  <c r="Y206" i="6" s="1"/>
  <c r="V206" i="6"/>
  <c r="S206" i="6"/>
  <c r="P206" i="6"/>
  <c r="M206" i="6"/>
  <c r="W205" i="6"/>
  <c r="Y205" i="6" s="1"/>
  <c r="V205" i="6"/>
  <c r="S205" i="6"/>
  <c r="P205" i="6"/>
  <c r="M205" i="6"/>
  <c r="W204" i="6"/>
  <c r="Y204" i="6" s="1"/>
  <c r="V204" i="6"/>
  <c r="S204" i="6"/>
  <c r="P204" i="6"/>
  <c r="M204" i="6"/>
  <c r="W203" i="6"/>
  <c r="Y203" i="6" s="1"/>
  <c r="V203" i="6"/>
  <c r="S203" i="6"/>
  <c r="P203" i="6"/>
  <c r="M203" i="6"/>
  <c r="W202" i="6"/>
  <c r="Y202" i="6" s="1"/>
  <c r="V202" i="6"/>
  <c r="S202" i="6"/>
  <c r="P202" i="6"/>
  <c r="M202" i="6"/>
  <c r="W201" i="6"/>
  <c r="Y201" i="6" s="1"/>
  <c r="V201" i="6"/>
  <c r="S201" i="6"/>
  <c r="P201" i="6"/>
  <c r="M201" i="6"/>
  <c r="W200" i="6"/>
  <c r="Y200" i="6" s="1"/>
  <c r="V200" i="6"/>
  <c r="S200" i="6"/>
  <c r="P200" i="6"/>
  <c r="M200" i="6"/>
  <c r="W199" i="6"/>
  <c r="Y199" i="6" s="1"/>
  <c r="V199" i="6"/>
  <c r="S199" i="6"/>
  <c r="P199" i="6"/>
  <c r="M199" i="6"/>
  <c r="W198" i="6"/>
  <c r="Y198" i="6" s="1"/>
  <c r="V198" i="6"/>
  <c r="S198" i="6"/>
  <c r="P198" i="6"/>
  <c r="M198" i="6"/>
  <c r="W197" i="6"/>
  <c r="Y197" i="6" s="1"/>
  <c r="V197" i="6"/>
  <c r="S197" i="6"/>
  <c r="P197" i="6"/>
  <c r="M197" i="6"/>
  <c r="W196" i="6"/>
  <c r="Y196" i="6" s="1"/>
  <c r="V196" i="6"/>
  <c r="S196" i="6"/>
  <c r="P196" i="6"/>
  <c r="M196" i="6"/>
  <c r="W195" i="6"/>
  <c r="Y195" i="6" s="1"/>
  <c r="V195" i="6"/>
  <c r="S195" i="6"/>
  <c r="P195" i="6"/>
  <c r="M195" i="6"/>
  <c r="W194" i="6"/>
  <c r="Y194" i="6" s="1"/>
  <c r="V194" i="6"/>
  <c r="S194" i="6"/>
  <c r="P194" i="6"/>
  <c r="M194" i="6"/>
  <c r="W193" i="6"/>
  <c r="Y193" i="6" s="1"/>
  <c r="V193" i="6"/>
  <c r="S193" i="6"/>
  <c r="P193" i="6"/>
  <c r="M193" i="6"/>
  <c r="W192" i="6"/>
  <c r="Y192" i="6" s="1"/>
  <c r="V192" i="6"/>
  <c r="S192" i="6"/>
  <c r="P192" i="6"/>
  <c r="M192" i="6"/>
  <c r="W191" i="6"/>
  <c r="Y191" i="6" s="1"/>
  <c r="V191" i="6"/>
  <c r="S191" i="6"/>
  <c r="P191" i="6"/>
  <c r="M191" i="6"/>
  <c r="W190" i="6"/>
  <c r="Y190" i="6" s="1"/>
  <c r="V190" i="6"/>
  <c r="S190" i="6"/>
  <c r="P190" i="6"/>
  <c r="M190" i="6"/>
  <c r="W189" i="6"/>
  <c r="Y189" i="6" s="1"/>
  <c r="V189" i="6"/>
  <c r="S189" i="6"/>
  <c r="P189" i="6"/>
  <c r="M189" i="6"/>
  <c r="W188" i="6"/>
  <c r="Y188" i="6" s="1"/>
  <c r="V188" i="6"/>
  <c r="S188" i="6"/>
  <c r="P188" i="6"/>
  <c r="M188" i="6"/>
  <c r="W187" i="6"/>
  <c r="Y187" i="6" s="1"/>
  <c r="V187" i="6"/>
  <c r="S187" i="6"/>
  <c r="P187" i="6"/>
  <c r="M187" i="6"/>
  <c r="W186" i="6"/>
  <c r="Y186" i="6" s="1"/>
  <c r="V186" i="6"/>
  <c r="S186" i="6"/>
  <c r="P186" i="6"/>
  <c r="M186" i="6"/>
  <c r="W185" i="6"/>
  <c r="Y185" i="6" s="1"/>
  <c r="V185" i="6"/>
  <c r="S185" i="6"/>
  <c r="P185" i="6"/>
  <c r="M185" i="6"/>
  <c r="W184" i="6"/>
  <c r="Y184" i="6" s="1"/>
  <c r="V184" i="6"/>
  <c r="S184" i="6"/>
  <c r="P184" i="6"/>
  <c r="M184" i="6"/>
  <c r="W183" i="6"/>
  <c r="Y183" i="6" s="1"/>
  <c r="V183" i="6"/>
  <c r="S183" i="6"/>
  <c r="P183" i="6"/>
  <c r="M183" i="6"/>
  <c r="W182" i="6"/>
  <c r="Y182" i="6" s="1"/>
  <c r="V182" i="6"/>
  <c r="S182" i="6"/>
  <c r="P182" i="6"/>
  <c r="M182" i="6"/>
  <c r="W181" i="6"/>
  <c r="Y181" i="6" s="1"/>
  <c r="V181" i="6"/>
  <c r="S181" i="6"/>
  <c r="P181" i="6"/>
  <c r="M181" i="6"/>
  <c r="W180" i="6"/>
  <c r="Y180" i="6" s="1"/>
  <c r="V180" i="6"/>
  <c r="S180" i="6"/>
  <c r="P180" i="6"/>
  <c r="M180" i="6"/>
  <c r="W179" i="6"/>
  <c r="Y179" i="6" s="1"/>
  <c r="V179" i="6"/>
  <c r="S179" i="6"/>
  <c r="P179" i="6"/>
  <c r="M179" i="6"/>
  <c r="W178" i="6"/>
  <c r="Y178" i="6" s="1"/>
  <c r="V178" i="6"/>
  <c r="S178" i="6"/>
  <c r="P178" i="6"/>
  <c r="M178" i="6"/>
  <c r="W177" i="6"/>
  <c r="Y177" i="6" s="1"/>
  <c r="V177" i="6"/>
  <c r="S177" i="6"/>
  <c r="P177" i="6"/>
  <c r="M177" i="6"/>
  <c r="W176" i="6"/>
  <c r="Y176" i="6" s="1"/>
  <c r="V176" i="6"/>
  <c r="S176" i="6"/>
  <c r="P176" i="6"/>
  <c r="M176" i="6"/>
  <c r="W175" i="6"/>
  <c r="Y175" i="6" s="1"/>
  <c r="V175" i="6"/>
  <c r="S175" i="6"/>
  <c r="P175" i="6"/>
  <c r="M175" i="6"/>
  <c r="W174" i="6"/>
  <c r="Y174" i="6" s="1"/>
  <c r="V174" i="6"/>
  <c r="S174" i="6"/>
  <c r="P174" i="6"/>
  <c r="M174" i="6"/>
  <c r="W173" i="6"/>
  <c r="Y173" i="6" s="1"/>
  <c r="V173" i="6"/>
  <c r="S173" i="6"/>
  <c r="P173" i="6"/>
  <c r="M173" i="6"/>
  <c r="W172" i="6"/>
  <c r="Y172" i="6" s="1"/>
  <c r="V172" i="6"/>
  <c r="S172" i="6"/>
  <c r="P172" i="6"/>
  <c r="M172" i="6"/>
  <c r="W171" i="6"/>
  <c r="Y171" i="6" s="1"/>
  <c r="V171" i="6"/>
  <c r="S171" i="6"/>
  <c r="P171" i="6"/>
  <c r="M171" i="6"/>
  <c r="W170" i="6"/>
  <c r="Y170" i="6" s="1"/>
  <c r="V170" i="6"/>
  <c r="S170" i="6"/>
  <c r="P170" i="6"/>
  <c r="M170" i="6"/>
  <c r="W169" i="6"/>
  <c r="Y169" i="6" s="1"/>
  <c r="V169" i="6"/>
  <c r="S169" i="6"/>
  <c r="P169" i="6"/>
  <c r="M169" i="6"/>
  <c r="T168" i="6"/>
  <c r="V168" i="6" s="1"/>
  <c r="Y168" i="6" s="1"/>
  <c r="S168" i="6"/>
  <c r="P168" i="6"/>
  <c r="M168" i="6"/>
  <c r="T167" i="6"/>
  <c r="V167" i="6" s="1"/>
  <c r="Y167" i="6" s="1"/>
  <c r="S167" i="6"/>
  <c r="P167" i="6"/>
  <c r="M167" i="6"/>
  <c r="T166" i="6"/>
  <c r="V166" i="6" s="1"/>
  <c r="Y166" i="6" s="1"/>
  <c r="S166" i="6"/>
  <c r="P166" i="6"/>
  <c r="M166" i="6"/>
  <c r="T165" i="6"/>
  <c r="V165" i="6" s="1"/>
  <c r="Y165" i="6" s="1"/>
  <c r="S165" i="6"/>
  <c r="P165" i="6"/>
  <c r="M165" i="6"/>
  <c r="T164" i="6"/>
  <c r="V164" i="6" s="1"/>
  <c r="Y164" i="6" s="1"/>
  <c r="S164" i="6"/>
  <c r="P164" i="6"/>
  <c r="M164" i="6"/>
  <c r="T163" i="6"/>
  <c r="V163" i="6" s="1"/>
  <c r="Y163" i="6" s="1"/>
  <c r="S163" i="6"/>
  <c r="P163" i="6"/>
  <c r="M163" i="6"/>
  <c r="T162" i="6"/>
  <c r="V162" i="6" s="1"/>
  <c r="Y162" i="6" s="1"/>
  <c r="S162" i="6"/>
  <c r="P162" i="6"/>
  <c r="M162" i="6"/>
  <c r="T161" i="6"/>
  <c r="V161" i="6" s="1"/>
  <c r="Y161" i="6" s="1"/>
  <c r="S161" i="6"/>
  <c r="P161" i="6"/>
  <c r="M161" i="6"/>
  <c r="T160" i="6"/>
  <c r="V160" i="6" s="1"/>
  <c r="Y160" i="6" s="1"/>
  <c r="S160" i="6"/>
  <c r="P160" i="6"/>
  <c r="M160" i="6"/>
  <c r="T159" i="6"/>
  <c r="V159" i="6" s="1"/>
  <c r="Y159" i="6" s="1"/>
  <c r="S159" i="6"/>
  <c r="P159" i="6"/>
  <c r="M159" i="6"/>
  <c r="T158" i="6"/>
  <c r="V158" i="6" s="1"/>
  <c r="Y158" i="6" s="1"/>
  <c r="S158" i="6"/>
  <c r="P158" i="6"/>
  <c r="M158" i="6"/>
  <c r="T157" i="6"/>
  <c r="V157" i="6" s="1"/>
  <c r="Y157" i="6" s="1"/>
  <c r="S157" i="6"/>
  <c r="P157" i="6"/>
  <c r="M157" i="6"/>
  <c r="T156" i="6"/>
  <c r="V156" i="6" s="1"/>
  <c r="Y156" i="6" s="1"/>
  <c r="S156" i="6"/>
  <c r="P156" i="6"/>
  <c r="M156" i="6"/>
  <c r="T155" i="6"/>
  <c r="V155" i="6" s="1"/>
  <c r="Y155" i="6" s="1"/>
  <c r="S155" i="6"/>
  <c r="P155" i="6"/>
  <c r="M155" i="6"/>
  <c r="T154" i="6"/>
  <c r="V154" i="6" s="1"/>
  <c r="Y154" i="6" s="1"/>
  <c r="S154" i="6"/>
  <c r="P154" i="6"/>
  <c r="M154" i="6"/>
  <c r="T153" i="6"/>
  <c r="V153" i="6" s="1"/>
  <c r="Y153" i="6" s="1"/>
  <c r="S153" i="6"/>
  <c r="P153" i="6"/>
  <c r="M153" i="6"/>
  <c r="T152" i="6"/>
  <c r="V152" i="6" s="1"/>
  <c r="Y152" i="6" s="1"/>
  <c r="S152" i="6"/>
  <c r="P152" i="6"/>
  <c r="M152" i="6"/>
  <c r="T151" i="6"/>
  <c r="V151" i="6" s="1"/>
  <c r="Y151" i="6" s="1"/>
  <c r="S151" i="6"/>
  <c r="P151" i="6"/>
  <c r="M151" i="6"/>
  <c r="T150" i="6"/>
  <c r="V150" i="6" s="1"/>
  <c r="Y150" i="6" s="1"/>
  <c r="S150" i="6"/>
  <c r="P150" i="6"/>
  <c r="M150" i="6"/>
  <c r="T149" i="6"/>
  <c r="V149" i="6" s="1"/>
  <c r="Y149" i="6" s="1"/>
  <c r="S149" i="6"/>
  <c r="P149" i="6"/>
  <c r="M149" i="6"/>
  <c r="T148" i="6"/>
  <c r="V148" i="6" s="1"/>
  <c r="Y148" i="6" s="1"/>
  <c r="S148" i="6"/>
  <c r="P148" i="6"/>
  <c r="M148" i="6"/>
  <c r="T147" i="6"/>
  <c r="V147" i="6" s="1"/>
  <c r="Y147" i="6" s="1"/>
  <c r="S147" i="6"/>
  <c r="P147" i="6"/>
  <c r="M147" i="6"/>
  <c r="T146" i="6"/>
  <c r="V146" i="6" s="1"/>
  <c r="Y146" i="6" s="1"/>
  <c r="S146" i="6"/>
  <c r="P146" i="6"/>
  <c r="M146" i="6"/>
  <c r="T145" i="6"/>
  <c r="V145" i="6" s="1"/>
  <c r="Y145" i="6" s="1"/>
  <c r="S145" i="6"/>
  <c r="P145" i="6"/>
  <c r="M145" i="6"/>
  <c r="T144" i="6"/>
  <c r="V144" i="6" s="1"/>
  <c r="Y144" i="6" s="1"/>
  <c r="S144" i="6"/>
  <c r="P144" i="6"/>
  <c r="M144" i="6"/>
  <c r="T143" i="6"/>
  <c r="V143" i="6" s="1"/>
  <c r="Y143" i="6" s="1"/>
  <c r="S143" i="6"/>
  <c r="P143" i="6"/>
  <c r="M143" i="6"/>
  <c r="T142" i="6"/>
  <c r="V142" i="6" s="1"/>
  <c r="Y142" i="6" s="1"/>
  <c r="S142" i="6"/>
  <c r="P142" i="6"/>
  <c r="M142" i="6"/>
  <c r="T141" i="6"/>
  <c r="V141" i="6" s="1"/>
  <c r="Y141" i="6" s="1"/>
  <c r="S141" i="6"/>
  <c r="P141" i="6"/>
  <c r="M141" i="6"/>
  <c r="T140" i="6"/>
  <c r="V140" i="6" s="1"/>
  <c r="Y140" i="6" s="1"/>
  <c r="S140" i="6"/>
  <c r="P140" i="6"/>
  <c r="M140" i="6"/>
  <c r="T139" i="6"/>
  <c r="V139" i="6" s="1"/>
  <c r="Y139" i="6" s="1"/>
  <c r="S139" i="6"/>
  <c r="P139" i="6"/>
  <c r="M139" i="6"/>
  <c r="T138" i="6"/>
  <c r="V138" i="6" s="1"/>
  <c r="Y138" i="6" s="1"/>
  <c r="S138" i="6"/>
  <c r="P138" i="6"/>
  <c r="M138" i="6"/>
  <c r="T137" i="6"/>
  <c r="V137" i="6" s="1"/>
  <c r="Y137" i="6" s="1"/>
  <c r="S137" i="6"/>
  <c r="P137" i="6"/>
  <c r="M137" i="6"/>
  <c r="T136" i="6"/>
  <c r="V136" i="6" s="1"/>
  <c r="Y136" i="6" s="1"/>
  <c r="S136" i="6"/>
  <c r="P136" i="6"/>
  <c r="M136" i="6"/>
  <c r="T135" i="6"/>
  <c r="V135" i="6" s="1"/>
  <c r="Y135" i="6" s="1"/>
  <c r="S135" i="6"/>
  <c r="P135" i="6"/>
  <c r="M135" i="6"/>
  <c r="T134" i="6"/>
  <c r="V134" i="6" s="1"/>
  <c r="Y134" i="6" s="1"/>
  <c r="S134" i="6"/>
  <c r="P134" i="6"/>
  <c r="M134" i="6"/>
  <c r="T133" i="6"/>
  <c r="V133" i="6" s="1"/>
  <c r="Y133" i="6" s="1"/>
  <c r="S133" i="6"/>
  <c r="P133" i="6"/>
  <c r="M133" i="6"/>
  <c r="T132" i="6"/>
  <c r="V132" i="6" s="1"/>
  <c r="Y132" i="6" s="1"/>
  <c r="S132" i="6"/>
  <c r="P132" i="6"/>
  <c r="M132" i="6"/>
  <c r="T131" i="6"/>
  <c r="V131" i="6" s="1"/>
  <c r="Y131" i="6" s="1"/>
  <c r="S131" i="6"/>
  <c r="P131" i="6"/>
  <c r="M131" i="6"/>
  <c r="T130" i="6"/>
  <c r="V130" i="6" s="1"/>
  <c r="Y130" i="6" s="1"/>
  <c r="S130" i="6"/>
  <c r="P130" i="6"/>
  <c r="M130" i="6"/>
  <c r="T129" i="6"/>
  <c r="V129" i="6" s="1"/>
  <c r="Y129" i="6" s="1"/>
  <c r="S129" i="6"/>
  <c r="P129" i="6"/>
  <c r="M129" i="6"/>
  <c r="T128" i="6"/>
  <c r="V128" i="6" s="1"/>
  <c r="Y128" i="6" s="1"/>
  <c r="S128" i="6"/>
  <c r="P128" i="6"/>
  <c r="M128" i="6"/>
  <c r="T127" i="6"/>
  <c r="V127" i="6" s="1"/>
  <c r="Y127" i="6" s="1"/>
  <c r="S127" i="6"/>
  <c r="P127" i="6"/>
  <c r="M127" i="6"/>
  <c r="T126" i="6"/>
  <c r="V126" i="6" s="1"/>
  <c r="Y126" i="6" s="1"/>
  <c r="S126" i="6"/>
  <c r="P126" i="6"/>
  <c r="M126" i="6"/>
  <c r="T125" i="6"/>
  <c r="V125" i="6" s="1"/>
  <c r="Y125" i="6" s="1"/>
  <c r="S125" i="6"/>
  <c r="P125" i="6"/>
  <c r="M125" i="6"/>
  <c r="T124" i="6"/>
  <c r="V124" i="6" s="1"/>
  <c r="Y124" i="6" s="1"/>
  <c r="S124" i="6"/>
  <c r="P124" i="6"/>
  <c r="M124" i="6"/>
  <c r="T123" i="6"/>
  <c r="V123" i="6" s="1"/>
  <c r="Y123" i="6" s="1"/>
  <c r="S123" i="6"/>
  <c r="P123" i="6"/>
  <c r="M123" i="6"/>
  <c r="T122" i="6"/>
  <c r="V122" i="6" s="1"/>
  <c r="Y122" i="6" s="1"/>
  <c r="S122" i="6"/>
  <c r="P122" i="6"/>
  <c r="M122" i="6"/>
  <c r="T121" i="6"/>
  <c r="V121" i="6" s="1"/>
  <c r="Y121" i="6" s="1"/>
  <c r="S121" i="6"/>
  <c r="P121" i="6"/>
  <c r="M121" i="6"/>
  <c r="T120" i="6"/>
  <c r="V120" i="6" s="1"/>
  <c r="Y120" i="6" s="1"/>
  <c r="S120" i="6"/>
  <c r="P120" i="6"/>
  <c r="M120" i="6"/>
  <c r="T119" i="6"/>
  <c r="V119" i="6" s="1"/>
  <c r="Y119" i="6" s="1"/>
  <c r="S119" i="6"/>
  <c r="P119" i="6"/>
  <c r="M119" i="6"/>
  <c r="T118" i="6"/>
  <c r="V118" i="6" s="1"/>
  <c r="Y118" i="6" s="1"/>
  <c r="S118" i="6"/>
  <c r="P118" i="6"/>
  <c r="M118" i="6"/>
  <c r="T117" i="6"/>
  <c r="V117" i="6" s="1"/>
  <c r="Y117" i="6" s="1"/>
  <c r="S117" i="6"/>
  <c r="P117" i="6"/>
  <c r="M117" i="6"/>
  <c r="AC111" i="6"/>
  <c r="AC110" i="6"/>
  <c r="AE110" i="6" s="1"/>
  <c r="P110" i="6"/>
  <c r="M110" i="6"/>
  <c r="AC109" i="6"/>
  <c r="AE109" i="6" s="1"/>
  <c r="P109" i="6"/>
  <c r="M109" i="6"/>
  <c r="AC108" i="6"/>
  <c r="AE108" i="6" s="1"/>
  <c r="P108" i="6"/>
  <c r="M108" i="6"/>
  <c r="AC107" i="6"/>
  <c r="AE107" i="6" s="1"/>
  <c r="P107" i="6"/>
  <c r="M107" i="6"/>
  <c r="AC106" i="6"/>
  <c r="AE106" i="6" s="1"/>
  <c r="P106" i="6"/>
  <c r="M106" i="6"/>
  <c r="AC105" i="6"/>
  <c r="AE105" i="6" s="1"/>
  <c r="P105" i="6"/>
  <c r="M105" i="6"/>
  <c r="AC104" i="6"/>
  <c r="AE104" i="6" s="1"/>
  <c r="P104" i="6"/>
  <c r="M104" i="6"/>
  <c r="AC103" i="6"/>
  <c r="AE103" i="6" s="1"/>
  <c r="P103" i="6"/>
  <c r="M103" i="6"/>
  <c r="AC102" i="6"/>
  <c r="AE102" i="6" s="1"/>
  <c r="P102" i="6"/>
  <c r="M102" i="6"/>
  <c r="AC101" i="6"/>
  <c r="AE101" i="6" s="1"/>
  <c r="AB101" i="6"/>
  <c r="Y101" i="6"/>
  <c r="V101" i="6"/>
  <c r="S101" i="6"/>
  <c r="P101" i="6"/>
  <c r="M101" i="6"/>
  <c r="AC100" i="6"/>
  <c r="AE100" i="6" s="1"/>
  <c r="AB100" i="6"/>
  <c r="Y100" i="6"/>
  <c r="V100" i="6"/>
  <c r="S100" i="6"/>
  <c r="P100" i="6"/>
  <c r="M100" i="6"/>
  <c r="AC99" i="6"/>
  <c r="AE99" i="6" s="1"/>
  <c r="AB99" i="6"/>
  <c r="Y99" i="6"/>
  <c r="V99" i="6"/>
  <c r="S99" i="6"/>
  <c r="P99" i="6"/>
  <c r="M99" i="6"/>
  <c r="AC98" i="6"/>
  <c r="AE98" i="6" s="1"/>
  <c r="AB98" i="6"/>
  <c r="Y98" i="6"/>
  <c r="V98" i="6"/>
  <c r="S98" i="6"/>
  <c r="P98" i="6"/>
  <c r="M98" i="6"/>
  <c r="AC97" i="6"/>
  <c r="AE97" i="6" s="1"/>
  <c r="AB97" i="6"/>
  <c r="Y97" i="6"/>
  <c r="V97" i="6"/>
  <c r="S97" i="6"/>
  <c r="P97" i="6"/>
  <c r="M97" i="6"/>
  <c r="AC96" i="6"/>
  <c r="AE96" i="6" s="1"/>
  <c r="AB96" i="6"/>
  <c r="Y96" i="6"/>
  <c r="V96" i="6"/>
  <c r="S96" i="6"/>
  <c r="P96" i="6"/>
  <c r="M96" i="6"/>
  <c r="AC95" i="6"/>
  <c r="AE95" i="6" s="1"/>
  <c r="AB95" i="6"/>
  <c r="Y95" i="6"/>
  <c r="V95" i="6"/>
  <c r="S95" i="6"/>
  <c r="P95" i="6"/>
  <c r="M95" i="6"/>
  <c r="AC94" i="6"/>
  <c r="AE94" i="6" s="1"/>
  <c r="AB94" i="6"/>
  <c r="Y94" i="6"/>
  <c r="V94" i="6"/>
  <c r="S94" i="6"/>
  <c r="P94" i="6"/>
  <c r="M94" i="6"/>
  <c r="AC93" i="6"/>
  <c r="AE93" i="6" s="1"/>
  <c r="AB93" i="6"/>
  <c r="Y93" i="6"/>
  <c r="V93" i="6"/>
  <c r="S93" i="6"/>
  <c r="P93" i="6"/>
  <c r="M93" i="6"/>
  <c r="AC92" i="6"/>
  <c r="AE92" i="6" s="1"/>
  <c r="AB92" i="6"/>
  <c r="Y92" i="6"/>
  <c r="V92" i="6"/>
  <c r="S92" i="6"/>
  <c r="P92" i="6"/>
  <c r="M92" i="6"/>
  <c r="AC91" i="6"/>
  <c r="AE91" i="6" s="1"/>
  <c r="AB91" i="6"/>
  <c r="Y91" i="6"/>
  <c r="V91" i="6"/>
  <c r="S91" i="6"/>
  <c r="P91" i="6"/>
  <c r="M91" i="6"/>
  <c r="AC90" i="6"/>
  <c r="AE90" i="6" s="1"/>
  <c r="AB90" i="6"/>
  <c r="Y90" i="6"/>
  <c r="V90" i="6"/>
  <c r="S90" i="6"/>
  <c r="P90" i="6"/>
  <c r="M90" i="6"/>
  <c r="AC89" i="6"/>
  <c r="AE89" i="6" s="1"/>
  <c r="AB89" i="6"/>
  <c r="Y89" i="6"/>
  <c r="V89" i="6"/>
  <c r="S89" i="6"/>
  <c r="P89" i="6"/>
  <c r="M89" i="6"/>
  <c r="AC88" i="6"/>
  <c r="AE88" i="6" s="1"/>
  <c r="AB88" i="6"/>
  <c r="Y88" i="6"/>
  <c r="V88" i="6"/>
  <c r="S88" i="6"/>
  <c r="P88" i="6"/>
  <c r="M88" i="6"/>
  <c r="AC87" i="6"/>
  <c r="AE87" i="6" s="1"/>
  <c r="AB87" i="6"/>
  <c r="Y87" i="6"/>
  <c r="V87" i="6"/>
  <c r="S87" i="6"/>
  <c r="P87" i="6"/>
  <c r="M87" i="6"/>
  <c r="AC86" i="6"/>
  <c r="AE86" i="6" s="1"/>
  <c r="AB86" i="6"/>
  <c r="Y86" i="6"/>
  <c r="V86" i="6"/>
  <c r="S86" i="6"/>
  <c r="P86" i="6"/>
  <c r="M86" i="6"/>
  <c r="AC85" i="6"/>
  <c r="AE85" i="6" s="1"/>
  <c r="AB85" i="6"/>
  <c r="Y85" i="6"/>
  <c r="V85" i="6"/>
  <c r="S85" i="6"/>
  <c r="P85" i="6"/>
  <c r="M85" i="6"/>
  <c r="AC84" i="6"/>
  <c r="AE84" i="6" s="1"/>
  <c r="AB84" i="6"/>
  <c r="Y84" i="6"/>
  <c r="V84" i="6"/>
  <c r="S84" i="6"/>
  <c r="P84" i="6"/>
  <c r="M84" i="6"/>
  <c r="AC83" i="6"/>
  <c r="AE83" i="6" s="1"/>
  <c r="AB83" i="6"/>
  <c r="Y83" i="6"/>
  <c r="V83" i="6"/>
  <c r="S83" i="6"/>
  <c r="P83" i="6"/>
  <c r="M83" i="6"/>
  <c r="AC82" i="6"/>
  <c r="AE82" i="6" s="1"/>
  <c r="AB82" i="6"/>
  <c r="Y82" i="6"/>
  <c r="V82" i="6"/>
  <c r="S82" i="6"/>
  <c r="P82" i="6"/>
  <c r="M82" i="6"/>
  <c r="AC81" i="6"/>
  <c r="AE81" i="6" s="1"/>
  <c r="AB81" i="6"/>
  <c r="Y81" i="6"/>
  <c r="V81" i="6"/>
  <c r="S81" i="6"/>
  <c r="P81" i="6"/>
  <c r="M81" i="6"/>
  <c r="AC80" i="6"/>
  <c r="AE80" i="6" s="1"/>
  <c r="AB80" i="6"/>
  <c r="Y80" i="6"/>
  <c r="V80" i="6"/>
  <c r="S80" i="6"/>
  <c r="P80" i="6"/>
  <c r="M80" i="6"/>
  <c r="AC79" i="6"/>
  <c r="AE79" i="6" s="1"/>
  <c r="AB79" i="6"/>
  <c r="Y79" i="6"/>
  <c r="V79" i="6"/>
  <c r="S79" i="6"/>
  <c r="P79" i="6"/>
  <c r="M79" i="6"/>
  <c r="AC78" i="6"/>
  <c r="AE78" i="6" s="1"/>
  <c r="AB78" i="6"/>
  <c r="Y78" i="6"/>
  <c r="V78" i="6"/>
  <c r="S78" i="6"/>
  <c r="P78" i="6"/>
  <c r="M78" i="6"/>
  <c r="AC77" i="6"/>
  <c r="AE77" i="6" s="1"/>
  <c r="AB77" i="6"/>
  <c r="Y77" i="6"/>
  <c r="V77" i="6"/>
  <c r="S77" i="6"/>
  <c r="P77" i="6"/>
  <c r="M77" i="6"/>
  <c r="AC76" i="6"/>
  <c r="AE76" i="6" s="1"/>
  <c r="AB76" i="6"/>
  <c r="Y76" i="6"/>
  <c r="V76" i="6"/>
  <c r="S76" i="6"/>
  <c r="P76" i="6"/>
  <c r="M76" i="6"/>
  <c r="AC75" i="6"/>
  <c r="AE75" i="6" s="1"/>
  <c r="AB75" i="6"/>
  <c r="Y75" i="6"/>
  <c r="V75" i="6"/>
  <c r="S75" i="6"/>
  <c r="P75" i="6"/>
  <c r="M75" i="6"/>
  <c r="AC74" i="6"/>
  <c r="AE74" i="6" s="1"/>
  <c r="AB74" i="6"/>
  <c r="Y74" i="6"/>
  <c r="V74" i="6"/>
  <c r="S74" i="6"/>
  <c r="P74" i="6"/>
  <c r="M74" i="6"/>
  <c r="AC73" i="6"/>
  <c r="AE73" i="6" s="1"/>
  <c r="AB73" i="6"/>
  <c r="Y73" i="6"/>
  <c r="V73" i="6"/>
  <c r="S73" i="6"/>
  <c r="P73" i="6"/>
  <c r="M73" i="6"/>
  <c r="AC72" i="6"/>
  <c r="AE72" i="6" s="1"/>
  <c r="AB72" i="6"/>
  <c r="Y72" i="6"/>
  <c r="V72" i="6"/>
  <c r="S72" i="6"/>
  <c r="P72" i="6"/>
  <c r="M72" i="6"/>
  <c r="AC71" i="6"/>
  <c r="AE71" i="6" s="1"/>
  <c r="AB71" i="6"/>
  <c r="Y71" i="6"/>
  <c r="V71" i="6"/>
  <c r="S71" i="6"/>
  <c r="P71" i="6"/>
  <c r="M71" i="6"/>
  <c r="AC70" i="6"/>
  <c r="AE70" i="6" s="1"/>
  <c r="AB70" i="6"/>
  <c r="Y70" i="6"/>
  <c r="V70" i="6"/>
  <c r="S70" i="6"/>
  <c r="P70" i="6"/>
  <c r="M70" i="6"/>
  <c r="AC69" i="6"/>
  <c r="AE69" i="6" s="1"/>
  <c r="AB69" i="6"/>
  <c r="Y69" i="6"/>
  <c r="V69" i="6"/>
  <c r="S69" i="6"/>
  <c r="P69" i="6"/>
  <c r="M69" i="6"/>
  <c r="AC68" i="6"/>
  <c r="AE68" i="6" s="1"/>
  <c r="AB68" i="6"/>
  <c r="Y68" i="6"/>
  <c r="V68" i="6"/>
  <c r="S68" i="6"/>
  <c r="P68" i="6"/>
  <c r="M68" i="6"/>
  <c r="AC67" i="6"/>
  <c r="AE67" i="6" s="1"/>
  <c r="AB67" i="6"/>
  <c r="Y67" i="6"/>
  <c r="V67" i="6"/>
  <c r="S67" i="6"/>
  <c r="P67" i="6"/>
  <c r="M67" i="6"/>
  <c r="AC66" i="6"/>
  <c r="AE66" i="6" s="1"/>
  <c r="AB66" i="6"/>
  <c r="Y66" i="6"/>
  <c r="V66" i="6"/>
  <c r="S66" i="6"/>
  <c r="P66" i="6"/>
  <c r="M66" i="6"/>
  <c r="AC65" i="6"/>
  <c r="AE65" i="6" s="1"/>
  <c r="AB65" i="6"/>
  <c r="Y65" i="6"/>
  <c r="V65" i="6"/>
  <c r="S65" i="6"/>
  <c r="P65" i="6"/>
  <c r="M65" i="6"/>
  <c r="AC64" i="6"/>
  <c r="AE64" i="6" s="1"/>
  <c r="AB64" i="6"/>
  <c r="Y64" i="6"/>
  <c r="V64" i="6"/>
  <c r="S64" i="6"/>
  <c r="P64" i="6"/>
  <c r="M64" i="6"/>
  <c r="AC63" i="6"/>
  <c r="AE63" i="6" s="1"/>
  <c r="AB63" i="6"/>
  <c r="Y63" i="6"/>
  <c r="V63" i="6"/>
  <c r="S63" i="6"/>
  <c r="P63" i="6"/>
  <c r="M63" i="6"/>
  <c r="AC62" i="6"/>
  <c r="AE62" i="6" s="1"/>
  <c r="AB62" i="6"/>
  <c r="Y62" i="6"/>
  <c r="V62" i="6"/>
  <c r="S62" i="6"/>
  <c r="P62" i="6"/>
  <c r="M62" i="6"/>
  <c r="AC61" i="6"/>
  <c r="AE61" i="6" s="1"/>
  <c r="AB61" i="6"/>
  <c r="Y61" i="6"/>
  <c r="V61" i="6"/>
  <c r="S61" i="6"/>
  <c r="P61" i="6"/>
  <c r="M61" i="6"/>
  <c r="AC60" i="6"/>
  <c r="AE60" i="6" s="1"/>
  <c r="AB60" i="6"/>
  <c r="Y60" i="6"/>
  <c r="V60" i="6"/>
  <c r="S60" i="6"/>
  <c r="P60" i="6"/>
  <c r="M60" i="6"/>
  <c r="AC59" i="6"/>
  <c r="AE59" i="6" s="1"/>
  <c r="AB59" i="6"/>
  <c r="Y59" i="6"/>
  <c r="V59" i="6"/>
  <c r="S59" i="6"/>
  <c r="P59" i="6"/>
  <c r="M59" i="6"/>
  <c r="AC58" i="6"/>
  <c r="AE58" i="6" s="1"/>
  <c r="AB58" i="6"/>
  <c r="Y58" i="6"/>
  <c r="V58" i="6"/>
  <c r="S58" i="6"/>
  <c r="P58" i="6"/>
  <c r="M58" i="6"/>
  <c r="AC57" i="6"/>
  <c r="AE57" i="6" s="1"/>
  <c r="AB57" i="6"/>
  <c r="Y57" i="6"/>
  <c r="V57" i="6"/>
  <c r="S57" i="6"/>
  <c r="P57" i="6"/>
  <c r="M57" i="6"/>
  <c r="AC56" i="6"/>
  <c r="AE56" i="6" s="1"/>
  <c r="AB56" i="6"/>
  <c r="Y56" i="6"/>
  <c r="V56" i="6"/>
  <c r="S56" i="6"/>
  <c r="P56" i="6"/>
  <c r="M56" i="6"/>
  <c r="AC55" i="6"/>
  <c r="AE55" i="6" s="1"/>
  <c r="AB55" i="6"/>
  <c r="Y55" i="6"/>
  <c r="V55" i="6"/>
  <c r="S55" i="6"/>
  <c r="P55" i="6"/>
  <c r="M55" i="6"/>
  <c r="AC54" i="6"/>
  <c r="AE54" i="6" s="1"/>
  <c r="AB54" i="6"/>
  <c r="Y54" i="6"/>
  <c r="V54" i="6"/>
  <c r="S54" i="6"/>
  <c r="P54" i="6"/>
  <c r="M54" i="6"/>
  <c r="AC53" i="6"/>
  <c r="AE53" i="6" s="1"/>
  <c r="AB53" i="6"/>
  <c r="Y53" i="6"/>
  <c r="V53" i="6"/>
  <c r="S53" i="6"/>
  <c r="P53" i="6"/>
  <c r="M53" i="6"/>
  <c r="AC52" i="6"/>
  <c r="AE52" i="6" s="1"/>
  <c r="AB52" i="6"/>
  <c r="Y52" i="6"/>
  <c r="V52" i="6"/>
  <c r="S52" i="6"/>
  <c r="P52" i="6"/>
  <c r="M52" i="6"/>
  <c r="AC51" i="6"/>
  <c r="AE51" i="6" s="1"/>
  <c r="AB51" i="6"/>
  <c r="Y51" i="6"/>
  <c r="V51" i="6"/>
  <c r="S51" i="6"/>
  <c r="P51" i="6"/>
  <c r="M51" i="6"/>
  <c r="AC50" i="6"/>
  <c r="AE50" i="6" s="1"/>
  <c r="AB50" i="6"/>
  <c r="Y50" i="6"/>
  <c r="V50" i="6"/>
  <c r="S50" i="6"/>
  <c r="P50" i="6"/>
  <c r="M50" i="6"/>
  <c r="AC49" i="6"/>
  <c r="AE49" i="6" s="1"/>
  <c r="AB49" i="6"/>
  <c r="Y49" i="6"/>
  <c r="V49" i="6"/>
  <c r="S49" i="6"/>
  <c r="P49" i="6"/>
  <c r="M49" i="6"/>
  <c r="AC48" i="6"/>
  <c r="AE48" i="6" s="1"/>
  <c r="AB48" i="6"/>
  <c r="Y48" i="6"/>
  <c r="V48" i="6"/>
  <c r="S48" i="6"/>
  <c r="P48" i="6"/>
  <c r="M48" i="6"/>
  <c r="W42" i="6"/>
  <c r="Y42" i="6" s="1"/>
  <c r="AB42" i="6" s="1"/>
  <c r="V42" i="6"/>
  <c r="S42" i="6"/>
  <c r="P42" i="6"/>
  <c r="M42" i="6"/>
  <c r="W41" i="6"/>
  <c r="Y41" i="6" s="1"/>
  <c r="AB41" i="6" s="1"/>
  <c r="V41" i="6"/>
  <c r="S41" i="6"/>
  <c r="P41" i="6"/>
  <c r="M41" i="6"/>
  <c r="W40" i="6"/>
  <c r="Y40" i="6" s="1"/>
  <c r="AB40" i="6" s="1"/>
  <c r="V40" i="6"/>
  <c r="S40" i="6"/>
  <c r="P40" i="6"/>
  <c r="M40" i="6"/>
  <c r="W39" i="6"/>
  <c r="Y39" i="6" s="1"/>
  <c r="AB39" i="6" s="1"/>
  <c r="V39" i="6"/>
  <c r="S39" i="6"/>
  <c r="P39" i="6"/>
  <c r="M39" i="6"/>
  <c r="T38" i="6"/>
  <c r="V38" i="6" s="1"/>
  <c r="AB38" i="6" s="1"/>
  <c r="S38" i="6"/>
  <c r="P38" i="6"/>
  <c r="M38" i="6"/>
  <c r="T37" i="6"/>
  <c r="V37" i="6" s="1"/>
  <c r="AB37" i="6" s="1"/>
  <c r="S37" i="6"/>
  <c r="P37" i="6"/>
  <c r="M37" i="6"/>
  <c r="T36" i="6"/>
  <c r="V36" i="6" s="1"/>
  <c r="AB36" i="6" s="1"/>
  <c r="S36" i="6"/>
  <c r="P36" i="6"/>
  <c r="M36" i="6"/>
  <c r="T35" i="6"/>
  <c r="V35" i="6" s="1"/>
  <c r="AB35" i="6" s="1"/>
  <c r="S35" i="6"/>
  <c r="P35" i="6"/>
  <c r="M35" i="6"/>
  <c r="T34" i="6"/>
  <c r="V34" i="6" s="1"/>
  <c r="AB34" i="6" s="1"/>
  <c r="S34" i="6"/>
  <c r="P34" i="6"/>
  <c r="M34" i="6"/>
  <c r="T33" i="6"/>
  <c r="V33" i="6" s="1"/>
  <c r="AB33" i="6" s="1"/>
  <c r="S33" i="6"/>
  <c r="P33" i="6"/>
  <c r="M33" i="6"/>
  <c r="T32" i="6"/>
  <c r="V32" i="6" s="1"/>
  <c r="AB32" i="6" s="1"/>
  <c r="S32" i="6"/>
  <c r="P32" i="6"/>
  <c r="M32" i="6"/>
  <c r="T31" i="6"/>
  <c r="V31" i="6" s="1"/>
  <c r="AB31" i="6" s="1"/>
  <c r="S31" i="6"/>
  <c r="P31" i="6"/>
  <c r="M31" i="6"/>
  <c r="T30" i="6"/>
  <c r="V30" i="6" s="1"/>
  <c r="AB30" i="6" s="1"/>
  <c r="S30" i="6"/>
  <c r="P30" i="6"/>
  <c r="M30" i="6"/>
  <c r="T29" i="6"/>
  <c r="V29" i="6" s="1"/>
  <c r="AB29" i="6" s="1"/>
  <c r="S29" i="6"/>
  <c r="P29" i="6"/>
  <c r="M29" i="6"/>
  <c r="T28" i="6"/>
  <c r="V28" i="6" s="1"/>
  <c r="AB28" i="6" s="1"/>
  <c r="S28" i="6"/>
  <c r="P28" i="6"/>
  <c r="M28" i="6"/>
  <c r="T27" i="6"/>
  <c r="V27" i="6" s="1"/>
  <c r="AB27" i="6" s="1"/>
  <c r="S27" i="6"/>
  <c r="P27" i="6"/>
  <c r="M27" i="6"/>
  <c r="T26" i="6"/>
  <c r="V26" i="6" s="1"/>
  <c r="AB26" i="6" s="1"/>
  <c r="S26" i="6"/>
  <c r="P26" i="6"/>
  <c r="M26" i="6"/>
  <c r="T25" i="6"/>
  <c r="V25" i="6" s="1"/>
  <c r="AB25" i="6" s="1"/>
  <c r="S25" i="6"/>
  <c r="P25" i="6"/>
  <c r="M25" i="6"/>
  <c r="T24" i="6"/>
  <c r="V24" i="6" s="1"/>
  <c r="AB24" i="6" s="1"/>
  <c r="S24" i="6"/>
  <c r="P24" i="6"/>
  <c r="M24" i="6"/>
  <c r="T23" i="6"/>
  <c r="V23" i="6" s="1"/>
  <c r="AB23" i="6" s="1"/>
  <c r="S23" i="6"/>
  <c r="P23" i="6"/>
  <c r="M23" i="6"/>
  <c r="Z22" i="6"/>
  <c r="AB22" i="6" s="1"/>
  <c r="Y22" i="6"/>
  <c r="V22" i="6"/>
  <c r="S22" i="6"/>
  <c r="P22" i="6"/>
  <c r="M22" i="6"/>
  <c r="Z21" i="6"/>
  <c r="AB21" i="6" s="1"/>
  <c r="Y21" i="6"/>
  <c r="V21" i="6"/>
  <c r="S21" i="6"/>
  <c r="P21" i="6"/>
  <c r="M21" i="6"/>
  <c r="Z20" i="6"/>
  <c r="AB20" i="6" s="1"/>
  <c r="Y20" i="6"/>
  <c r="V20" i="6"/>
  <c r="S20" i="6"/>
  <c r="P20" i="6"/>
  <c r="M20" i="6"/>
  <c r="Z19" i="6"/>
  <c r="AB19" i="6" s="1"/>
  <c r="Y19" i="6"/>
  <c r="V19" i="6"/>
  <c r="S19" i="6"/>
  <c r="P19" i="6"/>
  <c r="M19" i="6"/>
  <c r="Z18" i="6"/>
  <c r="AB18" i="6" s="1"/>
  <c r="Y18" i="6"/>
  <c r="V18" i="6"/>
  <c r="S18" i="6"/>
  <c r="P18" i="6"/>
  <c r="M18" i="6"/>
  <c r="Z17" i="6"/>
  <c r="AB17" i="6" s="1"/>
  <c r="Y17" i="6"/>
  <c r="V17" i="6"/>
  <c r="S17" i="6"/>
  <c r="P17" i="6"/>
  <c r="M17" i="6"/>
  <c r="Z16" i="6"/>
  <c r="AB16" i="6" s="1"/>
  <c r="Y16" i="6"/>
  <c r="V16" i="6"/>
  <c r="S16" i="6"/>
  <c r="P16" i="6"/>
  <c r="M16" i="6"/>
  <c r="Z15" i="6"/>
  <c r="AB15" i="6" s="1"/>
  <c r="Y15" i="6"/>
  <c r="V15" i="6"/>
  <c r="S15" i="6"/>
  <c r="P15" i="6"/>
  <c r="M15" i="6"/>
  <c r="Z14" i="6"/>
  <c r="AB14" i="6" s="1"/>
  <c r="Y14" i="6"/>
  <c r="V14" i="6"/>
  <c r="S14" i="6"/>
  <c r="P14" i="6"/>
  <c r="M14" i="6"/>
  <c r="Z13" i="6"/>
  <c r="AB13" i="6" s="1"/>
  <c r="Y13" i="6"/>
  <c r="V13" i="6"/>
  <c r="S13" i="6"/>
  <c r="P13" i="6"/>
  <c r="M13" i="6"/>
  <c r="Z12" i="6"/>
  <c r="AB12" i="6" s="1"/>
  <c r="Y12" i="6"/>
  <c r="V12" i="6"/>
  <c r="S12" i="6"/>
  <c r="P12" i="6"/>
  <c r="M12" i="6"/>
  <c r="Z11" i="6"/>
  <c r="AB11" i="6" s="1"/>
  <c r="Y11" i="6"/>
  <c r="V11" i="6"/>
  <c r="S11" i="6"/>
  <c r="P11" i="6"/>
  <c r="M11" i="6"/>
  <c r="Z10" i="6"/>
  <c r="AB10" i="6" s="1"/>
  <c r="Y10" i="6"/>
  <c r="V10" i="6"/>
  <c r="S10" i="6"/>
  <c r="P10" i="6"/>
  <c r="M10" i="6"/>
  <c r="Z9" i="6"/>
  <c r="AB9" i="6" s="1"/>
  <c r="Y9" i="6"/>
  <c r="V9" i="6"/>
  <c r="S9" i="6"/>
  <c r="P9" i="6"/>
  <c r="M9" i="6"/>
  <c r="Z8" i="6"/>
  <c r="AB8" i="6" s="1"/>
  <c r="Y8" i="6"/>
  <c r="V8" i="6"/>
  <c r="S8" i="6"/>
  <c r="P8" i="6"/>
  <c r="M8" i="6"/>
  <c r="Z7" i="6"/>
  <c r="AB7" i="6" s="1"/>
  <c r="Y7" i="6"/>
  <c r="V7" i="6"/>
  <c r="S7" i="6"/>
  <c r="P7" i="6"/>
  <c r="M7" i="6"/>
  <c r="Z6" i="6"/>
  <c r="AB6" i="6" s="1"/>
  <c r="Y6" i="6"/>
  <c r="V6" i="6"/>
  <c r="S6" i="6"/>
  <c r="P6" i="6"/>
  <c r="M6" i="6"/>
  <c r="A164" i="4"/>
  <c r="A154" i="4"/>
  <c r="A133" i="4"/>
  <c r="A144" i="4"/>
  <c r="P695" i="6" l="1"/>
  <c r="Q690" i="6"/>
  <c r="S690" i="6" s="1"/>
  <c r="P701" i="6"/>
  <c r="P679" i="6"/>
  <c r="Q674" i="6"/>
  <c r="S674" i="6" s="1"/>
  <c r="P1265" i="6"/>
  <c r="Q677" i="6"/>
  <c r="S677" i="6" s="1"/>
  <c r="Q693" i="6"/>
  <c r="S693" i="6" s="1"/>
  <c r="Q797" i="6"/>
  <c r="S797" i="6" s="1"/>
  <c r="Q798" i="6"/>
  <c r="S798" i="6" s="1"/>
  <c r="M802" i="6"/>
  <c r="M811" i="6"/>
  <c r="Q815" i="6"/>
  <c r="S815" i="6" s="1"/>
  <c r="P667" i="6"/>
  <c r="P683" i="6"/>
  <c r="Q697" i="6"/>
  <c r="S697" i="6" s="1"/>
  <c r="Q706" i="6"/>
  <c r="S706" i="6" s="1"/>
  <c r="S1094" i="6"/>
  <c r="P1112" i="6"/>
  <c r="M527" i="6"/>
  <c r="Q662" i="6"/>
  <c r="S662" i="6" s="1"/>
  <c r="P671" i="6"/>
  <c r="Q689" i="6"/>
  <c r="S689" i="6" s="1"/>
  <c r="P709" i="6"/>
  <c r="M752" i="6"/>
  <c r="Q807" i="6"/>
  <c r="S807" i="6" s="1"/>
  <c r="M809" i="6"/>
  <c r="Q824" i="6"/>
  <c r="S824" i="6" s="1"/>
  <c r="Q827" i="6"/>
  <c r="S827" i="6" s="1"/>
  <c r="Q828" i="6"/>
  <c r="S828" i="6" s="1"/>
  <c r="M1223" i="6"/>
  <c r="T233" i="6"/>
  <c r="M516" i="6"/>
  <c r="P527" i="6"/>
  <c r="Q800" i="6"/>
  <c r="S800" i="6" s="1"/>
  <c r="P926" i="6"/>
  <c r="P1223" i="6"/>
  <c r="Q233" i="6"/>
  <c r="M269" i="6"/>
  <c r="Q678" i="6"/>
  <c r="S678" i="6" s="1"/>
  <c r="P681" i="6"/>
  <c r="Q694" i="6"/>
  <c r="S694" i="6" s="1"/>
  <c r="Q698" i="6"/>
  <c r="S698" i="6" s="1"/>
  <c r="S752" i="6"/>
  <c r="Q669" i="6"/>
  <c r="S669" i="6" s="1"/>
  <c r="P669" i="6"/>
  <c r="M817" i="6"/>
  <c r="Q817" i="6"/>
  <c r="S817" i="6" s="1"/>
  <c r="M819" i="6"/>
  <c r="Q819" i="6"/>
  <c r="S819" i="6" s="1"/>
  <c r="M826" i="6"/>
  <c r="Q826" i="6"/>
  <c r="S826" i="6" s="1"/>
  <c r="M830" i="6"/>
  <c r="Q830" i="6"/>
  <c r="S830" i="6" s="1"/>
  <c r="P666" i="6"/>
  <c r="Q666" i="6"/>
  <c r="S666" i="6" s="1"/>
  <c r="P686" i="6"/>
  <c r="Q686" i="6"/>
  <c r="S686" i="6" s="1"/>
  <c r="M834" i="6"/>
  <c r="M836" i="6"/>
  <c r="Q836" i="6"/>
  <c r="S836" i="6" s="1"/>
  <c r="N233" i="6"/>
  <c r="P670" i="6"/>
  <c r="Q670" i="6"/>
  <c r="S670" i="6" s="1"/>
  <c r="Q673" i="6"/>
  <c r="S673" i="6" s="1"/>
  <c r="Q707" i="6"/>
  <c r="S707" i="6" s="1"/>
  <c r="P707" i="6"/>
  <c r="M813" i="6"/>
  <c r="M831" i="6"/>
  <c r="Q831" i="6"/>
  <c r="S831" i="6" s="1"/>
  <c r="Q833" i="6"/>
  <c r="S833" i="6" s="1"/>
  <c r="M833" i="6"/>
  <c r="Q703" i="6"/>
  <c r="S703" i="6" s="1"/>
  <c r="P703" i="6"/>
  <c r="M805" i="6"/>
  <c r="Q805" i="6"/>
  <c r="S805" i="6" s="1"/>
  <c r="S269" i="6"/>
  <c r="P575" i="6"/>
  <c r="Q682" i="6"/>
  <c r="S682" i="6" s="1"/>
  <c r="P685" i="6"/>
  <c r="S626" i="6"/>
  <c r="Q691" i="6"/>
  <c r="S691" i="6" s="1"/>
  <c r="P691" i="6"/>
  <c r="M788" i="6"/>
  <c r="M801" i="6"/>
  <c r="Q801" i="6"/>
  <c r="S801" i="6" s="1"/>
  <c r="P1065" i="6"/>
  <c r="M657" i="6"/>
  <c r="M710" i="6"/>
  <c r="Q663" i="6"/>
  <c r="S663" i="6" s="1"/>
  <c r="P663" i="6"/>
  <c r="Q675" i="6"/>
  <c r="S675" i="6" s="1"/>
  <c r="P675" i="6"/>
  <c r="P687" i="6"/>
  <c r="P699" i="6"/>
  <c r="P702" i="6"/>
  <c r="Q702" i="6"/>
  <c r="S702" i="6" s="1"/>
  <c r="Q705" i="6"/>
  <c r="S705" i="6" s="1"/>
  <c r="P752" i="6"/>
  <c r="P788" i="6"/>
  <c r="M832" i="6"/>
  <c r="M840" i="6"/>
  <c r="S1065" i="6"/>
  <c r="M399" i="6"/>
  <c r="M575" i="6"/>
  <c r="P657" i="6"/>
  <c r="S788" i="6"/>
  <c r="M926" i="6"/>
  <c r="M1065" i="6"/>
  <c r="S1223" i="6"/>
  <c r="M1094" i="6"/>
  <c r="P1094" i="6"/>
  <c r="M1208" i="6"/>
  <c r="M1112" i="6"/>
  <c r="P1208" i="6"/>
  <c r="M1265" i="6"/>
  <c r="S527" i="6"/>
  <c r="P516" i="6"/>
  <c r="S486" i="6"/>
  <c r="P486" i="6"/>
  <c r="M486" i="6"/>
  <c r="P399" i="6"/>
  <c r="S399" i="6"/>
  <c r="P269" i="6"/>
  <c r="U400" i="6"/>
  <c r="U401" i="6" s="1"/>
  <c r="U402" i="6" s="1"/>
  <c r="U403" i="6" s="1"/>
  <c r="Y218" i="6"/>
  <c r="M111" i="6"/>
  <c r="P111" i="6"/>
  <c r="AB43" i="6"/>
  <c r="AE111" i="6"/>
  <c r="W233" i="6"/>
  <c r="S516" i="6"/>
  <c r="M626" i="6"/>
  <c r="V752" i="6"/>
  <c r="S575" i="6"/>
  <c r="P626" i="6"/>
  <c r="S657" i="6"/>
  <c r="V575" i="6"/>
  <c r="P664" i="6"/>
  <c r="P668" i="6"/>
  <c r="P672" i="6"/>
  <c r="P676" i="6"/>
  <c r="P680" i="6"/>
  <c r="P684" i="6"/>
  <c r="P688" i="6"/>
  <c r="P692" i="6"/>
  <c r="P696" i="6"/>
  <c r="P700" i="6"/>
  <c r="P704" i="6"/>
  <c r="P708" i="6"/>
  <c r="M795" i="6"/>
  <c r="M796" i="6"/>
  <c r="M808" i="6"/>
  <c r="Q808" i="6"/>
  <c r="S808" i="6" s="1"/>
  <c r="Q821" i="6"/>
  <c r="S821" i="6" s="1"/>
  <c r="M821" i="6"/>
  <c r="Q837" i="6"/>
  <c r="S837" i="6" s="1"/>
  <c r="M837" i="6"/>
  <c r="P665" i="6"/>
  <c r="M799" i="6"/>
  <c r="M804" i="6"/>
  <c r="Q806" i="6"/>
  <c r="S806" i="6" s="1"/>
  <c r="M806" i="6"/>
  <c r="M812" i="6"/>
  <c r="Q812" i="6"/>
  <c r="S812" i="6" s="1"/>
  <c r="S926" i="6"/>
  <c r="S1208" i="6"/>
  <c r="M816" i="6"/>
  <c r="Q816" i="6"/>
  <c r="S816" i="6" s="1"/>
  <c r="M820" i="6"/>
  <c r="Q820" i="6"/>
  <c r="S820" i="6" s="1"/>
  <c r="M822" i="6"/>
  <c r="Q822" i="6"/>
  <c r="S822" i="6" s="1"/>
  <c r="M835" i="6"/>
  <c r="Q835" i="6"/>
  <c r="S835" i="6" s="1"/>
  <c r="M838" i="6"/>
  <c r="Q838" i="6"/>
  <c r="S838" i="6" s="1"/>
  <c r="S1112" i="6"/>
  <c r="M825" i="6"/>
  <c r="M841" i="6"/>
  <c r="M810" i="6"/>
  <c r="M814" i="6"/>
  <c r="M818" i="6"/>
  <c r="Q823" i="6"/>
  <c r="S823" i="6" s="1"/>
  <c r="M829" i="6"/>
  <c r="Q839" i="6"/>
  <c r="S839" i="6" s="1"/>
  <c r="S1265" i="6"/>
  <c r="A122" i="4"/>
  <c r="A115" i="4"/>
  <c r="A105" i="4"/>
  <c r="A97" i="4"/>
  <c r="A85" i="4"/>
  <c r="A78" i="4"/>
  <c r="A72" i="4"/>
  <c r="A65" i="4"/>
  <c r="A41" i="4"/>
  <c r="A32" i="4"/>
  <c r="A28" i="4"/>
  <c r="A19" i="4"/>
  <c r="B17" i="2" l="1"/>
  <c r="B17" i="7"/>
  <c r="S710" i="6"/>
  <c r="P710" i="6"/>
  <c r="S871" i="6"/>
  <c r="B25" i="2" l="1"/>
  <c r="D25" i="2" s="1"/>
  <c r="B25" i="7"/>
  <c r="D25" i="7" s="1"/>
  <c r="E25" i="7" s="1"/>
  <c r="A25" i="2"/>
  <c r="A17" i="2" l="1"/>
  <c r="A16" i="2" l="1"/>
  <c r="A7" i="3" s="1" a="1"/>
  <c r="A7" i="3" s="1"/>
  <c r="B16" i="2" l="1"/>
  <c r="B7" i="3" s="1" a="1"/>
  <c r="B7" i="3" s="1"/>
  <c r="C7" i="3" s="1"/>
  <c r="B16" i="7"/>
  <c r="B19" i="7"/>
  <c r="B19" i="2"/>
  <c r="A19" i="2"/>
  <c r="B18" i="7" l="1"/>
  <c r="B12" i="2"/>
  <c r="B12" i="7"/>
  <c r="B7" i="2"/>
  <c r="B7" i="7"/>
  <c r="B18" i="2"/>
  <c r="A15" i="3"/>
  <c r="E25" i="2" l="1"/>
  <c r="B15" i="3"/>
  <c r="B17" i="3" l="1"/>
  <c r="B18" i="3" s="1"/>
  <c r="A24" i="2" l="1"/>
  <c r="A23" i="2" l="1"/>
  <c r="A22" i="2"/>
  <c r="A21" i="2"/>
  <c r="A20" i="2"/>
  <c r="A18" i="2"/>
  <c r="G4" i="3" l="1" a="1"/>
  <c r="G4" i="3" s="1"/>
  <c r="A15" i="2"/>
  <c r="A14" i="2"/>
  <c r="B21" i="2" l="1"/>
  <c r="B21" i="7"/>
  <c r="B22" i="2"/>
  <c r="B22" i="7"/>
  <c r="B24" i="2"/>
  <c r="B24" i="7"/>
  <c r="B20" i="2"/>
  <c r="D18" i="2" s="1"/>
  <c r="E18" i="2" s="1"/>
  <c r="B20" i="7"/>
  <c r="B23" i="2"/>
  <c r="B23" i="7"/>
  <c r="A13" i="2"/>
  <c r="A4" i="3" s="1" a="1"/>
  <c r="A4" i="3" s="1"/>
  <c r="D18" i="7" l="1"/>
  <c r="E18" i="7" s="1"/>
  <c r="B14" i="2"/>
  <c r="B14" i="7"/>
  <c r="H4" i="3" a="1"/>
  <c r="B13" i="2" l="1"/>
  <c r="D13" i="2" s="1"/>
  <c r="B13" i="7"/>
  <c r="B15" i="2"/>
  <c r="B15" i="7"/>
  <c r="H4" i="3"/>
  <c r="E13" i="2" l="1"/>
  <c r="F16" i="2" s="1"/>
  <c r="B4" i="3" a="1"/>
  <c r="B4" i="3" s="1"/>
  <c r="B9" i="3" s="1"/>
  <c r="H11" i="3"/>
  <c r="H33" i="3"/>
  <c r="D13" i="7"/>
  <c r="E13" i="7"/>
  <c r="F16" i="7" s="1"/>
  <c r="A12" i="2"/>
  <c r="A30" i="3" s="1"/>
  <c r="A11" i="2"/>
  <c r="A29" i="3" s="1"/>
  <c r="A10" i="2"/>
  <c r="A28" i="3" s="1"/>
  <c r="A9" i="2"/>
  <c r="A8" i="2"/>
  <c r="A26" i="3" s="1"/>
  <c r="C4" i="3" l="1"/>
  <c r="A27" i="3"/>
  <c r="A54" i="4"/>
  <c r="B30" i="3"/>
  <c r="B8" i="2" l="1"/>
  <c r="B26" i="3" s="1"/>
  <c r="B8" i="7"/>
  <c r="B10" i="2"/>
  <c r="B28" i="3" s="1"/>
  <c r="B10" i="7"/>
  <c r="B11" i="2"/>
  <c r="B29" i="3" s="1"/>
  <c r="B11" i="7"/>
  <c r="B9" i="2"/>
  <c r="B27" i="3" s="1"/>
  <c r="B9" i="7"/>
  <c r="C26" i="3" l="1"/>
  <c r="A7" i="2"/>
  <c r="A25" i="3" s="1"/>
  <c r="A6" i="2"/>
  <c r="A24" i="3" s="1"/>
  <c r="B6" i="7" l="1"/>
  <c r="D6" i="7" s="1"/>
  <c r="E6" i="7" s="1"/>
  <c r="B25" i="3"/>
  <c r="C30" i="3" s="1"/>
  <c r="B6" i="2"/>
  <c r="B24" i="3" l="1"/>
  <c r="D6" i="2"/>
  <c r="E6" i="2" s="1"/>
  <c r="B31" i="3" l="1"/>
  <c r="C24" i="3"/>
  <c r="A5" i="2"/>
  <c r="G21" i="3" s="1"/>
  <c r="A4" i="2"/>
  <c r="A3" i="2"/>
  <c r="G20" i="3" l="1"/>
  <c r="A10" i="4"/>
  <c r="G19" i="3"/>
  <c r="A1" i="4"/>
  <c r="H21" i="3" l="1"/>
  <c r="B5" i="7"/>
  <c r="B4" i="2" l="1"/>
  <c r="H20" i="3" s="1"/>
  <c r="H32" i="3" s="1"/>
  <c r="B4" i="7"/>
  <c r="B27" i="2" l="1"/>
  <c r="B3" i="7"/>
  <c r="B27" i="7" l="1"/>
  <c r="D3" i="7"/>
  <c r="E3" i="7" s="1"/>
  <c r="H19" i="3"/>
  <c r="H23" i="3" s="1"/>
  <c r="H24" i="3" s="1"/>
  <c r="D3" i="2"/>
  <c r="E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tc={497F9A62-BB79-49C9-9978-7EB07F02DEEA}</author>
    <author>tc={85346E62-F962-4749-9BFC-89BD505A1797}</author>
    <author>tc={16A06A25-F253-4559-B4E9-D1DD070BFB31}</author>
    <author>tc={7AE09A76-686B-4630-98E8-CE621519B56F}</author>
  </authors>
  <commentList>
    <comment ref="J92" authorId="0" shapeId="0" xr:uid="{E7A3548D-BE23-4D3B-8C6A-6D49735F616C}">
      <text>
        <r>
          <rPr>
            <sz val="11"/>
            <color theme="1"/>
            <rFont val="Calibri"/>
            <family val="2"/>
          </rPr>
          <t>======
ID#AAAAU6dm1dY
Windows User    (2021-02-22 19:36:54)
Productos Perkins es quien lo distribuye en palmira valle. Anexo cotización</t>
        </r>
      </text>
    </comment>
    <comment ref="F533" authorId="1" shapeId="0" xr:uid="{497F9A62-BB79-49C9-9978-7EB07F02DEEA}">
      <text>
        <t>[Comentario encadenado]
Su versión de Excel le permite leer este comentario encadenado; sin embargo, las ediciones que se apliquen se quitarán si el archivo se abre en una versión más reciente de Excel. Más información: https://go.microsoft.com/fwlink/?linkid=870924
Comentario:
    Emsure no es marca significa nivel de pureza del reactivo, si se pusiera marca seria Merck</t>
      </text>
    </comment>
    <comment ref="F554" authorId="2" shapeId="0" xr:uid="{85346E62-F962-4749-9BFC-89BD505A1797}">
      <text>
        <t>[Comentario encadenado]
Su versión de Excel le permite leer este comentario encadenado; sin embargo, las ediciones que se apliquen se quitarán si el archivo se abre en una versión más reciente de Excel. Más información: https://go.microsoft.com/fwlink/?linkid=870924
Comentario:
    winkler no es marca es nombre del procedimiento y el frasco toma el nombre</t>
      </text>
    </comment>
    <comment ref="F716" authorId="3" shapeId="0" xr:uid="{16A06A25-F253-4559-B4E9-D1DD070BFB31}">
      <text>
        <t>[Comentario encadenado]
Su versión de Excel le permite leer este comentario encadenado; sin embargo, las ediciones que se apliquen se quitarán si el archivo se abre en una versión más reciente de Excel. Más información: https://go.microsoft.com/fwlink/?linkid=870924
Comentario:
    genamin no es marca es el nombre comun con que se conoce, como decir blanqueador  en vez de hipoclorito de sodio</t>
      </text>
    </comment>
    <comment ref="F739" authorId="4" shapeId="0" xr:uid="{7AE09A76-686B-4630-98E8-CE621519B56F}">
      <text>
        <t>[Comentario encadenado]
Su versión de Excel le permite leer este comentario encadenado; sin embargo, las ediciones que se apliquen se quitarán si el archivo se abre en una versión más reciente de Excel. Más información: https://go.microsoft.com/fwlink/?linkid=870924
Comentario:
    genamin no es marca es el nombre comun con que se conoce, como decir blanqueador  en vez de hipoclorito de sodio</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<sst xmlns="http://schemas.openxmlformats.org/spreadsheetml/2006/main" count="4760" uniqueCount="2083">
  <si>
    <t>ESTUDIO DE MERCADO SUBASTA INVERSA DE MATERIALES DE FORMACIÓN</t>
  </si>
  <si>
    <t>Lote 1: Pecuario SER</t>
  </si>
  <si>
    <t xml:space="preserve">TIPO </t>
  </si>
  <si>
    <t>CÓDIGO DE BIEN</t>
  </si>
  <si>
    <t>CODIGO ELEMENTO</t>
  </si>
  <si>
    <t>CÓDIGO UNSPSC</t>
  </si>
  <si>
    <t>ITEM</t>
  </si>
  <si>
    <t>DESCRIPCIÓN DEL ELEMENTOS</t>
  </si>
  <si>
    <t>UNIDAD DE MEDIDA</t>
  </si>
  <si>
    <t>CANTIDAD SOLICITADA</t>
  </si>
  <si>
    <t>COLANTA</t>
  </si>
  <si>
    <t>RED AGRO</t>
  </si>
  <si>
    <t>IVANAGRO</t>
  </si>
  <si>
    <t>ARANGO HERMANOS</t>
  </si>
  <si>
    <t>AGROTRILLADORA</t>
  </si>
  <si>
    <t>PROMEDIO</t>
  </si>
  <si>
    <t xml:space="preserve">VALOR UNITARIO </t>
  </si>
  <si>
    <t>% IVA</t>
  </si>
  <si>
    <t xml:space="preserve">VALOR TOTAL </t>
  </si>
  <si>
    <t>142121612</t>
  </si>
  <si>
    <t>JERINGA 20ML</t>
  </si>
  <si>
    <t xml:space="preserve">UNIDAD </t>
  </si>
  <si>
    <t>JERINGA 10ML</t>
  </si>
  <si>
    <t xml:space="preserve">UNIDAD 
</t>
  </si>
  <si>
    <t>AGUJA CALIBRE 16 x 11/2</t>
  </si>
  <si>
    <t>UNIDAD</t>
  </si>
  <si>
    <t>GUANTE DE PALPACION (OBSTETRICO)</t>
  </si>
  <si>
    <t>142121611</t>
  </si>
  <si>
    <t>OXITETRACICLINA MK</t>
  </si>
  <si>
    <t>FRASCO x 500ml</t>
  </si>
  <si>
    <t>VENOCLISIS (MACROGOTEO)</t>
  </si>
  <si>
    <t>238780</t>
  </si>
  <si>
    <t xml:space="preserve">ALBENDAZOL </t>
  </si>
  <si>
    <t>FRASCO 100ml</t>
  </si>
  <si>
    <t>254936</t>
  </si>
  <si>
    <t>CALFOSVIT</t>
  </si>
  <si>
    <t>FRASCO 250ml</t>
  </si>
  <si>
    <t xml:space="preserve">DEXTROSA AL 5% </t>
  </si>
  <si>
    <t>BOLSA x 500ml</t>
  </si>
  <si>
    <t>FUNDA PARA INSEMINACION BOVINOS</t>
  </si>
  <si>
    <t>PAQUETE x 50und</t>
  </si>
  <si>
    <t>CATETER DE INSEMINACION BOVINOS</t>
  </si>
  <si>
    <t>PAQUETE x 25und</t>
  </si>
  <si>
    <t>CINTA BOVIMETRICA</t>
  </si>
  <si>
    <t>243471</t>
  </si>
  <si>
    <t xml:space="preserve">KIT INSTRUMENTAL QUIRURGICO                             Contiene:                                                                        - Pinza de disección de 14 cm
- Pinza de disección con garra de 14 cm 
- Pinza mosquito de 14 cm 
- Tijera de operación recta
- Tijera de operación curva 14 cm 
- Mangos para bisturí No. 3 y No 4 
- Sonda acanalada 
- Indicador para mostrar profundidad y dirección de la herida
 </t>
  </si>
  <si>
    <t>KIT CON TEST Y RAQUETA (CALIFORNIA MASTITIS TEST)  (El kit contiene un (1) litro de reactivo Sodio dodecyl sulfato y una raqueta de color negra donde se realiza el analisis)</t>
  </si>
  <si>
    <t>FINADYNE</t>
  </si>
  <si>
    <t>FRASCOX50ml</t>
  </si>
  <si>
    <t>CALMAFOS</t>
  </si>
  <si>
    <t>FRASCOX500ml</t>
  </si>
  <si>
    <t>VETALGINA</t>
  </si>
  <si>
    <t>NUCLEO DE ABEJAS (Africanizadas, de 4 marcos, con reina fecundada y
población) (Deben ser abejas africanizadas seleccionadas y con registros. NO se aceptan abejas con cruces europeos)</t>
  </si>
  <si>
    <t>ALZA PROFUNDA (cámara de cría o alza profunda para miel fabricada en madera de pino canadiense 
recuperado, roble, cedro, campano disponible con baño en aceite de linaza, parafinada o pintada. MEDIDAS:
25cm Alto x 41.6cm Ancho x 50.7 Largo)</t>
  </si>
  <si>
    <t>PANAL ALAMBRADO ALZA PROFUNDA (Cuadros ojaleteados y alambrados, 23cm Alto x 3.5 Ancho x 48.3 Largo)</t>
  </si>
  <si>
    <t>LAMINA DE CERA ALZA PROFUNDA (Láminas de cera estampada de alta calidad, garantizadas, medidas 41cm largo x 19cm Ancho)</t>
  </si>
  <si>
    <t>TECHO METALICO (Techo Fabricado en madera de pino 
canadiense completamente forrado en 
aluminio)</t>
  </si>
  <si>
    <t>PIQUERA (Fondo o piquera en madera. MEDIDAS: 
56cm Largo x 41.6 Ancho x 4.5 Alto)</t>
  </si>
  <si>
    <t>CAMARA DE MIEL DE ALZA MEDIANA (Fabricado en madera, medidas 50.7cm Largo x 41.6cm Ancho x 15cm Alto)</t>
  </si>
  <si>
    <t>PANAL ALAMBRADO ALZA MELARIA (Cuadros de media alza ojaleteados y alambrados. Medidas: 13.7cm Alto x 4cm Ancho x 48.3 Largo)</t>
  </si>
  <si>
    <t>LAMINA DE CERA ALZA MELARIA (Láminas de cera estampada de alta calidad, garantizadas. Medidas: MEDIDAS: 41,7 cm largo x 12 cm Ancho)</t>
  </si>
  <si>
    <t>SUBTAPA (Tapa interior fabricada en madera, medidas 57cm Largo x 48cm Ancho x 5cm Alto)</t>
  </si>
  <si>
    <t>REJILLA EXCLUIDORA (Excluidor de reina. En madera o en plastico. Medidas: 50.7cm Largo x 41.6cm Ancho x 2cm Alto)</t>
  </si>
  <si>
    <t>ALIMENTADOR (Elaborado en acrílico, Con capacidad de 3 litros, interior se utilice flotadores o malla, con soportes en aluminio, color: Blanco y alta durabilidad)</t>
  </si>
  <si>
    <t>CEPILLO PARA DESABEJAR (Fabricado en madera y crin de caballo)</t>
  </si>
  <si>
    <t>PALANCA APICOLA (Palanca estándar en acero, medidas: 24cm Largo x 4.5 Ancho. De color roja, amarilla, azul o plateada)</t>
  </si>
  <si>
    <t>AHUMADOR APICOLA  -MEDIANO (Ahumador en acero inoxidable AISI 430 calibre 26,incluye gancho sujetador y malla protectora. Ideal para el manejo de abejas africanizadas. Mediano: Altura del cilindro: 30 cm Altura total: 41 cm (hasta la agarradera) Diámetro: 12 cm)</t>
  </si>
  <si>
    <t>OVEROL APICOLA (Overol enterizo en dril sencillo No 6 100% algodón; manga  larga con elásticos en puños y tobillos, cremallera de doble cierre con 2 deslizadores en la parte frontal, con 2 bolsillos en  la camisa, 6 bolsillos en el pantalón; resorte en la cintura.  Careta en dril No 6 parte de atrás y el frontal con malla  plástica incorporada al overol con cremalleras. Color: Blanco, beige, caqui, gris Talla: 40, 42, 44 y 46)</t>
  </si>
  <si>
    <t>150121552</t>
  </si>
  <si>
    <t>240689</t>
  </si>
  <si>
    <t>Alevinos de Tilapia Roja x 3.0 cm</t>
  </si>
  <si>
    <t>Unidad</t>
  </si>
  <si>
    <t>110101729</t>
  </si>
  <si>
    <t>261494</t>
  </si>
  <si>
    <t xml:space="preserve">Alevinos Americanos de Trucha Arco-Iris x 3.5 cm </t>
  </si>
  <si>
    <t>110121510</t>
  </si>
  <si>
    <t>233329</t>
  </si>
  <si>
    <t>Concentrado Comercial para mojarra inicio x 40 kg con nivel de Proteina de 45% en pellets extruidos de 1.5 mm</t>
  </si>
  <si>
    <t>Bulto</t>
  </si>
  <si>
    <t>270868</t>
  </si>
  <si>
    <t>Concentrado Comercial para trucha levante x 20 kg con nivel de Proteina de 50% en pellets extruidos de 1.5 mm</t>
  </si>
  <si>
    <t>TOTAL</t>
  </si>
  <si>
    <t>Lote 2 Agricola SER</t>
  </si>
  <si>
    <t>TIPO</t>
  </si>
  <si>
    <t>CODIGO 
DEL BIEN</t>
  </si>
  <si>
    <t>CODIGO 
ELEMENTO</t>
  </si>
  <si>
    <t>CODIGO 
UNSPSC</t>
  </si>
  <si>
    <t>DESCRIPCION DEL ELEMENTO</t>
  </si>
  <si>
    <t>UNIDAD 
DE MEDIDA</t>
  </si>
  <si>
    <t xml:space="preserve">CANTIDAD 
SOLICITADA </t>
  </si>
  <si>
    <t xml:space="preserve"> DINAMIX S.A</t>
  </si>
  <si>
    <t>FEDERACIÓN NACIONAL DE CAFETEROS DE COLOMBIA QUINDIO</t>
  </si>
  <si>
    <t>ABONAMOS</t>
  </si>
  <si>
    <t xml:space="preserve">COLANTA </t>
  </si>
  <si>
    <t>TIERRAGRO</t>
  </si>
  <si>
    <t>BODEGA CAMPESINA</t>
  </si>
  <si>
    <t>CLASE SEMILLA ZANAHORIA</t>
  </si>
  <si>
    <t>SOBRE X 20GR</t>
  </si>
  <si>
    <t>CLASE SEMILLA CILANTRO</t>
  </si>
  <si>
    <t>CLASE SEMILLA AJI PIMENTON</t>
  </si>
  <si>
    <t>CLASE SEMILLA CEBOLLA BULBO</t>
  </si>
  <si>
    <t>CLASE SEMILLA LECHUGA CRESPA</t>
  </si>
  <si>
    <t>CLASE SEMILLA TOMILLO</t>
  </si>
  <si>
    <t>SOBRE X 5 GR</t>
  </si>
  <si>
    <t>CLASE SEMILLA AROMATICAS</t>
  </si>
  <si>
    <t>SOBRE X 1GR</t>
  </si>
  <si>
    <t>CLASE SEMILLA MAIZ VAR.305 AMARILLO</t>
  </si>
  <si>
    <t>BOLSA X KILO</t>
  </si>
  <si>
    <t>CLASE SEMILLA FRIJOL VAR.CALIMA</t>
  </si>
  <si>
    <t>CLASE SEMILLA COLIFLOR</t>
  </si>
  <si>
    <t>CLASE SEMILLA REPOLLO</t>
  </si>
  <si>
    <t>SOBRE X 50 GR</t>
  </si>
  <si>
    <t>CLASE NOMBRE MICORRIZA</t>
  </si>
  <si>
    <t>BULTO X 50 KG</t>
  </si>
  <si>
    <t>CAL TRIPLE 30 Presentación  BULTO X 50 KG</t>
  </si>
  <si>
    <t>CAL DOLOMITA</t>
  </si>
  <si>
    <t>CLASE NOMBRE DAP</t>
  </si>
  <si>
    <t>FERTILIZANTE 10-20-20 Presentación BULTO X 50 KG</t>
  </si>
  <si>
    <t>FERTILIZANTE 17-6-18-2 Presentación BULTO X 50 KG</t>
  </si>
  <si>
    <t>AGRIMIN</t>
  </si>
  <si>
    <t>BULTO X 46 KG</t>
  </si>
  <si>
    <t>ABONOS QUIMICOS Y NUTRIENTES PARA PLANTAS - YARA TERA CALCINIT</t>
  </si>
  <si>
    <t>BULTO X 25 KG</t>
  </si>
  <si>
    <t>ABONOS QUIMICOS Y NUTRIENTES PARA PLANTAS - SOLUFOS 44</t>
  </si>
  <si>
    <t>ABONOS QUIMICOS Y NUTRIENTES PARA PLANTAS - SULMAG</t>
  </si>
  <si>
    <t>ABONOS QUIMICOS Y NUTRIENTES PARA PLANTAS - FOSFATO MONOPOTASICO</t>
  </si>
  <si>
    <t>ABONOS QUIMICOS Y NUTRIENTES PARA PLANTAS - SULFATO DE POTASIO</t>
  </si>
  <si>
    <t>BULTO X 40 KG</t>
  </si>
  <si>
    <t>ABONOS QUIMICOS Y NUTRIENTES PARA PLANTAS - NITRAX</t>
  </si>
  <si>
    <t>CLASE N.A. NOMBRE ABOTECK GRADO 15-4-23-4</t>
  </si>
  <si>
    <t>CLASE NOMBRE SULFATO DE AMONIO</t>
  </si>
  <si>
    <t>CLASE NOMBRE 25-4-24</t>
  </si>
  <si>
    <t xml:space="preserve"> FERTILIZANTE 10-30-10 </t>
  </si>
  <si>
    <t>CLASE N.A. NOMBRE FERTILIZANTE FOLIAR TOTTAL</t>
  </si>
  <si>
    <t>LITRO</t>
  </si>
  <si>
    <t>CLASE COSMO R MENORES FOLIAR (TOTTAL)</t>
  </si>
  <si>
    <t>TIERRAS DE DIATOMEAS</t>
  </si>
  <si>
    <t>Tropimezcla WP (Metarhizium anisopliae, Paecilomyces lilacinus, Beauveria bassiana, Trichoderma (especies harzianum y koningii) y Saccharomyces) marca INVESA</t>
  </si>
  <si>
    <t>SULFATO DE COBRE</t>
  </si>
  <si>
    <t>SOBRE X LIBRA</t>
  </si>
  <si>
    <t>TRICHOTROPICO WP  Producto biológico a base del hongo Trichoderma y que cuenta con dos especies T. harzianum y T. koningii marca INVESA</t>
  </si>
  <si>
    <t>BIOCONTROLADOR TRICHOGRAMMA Presentación  PULGADA CUADRADA</t>
  </si>
  <si>
    <t>PULGADA CUADRADA</t>
  </si>
  <si>
    <t>MANCOZEB</t>
  </si>
  <si>
    <t>BOLSA KG</t>
  </si>
  <si>
    <t>PROPICONAZOL : 250 s/ LITRO</t>
  </si>
  <si>
    <t>Benomil  50 WP Presentación BOLSA POR KILO</t>
  </si>
  <si>
    <t xml:space="preserve">Tiabendazol 500 grs/lt </t>
  </si>
  <si>
    <t>FRASCO X 100cc</t>
  </si>
  <si>
    <t>CLASE AGRICOLA NOMBRE COADYUVANTE POTENSOL</t>
  </si>
  <si>
    <t>FUNGICIDA: 4 grs metalaxil-M+ 64 grs mancozeb</t>
  </si>
  <si>
    <t>BOLSA 500 G</t>
  </si>
  <si>
    <t>TIJERA PODADORA PARA FRUTALES 14 PULGADAS MATERIAL ACERO INOXIDABLE</t>
  </si>
  <si>
    <t>POLISOMBA 65%</t>
  </si>
  <si>
    <t xml:space="preserve">ROLLO </t>
  </si>
  <si>
    <t>MALLA NEGRA</t>
  </si>
  <si>
    <t>ROLLO</t>
  </si>
  <si>
    <t>PLASTICO NEGRO</t>
  </si>
  <si>
    <t xml:space="preserve">MANGUERA 20 METROS CON ACOPLE Y PISTOLA DE 8 FUNCIONES PARA JARDINERIA MATERIAL POLIETILENO
</t>
  </si>
  <si>
    <t>CLAVO TAMAÑO 3 PULGADAS UNIDAD DE MEDIDA UNIDAD CARACTERISTICA ESTRIADO MATERIAL ACERO</t>
  </si>
  <si>
    <t>CAJA</t>
  </si>
  <si>
    <t>BALDE CAPACIDAD 20 LITROS MATERIAL PLASTICO</t>
  </si>
  <si>
    <t>PALA REDONDA CARACTERISTICA REDONDA CON CABO MATERIAL METALICO NUMERO 4</t>
  </si>
  <si>
    <t>RASTRILLO CARACTERISTICA DE 14 DIENTES MATERIAL PLASTICO</t>
  </si>
  <si>
    <t>GUANTE MATERIAL CARNAZA NUMERO 6 Y 7</t>
  </si>
  <si>
    <t>PAR</t>
  </si>
  <si>
    <t>GUANTE MEDIDA PAR CARACTERISTICA CALIBRE 35 MATERIAL CAUCHO</t>
  </si>
  <si>
    <t xml:space="preserve"> AZADONETA MATERIAL N.A.</t>
  </si>
  <si>
    <t>ZARANDA TAMAÑO 6 X 6 UNIDAD DE MEDIDA UNIDAD MATERIAL METAL</t>
  </si>
  <si>
    <t>BOLSA PLASTICA TRANSPARENTE IMPRESA CAPACIDAD UN KILO</t>
  </si>
  <si>
    <t>BOLSA PLASTICA TRANSPARENTE IMPRESA CAPACIDAD UNA LIBRA</t>
  </si>
  <si>
    <t>CANASTILLA PLASTICA TIPO FRESERA TAMAÑO (60X40X13), CESTA MATERIAL POLIPROPILENO FONDO PERFORADO</t>
  </si>
  <si>
    <t xml:space="preserve">ARNES EN RIATA DE 2 PULGADAS CON 4 VASOS PORTA HEERAMIENTA </t>
  </si>
  <si>
    <t xml:space="preserve">CINTURON EN RIATA DE 2 PULGADAS DE 4 VASOS PORTA HEERAMIENTA </t>
  </si>
  <si>
    <t xml:space="preserve">CINTURON EN RIATA DE 2 PULGADAS DE 5 VASOS  PORTA HEERAMIENTA </t>
  </si>
  <si>
    <t xml:space="preserve">BATA MEDICA MANGA LARGA DESECHABLE </t>
  </si>
  <si>
    <t>PAQUETE X 10 UND</t>
  </si>
  <si>
    <t xml:space="preserve">GUANTE DESECHABLE </t>
  </si>
  <si>
    <t>CAJA X 100 UND</t>
  </si>
  <si>
    <t xml:space="preserve">MASCARILLA  DESECHABLE MATERIAL </t>
  </si>
  <si>
    <t>CAJA X 50 UND</t>
  </si>
  <si>
    <t>Lote 3 Agroindustria SER</t>
  </si>
  <si>
    <t>AGROPLASTICOS DE OCCIDENTE</t>
  </si>
  <si>
    <t>DISTRIBUCIONES VEGA VELEZ EXPRESS</t>
  </si>
  <si>
    <t>BALDER</t>
  </si>
  <si>
    <t>Cuajo líquido Marshall</t>
  </si>
  <si>
    <t>Frasco x 500 ml</t>
  </si>
  <si>
    <t>cultivo CHR HANSEN STI-12 para 100 litros</t>
  </si>
  <si>
    <t>Sobre de 50 DCU</t>
  </si>
  <si>
    <t>cultivo CHR HANSEN R 704 para 100 litros</t>
  </si>
  <si>
    <t>ácido acético concentrado para alimentos- Garrafa</t>
  </si>
  <si>
    <t>Frasco x 2000ml</t>
  </si>
  <si>
    <t>CULTIVO PARA YOGURT TRADICIONAL (STREPTOCOCCUSTHERMOPHILUS,LACTOBACILLUS BULGARICUS,LACTOBACILLUS LACTIS). REFERENCIA CHOOZIT MY 800 LYO X 5 DCU (SOBRE PARA 40 LITROS) , - TECNAS PROES</t>
  </si>
  <si>
    <t>Sobre de 5 DCU</t>
  </si>
  <si>
    <t>cultivo para kumis choozit ma 4001 lyo 5 dcu -SOBRE PARA 40 LITROS</t>
  </si>
  <si>
    <t>envases plásticos de 1000 ml para yogur</t>
  </si>
  <si>
    <t>LECHE EN POLVO POR 500g - COLANTA</t>
  </si>
  <si>
    <t>Libra</t>
  </si>
  <si>
    <t>azúcar blanco POR 500g</t>
  </si>
  <si>
    <t>cloruro de calcio en polvo para quesería por 500 g</t>
  </si>
  <si>
    <t>SAL EMPAQUE POR 500 GR REFINADA , - REFISAL</t>
  </si>
  <si>
    <t>papel vinilpel Por 100 m</t>
  </si>
  <si>
    <t>Rollo x 100mts</t>
  </si>
  <si>
    <t>BENZOATO DE SODIO DE USO ALIMENTARIO (Nº CAS 532-32-1), EN BOLSA DE POLIETILENO. , TECNAS pPOR 500 g</t>
  </si>
  <si>
    <t>SORBATO DE POTASIO GRADO USP - CAS 24634-61-5 , - DISPROQUIM Por 500 g</t>
  </si>
  <si>
    <t>COLORANTE PARA ALIMENTO TONALIDAD ROJO MORA, EN POLVO , - TECNAS</t>
  </si>
  <si>
    <t>Kg</t>
  </si>
  <si>
    <t>COLORANTE PARA ALIMENTO TONALIDAD FRESA, EN POLVO, - TECNAS</t>
  </si>
  <si>
    <t>COLORANTE PARA ALIMENTOS TONALIDAD AMARILLO, EN POLVO, - TECNAS</t>
  </si>
  <si>
    <t>kg</t>
  </si>
  <si>
    <t>COLORANTE PARA ALIMENTOS TONALIDAD CAFÉ, EN POLVO, TECNAS</t>
  </si>
  <si>
    <t>CAFE INSTANTANEO ENVASE DE VIDRIO POR 200 g -COLCAFE</t>
  </si>
  <si>
    <t>Frasco x 200g</t>
  </si>
  <si>
    <t>SABORIZANTE ALIMENTICIO SABOR FRESA-TECNAS</t>
  </si>
  <si>
    <t>SABORIZANTE ALIMENTICIO SABOR CAFÉ- TECNAS</t>
  </si>
  <si>
    <t>SABORIZANTE ALIMENTICIO SABOR MELOCOTON</t>
  </si>
  <si>
    <t>EMPAQUE TIPO BOLSA DE PANELA PAPEL KRAFT CAPACIDAD 25 KILO</t>
  </si>
  <si>
    <t>ENVASE DE VIDRIO PARA CONSERVA BOCA ANCHA 250 mL CON TAPA METALICA</t>
  </si>
  <si>
    <t>ENVASE DE VIDRIO PARA CONSERVA BOCA ANCHA 500 mL CON TAPA METALICA</t>
  </si>
  <si>
    <t>BOLSA METALIZADA SIN IMPRESION COLOR NEGRO CON VALVULA DESGASIFICADORA PARA CAFÉ DE 250 G</t>
  </si>
  <si>
    <t>BOLSA METALIZADA SIN IMPRESION COLOR NEGRO CON VALVULA DESGASIFICADORA PARA CAFÉ DE 125 G</t>
  </si>
  <si>
    <t>BOLSA METALIZADA SIN IMPRESION COLOR NEGRO CON VALVULA DESGASIFICADORA PARA CAFÉ DE 500 g</t>
  </si>
  <si>
    <t>BOLSA DOY PACK 250 g</t>
  </si>
  <si>
    <t>BOLSA DOY PACK 500 g</t>
  </si>
  <si>
    <t>glucosa liquida 700 g</t>
  </si>
  <si>
    <t>frasco x 700g</t>
  </si>
  <si>
    <t>CMC TECNAS</t>
  </si>
  <si>
    <t>ácido citrico grado alimeticio</t>
  </si>
  <si>
    <t>Vinagre blanco 500 ml</t>
  </si>
  <si>
    <t>BOLSA RESELLABLE HERMÉTICA 20X20 CM CALIBRE 2, PAQUETE POR 100 UND.</t>
  </si>
  <si>
    <t>Paquete x 100und</t>
  </si>
  <si>
    <t>Baldes plásticos de 10 Litros</t>
  </si>
  <si>
    <t>CUCHILLO DE 20 CM MANGO ACERO INOXIDABLE</t>
  </si>
  <si>
    <t>penta quat</t>
  </si>
  <si>
    <t>HIPOCLORITO DE SODIO AL 13%</t>
  </si>
  <si>
    <t>Frasco x 1000ml</t>
  </si>
  <si>
    <t>Pectina</t>
  </si>
  <si>
    <t>BATA DESECHABLE POR 10 UNIDADES , - TECNAS</t>
  </si>
  <si>
    <t>Paquete x 10und</t>
  </si>
  <si>
    <t>PAÑO LIMPIADOR ABSORBENTE, REUTILIZABLE PARA LIMPIEZA DE UTENSILIOS, MESAS DE TRABAJO , wypool POR 60 PAÑOS</t>
  </si>
  <si>
    <t>Rollo x 60 paños</t>
  </si>
  <si>
    <t>GUANTES DE NITRILO TALLA M CAJA POR 100 UNIDADES , - PRECISSION</t>
  </si>
  <si>
    <t>Caja x 100und</t>
  </si>
  <si>
    <t>Termómetro de bulbo -40 hasta 650°C. PRECISION 5°C</t>
  </si>
  <si>
    <t>Termómetro de punzón 0°C hasta 120°C. PRECISION 1°C</t>
  </si>
  <si>
    <t>TAPABOCAS DESECHABES CAJA POR 100 UNIDADES</t>
  </si>
  <si>
    <t>GORROS DESECHABLES CAJA POR 100 UNIDADES</t>
  </si>
  <si>
    <t>CAL HIDRATADA POR 25 Kg</t>
  </si>
  <si>
    <t>Bulto x 25kg</t>
  </si>
  <si>
    <t>Pita rollo de 100 metros</t>
  </si>
  <si>
    <t>EMPAQUE DE BOLSA DOY PACK ORGANICA 500 g</t>
  </si>
  <si>
    <t>EMPAQUE DE BOLSA DOY PACK ORGANICA 1000 g</t>
  </si>
  <si>
    <t>50171552 </t>
  </si>
  <si>
    <t>ACIDO ASCORBICO GRADO ALIMENTICIO</t>
  </si>
  <si>
    <t> 50151513</t>
  </si>
  <si>
    <t>ACEITE DE GIRASOL, GARRAFA X 3 LITROS</t>
  </si>
  <si>
    <t>BOTELLA X 3000ml</t>
  </si>
  <si>
    <t>244067</t>
  </si>
  <si>
    <t>ACEITE DE OLIVA, FRASCO X 500 ML</t>
  </si>
  <si>
    <t>236311</t>
  </si>
  <si>
    <t>ARROZ</t>
  </si>
  <si>
    <t>LIBRA</t>
  </si>
  <si>
    <t>232580</t>
  </si>
  <si>
    <t>AZUCAR COMUN</t>
  </si>
  <si>
    <t>232583</t>
  </si>
  <si>
    <t xml:space="preserve">CALDO GALLINA, CAJA X 48 UNIDADES </t>
  </si>
  <si>
    <t>CAJA X 48 UNIDADES</t>
  </si>
  <si>
    <t>232463</t>
  </si>
  <si>
    <t>CAMARONES</t>
  </si>
  <si>
    <t>KILOGRAMO</t>
  </si>
  <si>
    <t>232403</t>
  </si>
  <si>
    <t>CAÑON DE CERDO ENTERO</t>
  </si>
  <si>
    <t>230516</t>
  </si>
  <si>
    <t>CARNE MOLIDA DE RES</t>
  </si>
  <si>
    <t>255642</t>
  </si>
  <si>
    <t>CHATA DE RES (SOLOMO)</t>
  </si>
  <si>
    <t>232418</t>
  </si>
  <si>
    <t>CHORIZO (CON TERNERA)</t>
  </si>
  <si>
    <t>230517</t>
  </si>
  <si>
    <t>CONTRAMUSLO POLLO</t>
  </si>
  <si>
    <t>232438</t>
  </si>
  <si>
    <t>COSTILLA DE CERDO</t>
  </si>
  <si>
    <t>244115</t>
  </si>
  <si>
    <t>CREMA LECHE, TETRAPACK X 1000 ML</t>
  </si>
  <si>
    <t>CAJA TETRAPACK X 1000 ML</t>
  </si>
  <si>
    <t>252094</t>
  </si>
  <si>
    <t>CURRY EN POLVO</t>
  </si>
  <si>
    <t>232367</t>
  </si>
  <si>
    <t>ESPAGUETI</t>
  </si>
  <si>
    <t>232458</t>
  </si>
  <si>
    <r>
      <t xml:space="preserve">FILETE DE ROBALO </t>
    </r>
    <r>
      <rPr>
        <b/>
        <sz val="11"/>
        <color indexed="8"/>
        <rFont val="Calibri"/>
        <family val="2"/>
        <scheme val="minor"/>
      </rPr>
      <t>(BASA NO)</t>
    </r>
  </si>
  <si>
    <t>232459</t>
  </si>
  <si>
    <t>FILETE DE SALMON</t>
  </si>
  <si>
    <t>232370</t>
  </si>
  <si>
    <t>FRIJOL CARGAMANTO</t>
  </si>
  <si>
    <t>273663</t>
  </si>
  <si>
    <t>HIPOCLORITO, GALON X 3800 ML</t>
  </si>
  <si>
    <t>GALON X 3800ml</t>
  </si>
  <si>
    <t>235358</t>
  </si>
  <si>
    <t>JABON LIQUIDO DESENGRASANTE, GALON X 3800 ML</t>
  </si>
  <si>
    <t>230559</t>
  </si>
  <si>
    <t> 73131601</t>
  </si>
  <si>
    <t>JAMON TAJADO</t>
  </si>
  <si>
    <t>232467</t>
  </si>
  <si>
    <t>LANGOSTINOS</t>
  </si>
  <si>
    <t>232608</t>
  </si>
  <si>
    <t>LENTEJA</t>
  </si>
  <si>
    <t>255653</t>
  </si>
  <si>
    <t>LOMO FINO DE RES (SOLOMITO)</t>
  </si>
  <si>
    <t>235693</t>
  </si>
  <si>
    <t>MANTEQUILLA</t>
  </si>
  <si>
    <t>252095</t>
  </si>
  <si>
    <t>MAYONESA, GALON X 3800 GRAMOS</t>
  </si>
  <si>
    <t>GALON X 3800grs</t>
  </si>
  <si>
    <t>252096</t>
  </si>
  <si>
    <t>MOSTAZA, GALON X 3800 GRAMOS</t>
  </si>
  <si>
    <t>252104</t>
  </si>
  <si>
    <t>MUSLO DE POLLO</t>
  </si>
  <si>
    <t>PAPEL ALUMINO, ROLLO X 100 METROS</t>
  </si>
  <si>
    <t>ROLLO X 100mts</t>
  </si>
  <si>
    <t>260221</t>
  </si>
  <si>
    <t>TOALLA DE COCINA WYPALL X80, ROLLO X 80 UNIDADES</t>
  </si>
  <si>
    <t>ROLLO POR 80 UNIDADES</t>
  </si>
  <si>
    <t>232031</t>
  </si>
  <si>
    <t>PAPEL VINIPEL, ROLLO  X  300 METROS</t>
  </si>
  <si>
    <t>ROLLO X 300mts</t>
  </si>
  <si>
    <t>232613</t>
  </si>
  <si>
    <t>PAPRIKA</t>
  </si>
  <si>
    <t>252097</t>
  </si>
  <si>
    <t>PASTA DE TOMATE, GALON X 3800 GRAMOS</t>
  </si>
  <si>
    <t>232380</t>
  </si>
  <si>
    <t>PASTA MACARRONES</t>
  </si>
  <si>
    <t>230515</t>
  </si>
  <si>
    <t>PECHUGA POLLO</t>
  </si>
  <si>
    <t>277480</t>
  </si>
  <si>
    <t>PERNIL DE POLLO</t>
  </si>
  <si>
    <t>236399</t>
  </si>
  <si>
    <t>QUESO MOZARELLA TAJADO</t>
  </si>
  <si>
    <t>236402</t>
  </si>
  <si>
    <t>QUESO PARMESANO</t>
  </si>
  <si>
    <t>232483</t>
  </si>
  <si>
    <t>RON, TETRAPACK X 1 LITRO</t>
  </si>
  <si>
    <t>TETRAPACK X LITRO</t>
  </si>
  <si>
    <t>232392</t>
  </si>
  <si>
    <t>SAL COMUN</t>
  </si>
  <si>
    <t>252100</t>
  </si>
  <si>
    <t>SALSA DE TOMATE, GALON X 3800 ML</t>
  </si>
  <si>
    <t>252102</t>
  </si>
  <si>
    <t>SALSA NEGRA, GARRAFA X 3800 ML</t>
  </si>
  <si>
    <t>255719</t>
  </si>
  <si>
    <t>SALSA SOYA, GARRAFA X 3800 ML</t>
  </si>
  <si>
    <t>TILAPIA ROJA ENTERA</t>
  </si>
  <si>
    <t>242956</t>
  </si>
  <si>
    <t xml:space="preserve">TOCINETA </t>
  </si>
  <si>
    <t>230518</t>
  </si>
  <si>
    <t>TOCINO DE CERDO ENTERO</t>
  </si>
  <si>
    <t>232460</t>
  </si>
  <si>
    <t>TRUCHA MARIPOSA</t>
  </si>
  <si>
    <t>232478</t>
  </si>
  <si>
    <t>VINO BLANCO, BOTELLA X 750ml</t>
  </si>
  <si>
    <t>BOTELLA X 750ml</t>
  </si>
  <si>
    <t>232492</t>
  </si>
  <si>
    <t>VINO TINTO, BOTELLA X 750ml</t>
  </si>
  <si>
    <t>Lote 4 Alturas Medellín</t>
  </si>
  <si>
    <t>DEPORTEKA</t>
  </si>
  <si>
    <t>INCOLDEXT</t>
  </si>
  <si>
    <t>EUSSE SEGURIDAD</t>
  </si>
  <si>
    <t>VALOR UNITARIO IVA INCLUIDO</t>
  </si>
  <si>
    <t xml:space="preserve">ARNÉS CUERPO COMPLETO DE 5 PUNTOS PARA RESCATE EN “X”
 Tipo X de 5 puntos de anclaje.
1 argolla de sujeción dorsal para detención de caídas.
2 argollas en la cintura para posicionamiento.
1 argolla pectoral para rescate, ascenso.
1 argolla pélvica para ascenso y descenso controlado.
Conforme a requerimientos ANSI/ASSE Z359.1-2007.
Elaborado en reata poliéster con un alto coeficiente de resistencia a la abrasión.
Cuenta con indicador de impacto. Costuras en poliéster de alta tenacidad en color contrastante para facilitar la inspección del elemento.
Argollas en “D” carga mínima de tracción (22,2 Kn) 5000 lb.
Capacidad máxima de carga 130-310 lb (59-140 Kg).
Peso: 1723 gr . Talla: Universal (Regulable).
Proporciona comodidad, seguridad y estabilidad a los usuarios.
Diseñado para trabajos en andamios, techos, escaleras, postes, suspensión, limpieza y pintura de fachadas, construcciones.
</t>
  </si>
  <si>
    <t>EXPERT 3D SPEED W0079        Arnés de cuerpo completo para acceso por cuerdas, con  cinturón lumbar, perneras y hombreras anchas acolchadas. También indicado para posicionamiento de trabajo, detención de caídas, descenso, ascenso y servicio de rescate. 
• Cinturón súper ancho y acolchado, provee máximo confort para trabajos en alturas
• Slinga sólida en el cinturón es cocida, de manera tal que en una situación normal de trabajo, el peso del cuerpo es absorbido únicamente por el acolchado del cinturón
• Cintas reflectivas e impresiones, en el cinturón y  las hombreras, incrementan la visibilidad en condiciones de trabajo con poca luz.
• Perneras y cinturón anatómicos, cubiertos con PES, proveen resistencia a la abrasión
• Hebillas SPEED en las perneras y en la cintura, que permiten rápida liberación.
• Mosqueton OZONE triple automático, utilizado para conección de las hombreras al punto principal, incrementa el espacio para asegurar el ascendedor de pecho.
• Sistema inteligente de fijación del ascendedor de pecho, con cobertor plástico en el mosquetón de ozono, incrementa la durabilidad de la slinga.
• Las perneras y las hombreras vienen con sistema de ajuste independiente.
• Slingas y acolchado delgados en las cintas de las hombros en el área del cuello, proporcionan trabajo confortable
• Punto de anclaje frontal y posterior para detención de caídas (EN361), marcados con la letra A
• Punto de anclaje posterior plano, que no presiona la espalda del usuario al llevar mochila o aparatos de respiración
• Punto de anclaje frontal en la parte inferior, para colocar el descendedor o para posicionamiento de trabajo (EN813)
• 2 puntos de anclaje laterales para posicionamiento de trabajo (EN358)
• 4 grandes portamateriales trenzados con una capacidad de carga de 15 kg
• Lazos adicionales en el cinturón y en las perneras con una capacidad de carga de 5 kg
• Ancha banda elástica en la hombrera izquierda para instalar equipo, por ejemplo el transmisor
• Ranura en el cinturón para instalación del PORTER, donde puede llevar su herramienta industrial
• Etiqueta con identificación
Tallas: S, M/L, XL
Peso: M/L 2415 g +- 15g
CE 1019 • EN 358 • EN 361 • EN 813 • EN 1497</t>
  </si>
  <si>
    <t xml:space="preserve">ARNES TECHNIC STANDARD W0063BB                                                                                                                                    Arnés completo
Arnés totalmente ajustable para detención de caídas, proporciona gran confort y un peso razonable.
• Cintura y perneras acolchadas
• Punto de anclaje frontal y posterior para detención de caídas (EN361)
• Punto de anclaje frontal en la parte inferior, para colocar el descendedor o para posicionamiento de trabajo (EN813)
• 2 puntos de anclaje laterales para posicionamiento de trabajo (EN813)
• 2 grandes portaequipos con capacidad de 10 Kgs 
Tallas: S, M/L, XL 
Peso: 1620 gr (+ o – 15 gr)
CE 1019 • EN 358 • EN 813 • EN 361
 </t>
  </si>
  <si>
    <t>124101621</t>
  </si>
  <si>
    <t>238693</t>
  </si>
  <si>
    <t xml:space="preserve">ESLINGA EN “Y” CON ABSORBEDOR DE ENERGÍA Y LONGITUD DE 180 mt
Conforme a requerimientos ANSI/ASSE Z359.13-2013.
Elaborada en reata poliéster con un alto coeficiente de resistencia a la abrasión.
(2) Ganchos de acero forjado apertura de 2 1/4.
(1) gancho de 3/4, cierre automático y resistencia de 22.2 Kn (5000 lb).
Costuras en poliéster de alta tenacidad en color contrastante para facilitar la inspección del elemento.
Capacidad máxima de carga 130-310 lb (59-140 Kg).
Paquete absorbedor de impactos  que permite disipar la fuerza de frenado o desaceleración en una caída.
Longitud 1,80 mt. Peso: 2300 g.
Especial para trabajo  en torres, comunicaciones, construcciones, y estructuras que permitan su acoplamiento.
</t>
  </si>
  <si>
    <t>MOSQUETON  BORA TRIPLE AUT PERA K0119EE00                                                                                                                                                             Diseñado para hacer rappeling y para hacer anclajes en edificios
Su construcción es basada en la forja al calor, lo cual lo hace extremadamente fuerte, rígido y liviano
Cierre sin nariz, permite instalarlo y desinstalarlo fácilmente
Gran apertura de la puerta
Cada mosquetón es testado individualmente a 10 KN
Número único de producción facilita su inspección
Cierre triple autómatico 
 23 kN  8 kN  8 kN 
Anodizado
apertura de gatillo: 22 mm
 • 68 g 
CE 1019 • EN 12275 • EN 362</t>
  </si>
  <si>
    <t xml:space="preserve">Guantes  para rescate en alturas en cuero tallas s-m-l CUMPLIMIENTO NORMATIVIDAD CE, 
Descripción
Fabricados con piel natural de alta calidad.
Doble capa de piel resistente en las zonas más expuestas de la mano (puntas de los dedos, palma, espacio entre el pulgar y el índice).
Dorso de nilón elástico transpirable.
Puño de neopreno con cierre de Velcro.
Orificio de enganche de los guantes al arnés.
Disponibles en diferentes tallas: XS a XL, en color negro o beige.
Características
Materiales: piel flor de cabra y nilón elástico
Certificaciones: CE EN 420, CE EN 388 (3133), EAC
</t>
  </si>
  <si>
    <t>cuerda de 13 mm con ojal DE 20  METROS DE LONGITUD, Tipo: Estática
Ojal cocido en un lado
Resistencia de la cuerda: 42KN
Resistencia del ojal: 15KN
Disponible en: 50 mts
Certificados: EN 1891 CE 1019 CE0408
Cumple con lo parámetros de la resolución 1409</t>
  </si>
  <si>
    <t>CORDINO. • Fácil de manejar
• Resistencia: 5mm 5.1 KN,   6mm 10 KN,  7mm 13 KN,  8mm 16.4 KN
• Multitud de usos
• Material: 100% Poliamida
• CE 1019 • EN 564 •  UIAA</t>
  </si>
  <si>
    <t>UNIDAD 100 mt</t>
  </si>
  <si>
    <t>cuerda de 11 mm con ojal DE 10 METROS DE LONGITUD, Tipo: Estática
Ojal cocido en un lado
Resistencia de la cuerda: 42KN
Resistencia del ojal: 15KN
Disponible en: 50 mts
Certificados: EN 1891 CE 1019 CE0408
Cumple con lo parámetros de la resolución 1409</t>
  </si>
  <si>
    <t>VALOR TOTAL INCLUIDO IVA (19%)</t>
  </si>
  <si>
    <t>Lote 5 Gestión Humana y GPI</t>
  </si>
  <si>
    <t>VALOR UNITARIO IVA INCLUIDA</t>
  </si>
  <si>
    <t xml:space="preserve"> TARJETA CLASE KARDEX CARACTERISTICA paquete x 100 hojas de 160 gr.  </t>
  </si>
  <si>
    <t>PAQUETE</t>
  </si>
  <si>
    <t>Formas preimpresas Tipo nómina para pago de sueldo. Paquete x 50 hojas.</t>
  </si>
  <si>
    <t>127111831</t>
  </si>
  <si>
    <t>282392</t>
  </si>
  <si>
    <t>Calibrador Pie de Rey en fracciones de pulgada (1/128") y en milimetros (0.05 mm) de 8" long unidad.  Especificaciones Rango: 0 – 10pulgadas
Rango: 0 – 203 mm.
Precisión: ± 0,05 mm 
Barra de profundidad: plana                                    Materíal: Acero inoxidable
Masa: 143 g
Entregado: En una caja.
Digital / Analógico: Analógico
Con tornillo de bloqueo superior: si
Funciones: Graduación 0,05 mm-1/128 ”
Pulgadas métricas: métricas / pulgadas</t>
  </si>
  <si>
    <t>Escalimetro Triangular, material aluminio, Escalas de la regla: 1: 20,1:25,1:50,1:75,1:100,1: 125. Largo: 30 cm. Marcas grabadas con láser</t>
  </si>
  <si>
    <t>149251515</t>
  </si>
  <si>
    <t>251256</t>
  </si>
  <si>
    <t>BISTURI Ancho de la cuchilla: 18 mm, Materiales del mango: metalico, incluye repuesto cuchilla</t>
  </si>
  <si>
    <t>Compás: Sistema de apertura: Rosca,   Material: Metal, Tipo de instrumento de dibujo: Mina, lápiz,  Largo: 12 cm,  Accesorios incluidos: Afilaminas, Compas_Auxiliar, Exrtensor, Portaminas, Soporte_Lapiz, Soporte_Largo.</t>
  </si>
  <si>
    <r>
      <t>flexometro: Alta resistencia, Cinta de 25mm, Longitud: 10</t>
    </r>
    <r>
      <rPr>
        <sz val="12"/>
        <color rgb="FFFF0000"/>
        <rFont val="Arial"/>
        <family val="2"/>
      </rPr>
      <t xml:space="preserve"> </t>
    </r>
    <r>
      <rPr>
        <sz val="12"/>
        <color theme="1"/>
        <rFont val="Arial"/>
        <family val="2"/>
      </rPr>
      <t>m, Escala: cm-mm, Freno de la cinta,  Clip porta herramienta.</t>
    </r>
  </si>
  <si>
    <t xml:space="preserve">Kit De Geometría: 1 Regla 30cm, 3 Escuadras 30º, 45º y 60º,  Un Transportador 360º, material aclírico </t>
  </si>
  <si>
    <t>Calculadora: tipo de calculadora: Científica.    Cantidad de funciones: 417.   Tipo de alimentación: Pila</t>
  </si>
  <si>
    <t>238145</t>
  </si>
  <si>
    <t xml:space="preserve"> Cartulinas: Tamaño pliego, COLOR surtido</t>
  </si>
  <si>
    <t>Block tipo milimetrado 50 hojas, gramaje 75 gr, tamaño: oficio, Orientación : Horizontal,  Rotulo: Nombre, fecha, Nota</t>
  </si>
  <si>
    <t>Balanza de precisión  a milesimas capacidad mínimo 5 kilos</t>
  </si>
  <si>
    <t>Pesas de calibración o sets de pesas: de 1, 2, 5, 10, 20, 25, 50, 100 gramos</t>
  </si>
  <si>
    <t>Instrumentos de dibujo geométrico para la pizarra  KIT: Regla 1 metro, Escuadras 45 cms,  30º, 45° y 60º, Transportador 360° de 35 cms de diámetro en acrilico y 1 compás de precision con tornillo de 49 cms de alto. Material: metal</t>
  </si>
  <si>
    <t>PAPEL - GRAMAJE 75 GRM TAMAÑO CARTA,  COLOR BLANCO PAPEL COMÚN DE OFICINA</t>
  </si>
  <si>
    <t>RESMA</t>
  </si>
  <si>
    <t>Marcador borrable para tablero acrílico color negro recargable, tinta a base de alcohol y secado rápido, punta biselada con 3 anchos de línea, fácil borrado, no deja manchas en el tablero (sombras).</t>
  </si>
  <si>
    <t>DOCENA</t>
  </si>
  <si>
    <t>Marcador borrable para tablero acrílico color rojo recargable, tinta a base de alcohol y secado rápido, punta biselada con 3 anchos de línea, fácil borrado, no deja manchas en el tablero (sombras).</t>
  </si>
  <si>
    <t>Marcador borrable para tablero acrílico color azul recargable, tinta a base de alcohol y secado rápido, punta biselada con 3 anchos de línea, fácil borrado, no deja manchas en el tablero (sombras).</t>
  </si>
  <si>
    <t>Marcador borrable para tablero acrílico color verde recargable, tinta a base de alcohol y secado rápido, punta biselada con 3 anchos de línea, fácil borrado, no deja manchas en el tablero (sombras).</t>
  </si>
  <si>
    <t>Borrador para tablero acrílico con mango de madera y superficie de fieltro</t>
  </si>
  <si>
    <t>13 cm x 5,4 cm x 3,5 cm</t>
  </si>
  <si>
    <t>Lápiz #2 caja por 12 unds amarillos</t>
  </si>
  <si>
    <t>Esfero color negro x 12 unds</t>
  </si>
  <si>
    <t xml:space="preserve">Borrador Escritura miga de pan x 20 unds </t>
  </si>
  <si>
    <t>COLBON MADERA POR KILO</t>
  </si>
  <si>
    <t>BAJALENGUAS EN MADERA</t>
  </si>
  <si>
    <t>PILA PARA CRONOMETROS REFERENCIA CR2032 ALCALINA</t>
  </si>
  <si>
    <t>EXTENSION ELECTRICA tipo de cable: encautechado E industrial , 3 salidas POR 10 MTS</t>
  </si>
  <si>
    <t>DIDACTICOS - EDUCATION NEUMATICA REF. 9641 Incluye 31 elementos únicos como bombas, tubos, cilindros, válvulas, tanque de aire, un manómetro e instrucciones de construcción a todo color para cuatro modelos neumáticos de la vida real. El paquete curricular proporciona nuevos planes de lecciones y actividades para resolver problemas, así como guías para maestros y hojas de trabajo para estudiantes.</t>
  </si>
  <si>
    <t>HDMI MATERIAL encauchetado  entrada y salida POR 3 MTS</t>
  </si>
  <si>
    <t xml:space="preserve"> TABLA PLANILELERA EN ACRÍLICO</t>
  </si>
  <si>
    <t>Lote 6. Agroindustria Subsede</t>
  </si>
  <si>
    <t>DISTRIBUCIONES VEGA VELEZ</t>
  </si>
  <si>
    <t xml:space="preserve"> Provisiones J.V Bello</t>
  </si>
  <si>
    <t>245419</t>
  </si>
  <si>
    <t>150171559</t>
  </si>
  <si>
    <t>Cuajo Líquido en presentación frasco de 500 CC.</t>
  </si>
  <si>
    <t>frasco</t>
  </si>
  <si>
    <t>275401</t>
  </si>
  <si>
    <t>151211822</t>
  </si>
  <si>
    <t>46181504</t>
  </si>
  <si>
    <t>Guantes de nitrilo caja x 100 unidades, 3 caja de talla M y 7 cajas de talla L.</t>
  </si>
  <si>
    <t>Caja X 100 UN.</t>
  </si>
  <si>
    <t>234933</t>
  </si>
  <si>
    <t>42131611</t>
  </si>
  <si>
    <t>Cofia - REDECILLAS PARA EL CABELLO, BLANCAS, DESECHABLES, PAQUETE DE 100 UNIDADES.</t>
  </si>
  <si>
    <t>Paquete X 100 UN.</t>
  </si>
  <si>
    <t>DELANTALES DESECHABLES, paquete por 25 unidades.</t>
  </si>
  <si>
    <t>Paquete X 25 UN.</t>
  </si>
  <si>
    <t>TAPABOCAS DESECHABLES, caja por 50 unidades</t>
  </si>
  <si>
    <t>238577</t>
  </si>
  <si>
    <t>Sorbato de Potasio en presentación de 1 Kilogramo</t>
  </si>
  <si>
    <t>Glucosa Líquida en presentación de 500 gramos (1 Libra)</t>
  </si>
  <si>
    <t>Lb</t>
  </si>
  <si>
    <t>Bolsas Metalizadas sin impresión color dorado con válvula descasificadora para café de 125 gramos x unidad</t>
  </si>
  <si>
    <t>Café pergamino seco (Procedente de los municipios cafeteros de la subregión Norte de Antioquia, de cada uno de estos lugares se requiere de la siguiente manera: Briceño 12 Kg, Yarumal 12 Kg, Campamento 12 Kg, Angostura 12 Kg, Guadalupe 12 Kg, Gómez Plata 12 Kg, Donmatías-Bellavista 12 Kg, Santa Rosa de Osos-San Pablo 12 Kg, Santa Rosa de Osos-San Isidro 12 Kg, Toledo 12 Kg, Ituango 12 Kg, y San Andrés de Cuerquia 12 Kg), presentación en Kilogramos.</t>
  </si>
  <si>
    <t>233962</t>
  </si>
  <si>
    <t>150192904</t>
  </si>
  <si>
    <t>Gelatina en Polvo (Sin sabor) x kilogramo</t>
  </si>
  <si>
    <t>Bolsas Metalizadas sin impresión color rojo con válvula desgasificadora para café de 250 gramos x unidad</t>
  </si>
  <si>
    <t>Acido Cítrico x kilogramo</t>
  </si>
  <si>
    <t>235653</t>
  </si>
  <si>
    <t>Bolsas  metalizadas 3 capas de color rojo con válvula desgasificadora para café de 125 gramos x unidad</t>
  </si>
  <si>
    <t>237152</t>
  </si>
  <si>
    <t>12352104</t>
  </si>
  <si>
    <t>Alcohol Etílico 68% x litro</t>
  </si>
  <si>
    <t>Lt</t>
  </si>
  <si>
    <t>Cinta Sellado para bolsa, la cinta de PVC se recomienda para realizar el sellado de bolsas de polietileno durante el empaque de varios productos, ideal para la selladora precintadora x rollo</t>
  </si>
  <si>
    <t>Rollo</t>
  </si>
  <si>
    <t>Bolsas metalizadas 3  capas de color rojo con válvula desgasificadora para café de 90 gramos x unidad</t>
  </si>
  <si>
    <t>Pentaquad presentación frasco de 1 kilogramo</t>
  </si>
  <si>
    <t xml:space="preserve">Cultivos para Yogurt sobre x 5 gramos </t>
  </si>
  <si>
    <t>Sobre</t>
  </si>
  <si>
    <t>Cultivos para Kumis sobre x 5 gramos</t>
  </si>
  <si>
    <t xml:space="preserve">Bolsas para empacar al vacío sin impresión de coextruído de Nyon + Polietileno de 65 micras medidas de 18 x 22 cm x unidad </t>
  </si>
  <si>
    <t>Bolsas para empacar al vacío sin impresión de coextruído de Nyon + Polietileno de 65 micras medidas de 20 x 25 cm x unidad</t>
  </si>
  <si>
    <t>Bolsas para empacar al vacío sin impresión de coextruído de Nyon + Polietileno de 65 micras medidas de 20 x 30 cm x unidad</t>
  </si>
  <si>
    <t>Bolsas para empacar al vacío sin impresión de coextruído de Nyon + Polietileno de 65 micras medidas de 22 x 30 cm x unidad</t>
  </si>
  <si>
    <t>235666</t>
  </si>
  <si>
    <t>731316</t>
  </si>
  <si>
    <t xml:space="preserve">FUNDA PARA SALCHICHA (TUBULAR O EMPAQUE) presentación tubo por 25 metros  </t>
  </si>
  <si>
    <t>Tubo</t>
  </si>
  <si>
    <t>234571</t>
  </si>
  <si>
    <t>FUNDA PARA SALCHICHÓN (TUBULAR O EMPAQUE)</t>
  </si>
  <si>
    <t>Metro</t>
  </si>
  <si>
    <t>235667</t>
  </si>
  <si>
    <t>FUNDA PARA CÁBANO (TUBULAR O EMPAQUE), coria 21, presentación tubo por 15,24 metros</t>
  </si>
  <si>
    <t>Sal Yodada</t>
  </si>
  <si>
    <t>238366</t>
  </si>
  <si>
    <t>31180000</t>
  </si>
  <si>
    <t>FUNDA FIBRA SINTÉTICA EMBUTIDOS (TUBULAR), coria 28, PRESENTACIÓN TUBO POR 15.24 METROS</t>
  </si>
  <si>
    <t>150111505</t>
  </si>
  <si>
    <t>CARNE DE RES PULPA (Presentación en diferentes cortes de segunda y de tercera)</t>
  </si>
  <si>
    <t>232516</t>
  </si>
  <si>
    <t>50111514</t>
  </si>
  <si>
    <t>CARNE DE CERDO-PIERNA x kilogramo</t>
  </si>
  <si>
    <t>LECHE CRUDA X LITRO</t>
  </si>
  <si>
    <t>LITROS</t>
  </si>
  <si>
    <t>Mora fresca y sana en presentación de Kilogramos</t>
  </si>
  <si>
    <t>230532</t>
  </si>
  <si>
    <t>150101679</t>
  </si>
  <si>
    <t>50192914</t>
  </si>
  <si>
    <t>Fresa fresca y sana en presentación de Kilogramos</t>
  </si>
  <si>
    <t>232323</t>
  </si>
  <si>
    <t>503070</t>
  </si>
  <si>
    <t>Uchuva fresca y sana en presentación de Kilogramos</t>
  </si>
  <si>
    <t>230528</t>
  </si>
  <si>
    <t>50101614</t>
  </si>
  <si>
    <t>Piña fresca y sana en presentación de Kilogramos</t>
  </si>
  <si>
    <t>230772</t>
  </si>
  <si>
    <t>Mango fresca y sana en presentación de Kilogramos</t>
  </si>
  <si>
    <t xml:space="preserve">Indicador Fenolftaleína al 1% en presentación de frasco de 100 ml </t>
  </si>
  <si>
    <t xml:space="preserve">Resma de papel tamaño carta x 500 hojas </t>
  </si>
  <si>
    <t xml:space="preserve">resma </t>
  </si>
  <si>
    <t>ENVASE PLASTICO CON TAPA ROSCA   PLASTICA CAPACIDAD 200 ML caja por 48 unds</t>
  </si>
  <si>
    <t>caja por 48 unds</t>
  </si>
  <si>
    <t>ENVASE PLASTICO CON TAPA ROSCA  PLASTICA CAPACIDAD 125 ML caja por 48 unds</t>
  </si>
  <si>
    <t>ENVASE PLASTICO CON TAPA ROSCA  PLASTICA CAPACIDAD 250 CC caja por 48 unds</t>
  </si>
  <si>
    <t>ENVASE PLASTICO CON TAPA ROSCA PLASTICA  CAPACIDAD 500 ML caja por 48 unds</t>
  </si>
  <si>
    <t>240780</t>
  </si>
  <si>
    <t>124111521</t>
  </si>
  <si>
    <t>Empaque doy pack flex up mini en presentación de 30 ml con válvula y tapa x unidad</t>
  </si>
  <si>
    <t>Cultivos lácticos para crema fermentada sobre x 5 gramos</t>
  </si>
  <si>
    <t>150171560</t>
  </si>
  <si>
    <t>Cultivos lácticos para quesos de pasta blanda sobre x 5 gramos</t>
  </si>
  <si>
    <t>150171561</t>
  </si>
  <si>
    <t>Cultivos láctico para quesos de pasta dura sobre x 5 gramos</t>
  </si>
  <si>
    <t>150171562</t>
  </si>
  <si>
    <t>Cultivos lácticos para quesos de pasas semimaduras sobre x 5 gramos</t>
  </si>
  <si>
    <t>150171563</t>
  </si>
  <si>
    <t>Cultivo Flora Danica sobre x 5 gramos</t>
  </si>
  <si>
    <t>232006</t>
  </si>
  <si>
    <t>Pectina Rápida x kilogramo</t>
  </si>
  <si>
    <t>Pectina Lenta x kilogramo</t>
  </si>
  <si>
    <t>251667</t>
  </si>
  <si>
    <t>12161805</t>
  </si>
  <si>
    <t>Goma Xantan x kilogramo</t>
  </si>
  <si>
    <t>247080</t>
  </si>
  <si>
    <t>141101637</t>
  </si>
  <si>
    <t>41115603</t>
  </si>
  <si>
    <t>pH-metro x unidad</t>
  </si>
  <si>
    <t xml:space="preserve"> Unidad</t>
  </si>
  <si>
    <t>231584</t>
  </si>
  <si>
    <t>141103148</t>
  </si>
  <si>
    <t>41115604</t>
  </si>
  <si>
    <t>Kit Reactivos de calibración para Ph-metro contiene solución buffer de ph 7, ph 4 y ph 10. x unidad</t>
  </si>
  <si>
    <t>269044</t>
  </si>
  <si>
    <t>141103147</t>
  </si>
  <si>
    <t>41112222</t>
  </si>
  <si>
    <t>Termómetros digitales de aguja x unidad</t>
  </si>
  <si>
    <t>272376</t>
  </si>
  <si>
    <t xml:space="preserve"> ACEITE DE AJONJOLI FRASCO x 250 ml</t>
  </si>
  <si>
    <t>FRASCO x 250 ml</t>
  </si>
  <si>
    <t>244071</t>
  </si>
  <si>
    <t> 50307200</t>
  </si>
  <si>
    <t xml:space="preserve"> ACEITUNA  NEGRA FRASCO X 500 GR</t>
  </si>
  <si>
    <t>FRASCO X 500 GR</t>
  </si>
  <si>
    <t>244072</t>
  </si>
  <si>
    <t xml:space="preserve"> ACEITUNA CON  RELLENO FRASCO X 500 GR</t>
  </si>
  <si>
    <t>272382</t>
  </si>
  <si>
    <t> 50405913 </t>
  </si>
  <si>
    <t xml:space="preserve"> ALGA NORI PAQUETE x 10 </t>
  </si>
  <si>
    <t xml:space="preserve">PAQUETE x 10 </t>
  </si>
  <si>
    <t>277409</t>
  </si>
  <si>
    <t xml:space="preserve"> ALMENDRA X LIBRA</t>
  </si>
  <si>
    <t>277410</t>
  </si>
  <si>
    <t xml:space="preserve"> ALMIDON DE YUCA X LIBRA</t>
  </si>
  <si>
    <t>244078</t>
  </si>
  <si>
    <t xml:space="preserve"> ANIS SOBRE x 250 gr</t>
  </si>
  <si>
    <t>SOBRE x 250 gr</t>
  </si>
  <si>
    <t>244079</t>
  </si>
  <si>
    <t xml:space="preserve"> AREQUIPE PARA DECORAR X LIBRA</t>
  </si>
  <si>
    <t>275014</t>
  </si>
  <si>
    <t xml:space="preserve"> ARROZ X LIBRA</t>
  </si>
  <si>
    <t>277411</t>
  </si>
  <si>
    <t xml:space="preserve"> ARROZ ARBOREO X LIBRA</t>
  </si>
  <si>
    <t>232578</t>
  </si>
  <si>
    <t xml:space="preserve"> ARROZ PARBOLIZADO X LIBRA</t>
  </si>
  <si>
    <t>275012</t>
  </si>
  <si>
    <t xml:space="preserve"> ARROZ TIPO SUSHI X LIBRA</t>
  </si>
  <si>
    <t>272243</t>
  </si>
  <si>
    <t xml:space="preserve"> AVENA EN HOJUELAS X LIBRA</t>
  </si>
  <si>
    <t>244086</t>
  </si>
  <si>
    <t>50161509</t>
  </si>
  <si>
    <t xml:space="preserve"> AZUCAR  PULVERIZADA X LIBRA</t>
  </si>
  <si>
    <t>268868</t>
  </si>
  <si>
    <t>50160000 </t>
  </si>
  <si>
    <t xml:space="preserve"> BOCADILLO  EN BLOQUE BARRA 500 GR</t>
  </si>
  <si>
    <t>BARRA 500 GR</t>
  </si>
  <si>
    <t>257042</t>
  </si>
  <si>
    <t>50363100 </t>
  </si>
  <si>
    <t xml:space="preserve"> BREVA  ALMIBAR FRASCO X 1000 GR</t>
  </si>
  <si>
    <t>FRASCO X 1000 GR</t>
  </si>
  <si>
    <t>233914</t>
  </si>
  <si>
    <t xml:space="preserve"> CHIP DE CHOCOLATE BOLSA X 500 GR</t>
  </si>
  <si>
    <t>BOLSA X 500 GR</t>
  </si>
  <si>
    <t>252980</t>
  </si>
  <si>
    <t>50161511 </t>
  </si>
  <si>
    <t xml:space="preserve"> CHOCOLATE  AMARGO  AL 75'%  X LIBRA</t>
  </si>
  <si>
    <t>277418</t>
  </si>
  <si>
    <t xml:space="preserve"> CIRUELAS PASAS X LIBRA</t>
  </si>
  <si>
    <t>233952</t>
  </si>
  <si>
    <t xml:space="preserve"> COBERTURA DE CHOCOLATE  BLANCA X KILO</t>
  </si>
  <si>
    <t>KILO</t>
  </si>
  <si>
    <t>233953</t>
  </si>
  <si>
    <t xml:space="preserve"> COBERTURA DE CHOCOLATE NEGRA X KILO</t>
  </si>
  <si>
    <t>277420</t>
  </si>
  <si>
    <t xml:space="preserve"> COCO DESHIDRATADO X LIBRA</t>
  </si>
  <si>
    <t>258513</t>
  </si>
  <si>
    <t xml:space="preserve"> COCOA  SIN AZÚCAR, INSTANTÁNEA X LIBRA</t>
  </si>
  <si>
    <t>236699</t>
  </si>
  <si>
    <t xml:space="preserve"> COCTEL DE FRUTAS FRASCO X 820 GR</t>
  </si>
  <si>
    <t>FRASCO X 820 GR</t>
  </si>
  <si>
    <t>242195</t>
  </si>
  <si>
    <t xml:space="preserve"> CREMA CHANTILLI X KILO</t>
  </si>
  <si>
    <t>236744</t>
  </si>
  <si>
    <t xml:space="preserve"> DURAZNO GLASSE X LIBRA</t>
  </si>
  <si>
    <t>277423</t>
  </si>
  <si>
    <t xml:space="preserve"> FECULA DE MAIZ  X LIBRA</t>
  </si>
  <si>
    <t>236741</t>
  </si>
  <si>
    <t xml:space="preserve"> FRESA GLASSE  X LIBRA</t>
  </si>
  <si>
    <t>236742</t>
  </si>
  <si>
    <t xml:space="preserve"> KIWI  GLASSE  X LIBRA</t>
  </si>
  <si>
    <t>247452</t>
  </si>
  <si>
    <t xml:space="preserve"> LECHE CONDENSADA DE ALTA CALIDAD BOLSA X KILO</t>
  </si>
  <si>
    <t>BOLSA KILO</t>
  </si>
  <si>
    <t>277427</t>
  </si>
  <si>
    <t xml:space="preserve"> LECHE DE COCO LATA X 500</t>
  </si>
  <si>
    <t>LATA X 500</t>
  </si>
  <si>
    <t>244156</t>
  </si>
  <si>
    <t> 50131704</t>
  </si>
  <si>
    <t xml:space="preserve"> LECHE EN POLVO X LIBRA</t>
  </si>
  <si>
    <t>270256</t>
  </si>
  <si>
    <t xml:space="preserve"> MANI  TRITURADO  X LIBRA</t>
  </si>
  <si>
    <t>257432</t>
  </si>
  <si>
    <t xml:space="preserve"> MARGARINA X LIBRA</t>
  </si>
  <si>
    <t>277490</t>
  </si>
  <si>
    <t>150121553</t>
  </si>
  <si>
    <t xml:space="preserve"> MEJILLONES X LIBRA</t>
  </si>
  <si>
    <t>277430</t>
  </si>
  <si>
    <t xml:space="preserve"> MIGA DE PAN X LIBRA</t>
  </si>
  <si>
    <t>259003</t>
  </si>
  <si>
    <t xml:space="preserve"> NUEZ DEL BRASIL X KILO</t>
  </si>
  <si>
    <t>270696</t>
  </si>
  <si>
    <t xml:space="preserve"> POLVO DE HORNEAR X LIBRA</t>
  </si>
  <si>
    <t>236766</t>
  </si>
  <si>
    <t xml:space="preserve"> RODAJAS  PIÑA TARRO X 564 GR</t>
  </si>
  <si>
    <t>TARRO X 565 GR</t>
  </si>
  <si>
    <t>254045</t>
  </si>
  <si>
    <t xml:space="preserve"> SAL X LIBRA</t>
  </si>
  <si>
    <t>234012</t>
  </si>
  <si>
    <t xml:space="preserve"> SEMILLA DE AMAPOLA X LIBRA</t>
  </si>
  <si>
    <t>273972</t>
  </si>
  <si>
    <t> 50201711 </t>
  </si>
  <si>
    <t>Té helado en polvo SABORES VARIADOS SOBRE</t>
  </si>
  <si>
    <t>SOBRE</t>
  </si>
  <si>
    <t>244250</t>
  </si>
  <si>
    <t>150202238</t>
  </si>
  <si>
    <t>50202206</t>
  </si>
  <si>
    <t xml:space="preserve"> VINO BLANCO  TETRA PACK Botella x 750 ml</t>
  </si>
  <si>
    <t>Botella x 750 ml</t>
  </si>
  <si>
    <t>256131</t>
  </si>
  <si>
    <t>ACEITE DE GIRASOL SIN MEZCLA DE OTROS ACEITES GALON X 3000 CC</t>
  </si>
  <si>
    <t>GALON X 3000 CC</t>
  </si>
  <si>
    <t>232413</t>
  </si>
  <si>
    <t>10151606 </t>
  </si>
  <si>
    <t>AJONJOLI TRICOLOR X KILO</t>
  </si>
  <si>
    <t>AZUCAR X LIBRA</t>
  </si>
  <si>
    <t>247445</t>
  </si>
  <si>
    <t>50181709</t>
  </si>
  <si>
    <t>BICARBONATO DE SODIO X LIBRA</t>
  </si>
  <si>
    <t>252978</t>
  </si>
  <si>
    <t>124111516</t>
  </si>
  <si>
    <t>BOLSA TRANSPARENTE DE 2 KG PAQUETE X 100 UND</t>
  </si>
  <si>
    <t>PAQUETE X 100 UND</t>
  </si>
  <si>
    <t>236133</t>
  </si>
  <si>
    <t>BOLSAS CON CIERRE HERMÉTICO (18x20 cm) PAQUETE X 100 UND</t>
  </si>
  <si>
    <t>236299</t>
  </si>
  <si>
    <t>CAMARON  CRUDO X LIBRA</t>
  </si>
  <si>
    <t>CAMARON TIGRE SIN ARREGLAR X LIBRA</t>
  </si>
  <si>
    <t>257066</t>
  </si>
  <si>
    <t>152151517</t>
  </si>
  <si>
    <t>CAPACILLO TAMAÑO NUMERO 5  PAPEL ENCERADO PAQUETE X 1000</t>
  </si>
  <si>
    <t>PAQUETE * 1000</t>
  </si>
  <si>
    <t>244106</t>
  </si>
  <si>
    <t>CARAMELO  COLOR BOTELLA X 500 ML</t>
  </si>
  <si>
    <t>BOTELLA X 500 ML</t>
  </si>
  <si>
    <t>CERDO CORTE CAÑON X LIBRA</t>
  </si>
  <si>
    <t>277421</t>
  </si>
  <si>
    <t>CREMA DE LECHE PASTEURIZADA UHT CONTENIDO MÍNIMO 35% GRASA X LITRO</t>
  </si>
  <si>
    <t>232769</t>
  </si>
  <si>
    <t>111172121</t>
  </si>
  <si>
    <t>46181501</t>
  </si>
  <si>
    <t>DELANTAL DESECHABLE 100 % POLIETILENO COLOR BLANCO PAQUETE X 25 UND</t>
  </si>
  <si>
    <t>PAQUETE X 25 UND</t>
  </si>
  <si>
    <t>244174</t>
  </si>
  <si>
    <t>DURAZNOS EN ALMIBAR NATURAL CORTE UNIFORME, FRUTA FIRME, COLOR BRILLANTE EN LATA X 820 GR LATA</t>
  </si>
  <si>
    <t>LATA</t>
  </si>
  <si>
    <t>231988</t>
  </si>
  <si>
    <t>12164502</t>
  </si>
  <si>
    <t>ESENCIA DE CANELA UNIDAD FRASCO 500 CC</t>
  </si>
  <si>
    <t>UNIDAD FRASCO 500 CC</t>
  </si>
  <si>
    <t>231996</t>
  </si>
  <si>
    <t>ESENCIA DE COCO UNIDAD FRASCO 500 CC</t>
  </si>
  <si>
    <t>231992</t>
  </si>
  <si>
    <t>ESENCIA DE LIMON UNIDAD FRASCO 500 CC</t>
  </si>
  <si>
    <t>256143</t>
  </si>
  <si>
    <t>ESENCIA DE MANTEQUILLA UNIDAD FRASCO 500 CC</t>
  </si>
  <si>
    <t>237298</t>
  </si>
  <si>
    <t>ESENCIA DE NARANJA UNIDAD FRASCO 500 CC</t>
  </si>
  <si>
    <t>231997</t>
  </si>
  <si>
    <t>ESENCIA DE VAINILLA UNIDAD FRASCO 500 CC</t>
  </si>
  <si>
    <t>236470</t>
  </si>
  <si>
    <t>147121826</t>
  </si>
  <si>
    <t>ESPONJAS DE COCINA PAQUETE * 24</t>
  </si>
  <si>
    <t>PAQUETE * 24</t>
  </si>
  <si>
    <t>236721</t>
  </si>
  <si>
    <t>FRUTA CRISTALIZADA BOLSA X 500 GR</t>
  </si>
  <si>
    <t>237036</t>
  </si>
  <si>
    <t>111172318</t>
  </si>
  <si>
    <t>GUANTE DESECHABLEMATERIAL NITRILO TALLA L NEGRO Y/O AZUL CAJA X 100 PARES</t>
  </si>
  <si>
    <t xml:space="preserve">CAJA X 100 PARES </t>
  </si>
  <si>
    <t>246119</t>
  </si>
  <si>
    <t>GUANTE DESECHABLEMATERIAL NITRILO TALLA M NEGRO Y/O AZUL CAJA X 100 PARES</t>
  </si>
  <si>
    <t>254123</t>
  </si>
  <si>
    <t xml:space="preserve">HARINA DE TRIGO PARA PANADERÍA ALTO CONTENIDO DE PROTEÍNA MÍNIMO EL 11 % X LIBRA </t>
  </si>
  <si>
    <t>270144</t>
  </si>
  <si>
    <t>147122125</t>
  </si>
  <si>
    <t>HIPOCLORITO  DE ALTA CONCENTRACION AL 13% GALON X 4000 CC</t>
  </si>
  <si>
    <t>GALON X 4000 CC</t>
  </si>
  <si>
    <t>255665</t>
  </si>
  <si>
    <t>150131609</t>
  </si>
  <si>
    <t> 50131612</t>
  </si>
  <si>
    <t>HUEVOS DE GALLINA AA X UNIDAD</t>
  </si>
  <si>
    <t>Lote 7. Agricola - Pecuario Subsede</t>
  </si>
  <si>
    <t>LOMBRIZ CALIFORNIANA PRESENTACIÓN KILO</t>
  </si>
  <si>
    <t>SEMILLA RABANO SOBRE X 100 GR</t>
  </si>
  <si>
    <t>SEMILLA ARVEJA SOBRE X 500 GR</t>
  </si>
  <si>
    <t>SEMILLA LECHUGA CRESPA SOBRE X 100 GR</t>
  </si>
  <si>
    <t>SEMILLA PEREJIL SOBRE X 10 GR</t>
  </si>
  <si>
    <t>SEMILLA TOMATE CHERRY SOBRE X 25 GR</t>
  </si>
  <si>
    <t>SEMILLA CEBOLLA DE RAMA TOKIO X 100 GR</t>
  </si>
  <si>
    <t>SEMILLA APIO Tall Utah Sobre x 100 GR</t>
  </si>
  <si>
    <t>SEMILLA BROCOLI CALABRESE SOBRE X 100 GR</t>
  </si>
  <si>
    <t>SEMILLA CEBOLLA PUERRO  SOBRE X 100 GR</t>
  </si>
  <si>
    <t>SEMILLA FRIJOL CARGAMANTO MOCHO PRESENTACIÓN KILO</t>
  </si>
  <si>
    <t>SEMILLA ZANAHORIA SOBRE X 100 GR</t>
  </si>
  <si>
    <t>SEMILLA REPOLLO MORADO SOBRE X 100 GR</t>
  </si>
  <si>
    <t>SEMILLA REPOLLO VERDE SOBRE X 100 GR</t>
  </si>
  <si>
    <t>SEMILLA PIMENTON SOBRE X 100 GR</t>
  </si>
  <si>
    <t>SEMILLA LECHUGA BATAVIA SOBRE X 100 GR</t>
  </si>
  <si>
    <t>SEMILLA MAIZ ICA CLIMA CALIDO PRESENTACIÓN KILO</t>
  </si>
  <si>
    <t>SEMILLA MAIZ ICA CLIMA FRIO PRESENTACIÓN KILO</t>
  </si>
  <si>
    <t>SEMILLA TOMATE CHONTO SOBRE X 50 GR</t>
  </si>
  <si>
    <t>SEMILLA CEBOLLA CABEZONA SOBRE X 100 GR</t>
  </si>
  <si>
    <t>SEMILLA REMOLACHA SOBRE X 100 GR</t>
  </si>
  <si>
    <t>SEMILLA DE ESPINACA SOBRE X 50 GR</t>
  </si>
  <si>
    <t>SEMILLA DE COLIFLOR SOBRE X 100 GR</t>
  </si>
  <si>
    <t>SEMILLA DE FRIJOL CANAVALIA PRESENTACIÓN KILO</t>
  </si>
  <si>
    <t xml:space="preserve">Beauveria bassiana 4x108 esporas/g ,Metarhizium anisopliae 4x108 esporas/g, Lecanicillium lecanii 1x108 esporas/g , Bacillus thuringiensis 1x108 esporas/g, Contenido total 1x109 esporas/g, INGREDIENTES ADITIVOS Talco y dispersante C.S.P, FORMULACIÓN Polvo mojable, Bolsa de biolumin/flexible por 500 gramos </t>
  </si>
  <si>
    <t>BOLSA</t>
  </si>
  <si>
    <t>ENMIENDA CAL DOLOMITA  BULTO X 20 KILOS</t>
  </si>
  <si>
    <t>BULTO</t>
  </si>
  <si>
    <t>BIOINSUMO MICROORGANISMOS EFICIENTES PRESENTACIÓN LITRO</t>
  </si>
  <si>
    <t>BIOINSUMO HUMUS BULTO X 50KG, FERTILIZANTE DE ORIGEN ORGANICO, CON REGISTRO ICA</t>
  </si>
  <si>
    <t>MELAZA  BULTO X 20 KG</t>
  </si>
  <si>
    <t>Fertilizante líquido para aplicación foliar que contenga:                                                                                                          Nitrógeno Total(N). ................ 200(g/L)
Nitrógeno Ureico (N). ..............200(g/L)
Magnesio (MgO)...................2.5(g/L)
Azufre Total(S). ...................... 5.0(g/L)
Manganeso (Mn). .................. 0.55(g/L)
Cobre (Cu).........................0.25(g/L)
Hierro (Fe)............................ 1.00(g/L)
Boro (B)...............................0.30(g/L)
Molibdeno (Mo).................... 0.03(g/L)
Zinc (Zn)................................ 1.60(g/L)
Fitohormona................... 0.50
pHen solución al 10%. ............ 5.0                                                                                           Presentación Litro</t>
  </si>
  <si>
    <t>INSECTICIDA BENOMIL PRESENTACIÓN X KILO</t>
  </si>
  <si>
    <t>BIOINSUMO HIDROLATO DE MANZANILLA PRESENTACIÓN X KILO</t>
  </si>
  <si>
    <t>BIOINSUMOHIDROLATO DE CALENDULA PRESENTACIÓN X KILO</t>
  </si>
  <si>
    <t>BIOINSUMO LECANICILLIUM LECANII</t>
  </si>
  <si>
    <t>BIOINSUMO HIDROLATO DE AJO</t>
  </si>
  <si>
    <t>ENMIENDA GALLINAZA COMPOSTADA CON REGISTRO ICA  BULTO X 50 KG</t>
  </si>
  <si>
    <t>GUANTES LATEX TALLA M X 100 UNIDADES PRESENTACIÓN CAJA</t>
  </si>
  <si>
    <t>INSUMO YODO AGRICOLA PRESENTACIÓN LITRO</t>
  </si>
  <si>
    <t>MALLA PARA ENTUTORAR 2X25 PRESENTACIÓN ROLLO</t>
  </si>
  <si>
    <t>INDICADOR DE PH 80 Unidades PRESENTACIÓN CAJA</t>
  </si>
  <si>
    <t>TURBA PACA X 40 KG</t>
  </si>
  <si>
    <t>BANDEJA DE GERMINACION DE 32 ALVEOLOS DE POLIPROPILENO</t>
  </si>
  <si>
    <t>BANDEJA DE GERMINACIÓN DE 72 ALVEOLOS DE POLIPROPILENO</t>
  </si>
  <si>
    <t>LIMA DE AMOLAR DOBLE CARA</t>
  </si>
  <si>
    <t>TRICODERMA UNIDAD DE MEDIDA SOBRE X 300 GRAMOS</t>
  </si>
  <si>
    <t xml:space="preserve">AZUFRE </t>
  </si>
  <si>
    <t>CAL VIVA UNIDAD DE MEDIDA BULTO X 50 KILOS</t>
  </si>
  <si>
    <t>HUMUS DE LOMBRIS ROJA CALIFORNIANA UNIDAD DE MEDIDA BULTO X 50 KILOS</t>
  </si>
  <si>
    <t>CAL AGRICOLA UNIDAD DE MEDIDA BULTO X 50 KILOS</t>
  </si>
  <si>
    <t>ROCA FOSFORICA UNIDAD DE MEDIDA BULTO X 50 KILOS</t>
  </si>
  <si>
    <t xml:space="preserve">MICORRIZA UNIDAD DE MEDIDA BULTO X 50 KILOS CON MINIMO 2 AÑOS DE VIDA UTIL, 300 ESPORAS POR GRAMO </t>
  </si>
  <si>
    <t>SULFATO DE COBRE UNIDAD DE MEDIDA KILO</t>
  </si>
  <si>
    <t>SULFATO DE MAGNESIO UNIDAD DE MEDIDA KILO</t>
  </si>
  <si>
    <t>CENIZA UNIDAD DE MEDIDA LIBRA</t>
  </si>
  <si>
    <t>HARINA DE ROCA UNIDAD DE MEDIDA KILO</t>
  </si>
  <si>
    <t>SULFATO DE ZINC UNIDAD DE MEDIDA KILO</t>
  </si>
  <si>
    <t>FERTILIZANTE FOLIAR NPK 10-30-10 PRESENTACIÓN LITRO</t>
  </si>
  <si>
    <t xml:space="preserve">FERTILIZANTE FOLIAR E INORGÁNICO PARA APLICACIÓN AL SUELO MEDIANTE SISTEMAS DE FERTIRRIGACIÓN, LIQUIDO CONCENTRADO SOLUBLE (SL),  COMPOSICIÓN:Nitrógeno total (N) 36 g/L
Nitrógeno ureico (N) 36 g/L, Magnesio soluble en agua (MgO) 66 g/L
, Azufre soluble en agua 40.0 g/L (presentación tarro de 1 litro color verde, tapa azul), PRESENTACIÓN LITRO
</t>
  </si>
  <si>
    <t>TIERRA CAPOTE BULTO X 50 KG</t>
  </si>
  <si>
    <t>Solución Buffer ph 10 con certificado- Frasco por 500 ml</t>
  </si>
  <si>
    <t>FRASCO</t>
  </si>
  <si>
    <t>Enmienda Húmica Liquida Carbono Extracto Húmico Total(C.E.H.T)
223.8 g/L,  Carbono de Ácidos Húmicos (CAH) 151 g/L,  Carbono de Ácidos Fulvicos (CAF) 72.8 g/L, pH en solución al 10% 4.36, Densidad a 20 ⁰C 1.22 g/ml
Presentación Litro</t>
  </si>
  <si>
    <t>GUANTES DE EXAMEN PARA PROCEDIMIENTOS PRESENTACIÓN CAJA X 50 UNIDADES</t>
  </si>
  <si>
    <t xml:space="preserve">Caja </t>
  </si>
  <si>
    <t>GLUCONATO DE CALCIO PRESENTACIÓN FRASCO X 500 cc</t>
  </si>
  <si>
    <t xml:space="preserve">Frasco </t>
  </si>
  <si>
    <t>ANTISEPTICOS PRESENTACIÓN FRASCO 354 ml</t>
  </si>
  <si>
    <t>LIDOCAINA INYECTABLE PRESENTACIÓN FRASCO x 50 ml</t>
  </si>
  <si>
    <t>REACTIVO CALIFORNIA MASTITIS PRESENTACICIÓN LITRO</t>
  </si>
  <si>
    <t>POMADA ALFA  PRESENTACIÓN TARRO DE 350 gr</t>
  </si>
  <si>
    <t xml:space="preserve">TARRO </t>
  </si>
  <si>
    <t>FRASCO NOMBRE GENERICO BENZETACIL PRESENTACÓN FRASCO X 6 ML</t>
  </si>
  <si>
    <t>Frasco</t>
  </si>
  <si>
    <t>UNIDAD GENERICO CALMAFOS PRESENTACIÓN FRASCO X 500 CC</t>
  </si>
  <si>
    <t>NOMBRE GENERICO LEPECID PRESENTACIÓN FRASCO X 354 ML</t>
  </si>
  <si>
    <t xml:space="preserve">FRASCO </t>
  </si>
  <si>
    <t>NOMBRE GENERICO LIDOCAINA INYECTABLE PRESENTACIÓN FRASCO X 50 CC</t>
  </si>
  <si>
    <t xml:space="preserve"> DEXTROMIN X 250 ML</t>
  </si>
  <si>
    <t>DEXTROSA EN AGUA DESTILADA AL 5% X 500 CC</t>
  </si>
  <si>
    <t>CATETER PLASTICO PARA LAVADOS BOVINOS PRESENTACIÓN BOLSA DE 50 UNIDADES</t>
  </si>
  <si>
    <t>VENOCLISIS MACROGOTEO AGUJA CALIBRE 18 x 1 1/2"</t>
  </si>
  <si>
    <t>GUANTE DE INSEMINACION O PALPACION BOVINA PRESENTACIÓN PAQUETE DE 50 UNIDADES</t>
  </si>
  <si>
    <t>AGUJA HIPODERMICA PLASTICA CALIBRE no. 18 por 1" CAJA X 100 UNIDADES</t>
  </si>
  <si>
    <t>RAQUETA NOMBRE CALIFORNIA MASTITIS</t>
  </si>
  <si>
    <t>KIT CON 15 PIEZAS EN ACERO INOXIDABLE PARA GANADO MAYOR. ESTE ESTUCHE DEBE CONTENER. DOS MANGOS DE BISTURÍ # 3 Y # 4, DOS PINZAS HEMOSTÁTICA MOSQUITO CURVAS Y DOS RECTAS DE 14 CMS, DOS PINZAS HEMOSTÁTICA KELLY CURVAS Y DOS RECTAS DE 14 CMS , UNA PINZA PORTA GUJAS RECTA DE 14 CMS, UNA TIJERA DE MAYO RECTA DE 14 CMS, UNA PINZA DE DISECCIÓN RECTA</t>
  </si>
  <si>
    <t>KIT</t>
  </si>
  <si>
    <t>BOVINOS NOMBRE FUNDA PARA INSEMINACION PAQUETE X 50 UNIDADES</t>
  </si>
  <si>
    <t xml:space="preserve">PAQUETE </t>
  </si>
  <si>
    <t>PISTOLA DE INSEMINACION ARTIFICIAL</t>
  </si>
  <si>
    <t>Lote 8. Confección Subsede</t>
  </si>
  <si>
    <t>PROVEEDOR 1</t>
  </si>
  <si>
    <t>PROVEEDOR 2</t>
  </si>
  <si>
    <t>233446</t>
  </si>
  <si>
    <t>111161532</t>
  </si>
  <si>
    <t>RIB 2X2 FONDO ENTERO COLOR NEGRO X METRO</t>
  </si>
  <si>
    <t>METROS</t>
  </si>
  <si>
    <t>234275</t>
  </si>
  <si>
    <t>11161532</t>
  </si>
  <si>
    <t>DACRON NACIONAL FONDO ENTERO COLOR AZUL TURQUESA X METRO</t>
  </si>
  <si>
    <t>DACRON NACIONAL   ESTAMPADO  COLOR VERDE CLARO CON ESTAMPADO FEMENINO X METRO</t>
  </si>
  <si>
    <t>230334</t>
  </si>
  <si>
    <t>OXFORD FONDO ENTERO COLOR BLANCO X METRO</t>
  </si>
  <si>
    <t>OXFORD FONDO ENTERO  COLOR LILA X METRO</t>
  </si>
  <si>
    <t>237572</t>
  </si>
  <si>
    <t>DOBLE PUNTO PARA PIJAMAS ESTAMPADO FEMENINO X METRO</t>
  </si>
  <si>
    <t>237575</t>
  </si>
  <si>
    <t>NAUTICA FONDO ENTERO COLOR NEGRO X METRO</t>
  </si>
  <si>
    <t>241027</t>
  </si>
  <si>
    <t>LACOST FONDO ENTERO COLOR BLANCO X METRO</t>
  </si>
  <si>
    <t>271604</t>
  </si>
  <si>
    <t>PERCHADO OLIMPICO X METRO</t>
  </si>
  <si>
    <t>253505</t>
  </si>
  <si>
    <t>123121629</t>
  </si>
  <si>
    <t>AGUJAS REFERENCIA 16X231 (CALBRE 70-80-90) PAÑO x 10 unidades</t>
  </si>
  <si>
    <t>PAÑOS</t>
  </si>
  <si>
    <t>257174</t>
  </si>
  <si>
    <t>AGUJAS REFERENCIA B-63 (CALIBRE 70-80-90) PAÑO  x 10 unidades</t>
  </si>
  <si>
    <t>AGUJAS REFERENCIA B-27 (CALIBRE 70-80-90) PAÑO  x 10 unidades</t>
  </si>
  <si>
    <t>AGUJAS REFERENCIA 135X5 (CALIBRE 70-80-90) PAÑO  x 10 unidades</t>
  </si>
  <si>
    <t>233303</t>
  </si>
  <si>
    <t>11151520</t>
  </si>
  <si>
    <t>HILO TEX 120X500 RED LEAF O VENUS CONO</t>
  </si>
  <si>
    <t xml:space="preserve">CONOS </t>
  </si>
  <si>
    <t>233341</t>
  </si>
  <si>
    <t>HILO TEX 75X500 RED LEAF O VENUS CONO</t>
  </si>
  <si>
    <t>233328</t>
  </si>
  <si>
    <t>HILO TEX 50X5000 RED LEAF OVENUS CONO</t>
  </si>
  <si>
    <t>275508</t>
  </si>
  <si>
    <t>11151523</t>
  </si>
  <si>
    <t>NYLON FILETEADORA BLANCO  X KILO</t>
  </si>
  <si>
    <t>11151524</t>
  </si>
  <si>
    <t>NYLON FILETEADORA COLOR X KILO</t>
  </si>
  <si>
    <t>255508</t>
  </si>
  <si>
    <t>ELASTICO BLANCO DE 3CMS METRO</t>
  </si>
  <si>
    <t>CIERRE NYLON 15 CMS UNIDAD</t>
  </si>
  <si>
    <t>CIERRE INVISIBLE 20 CMS UNIDAD</t>
  </si>
  <si>
    <t>CIERRE COBRE 15 CMS  UNIDAD</t>
  </si>
  <si>
    <t>BOTON LINEA 16  UNIDAD</t>
  </si>
  <si>
    <t>TELA POLITEX METRO</t>
  </si>
  <si>
    <t>MTS</t>
  </si>
  <si>
    <t>TELA BAVARA COLOR METRO</t>
  </si>
  <si>
    <t>Lote 9. Salud Ocupacional Subsede</t>
  </si>
  <si>
    <t>285118</t>
  </si>
  <si>
    <t>149221524</t>
  </si>
  <si>
    <t>Arnes 6 argollas para trabajos verticales,  totalmente ajustable para acceso por cuerda con cinturón ancho acolchado, perneras y correas para los hombros, con sistema para adaptacion de cam clean. UNIDAD</t>
  </si>
  <si>
    <t>CAM CLEAN de pecho compacto y ligero para un ascenso seguro y suave, rescate y técnicas especiales de cuerda UNIDAD</t>
  </si>
  <si>
    <t>283170</t>
  </si>
  <si>
    <t>146182304</t>
  </si>
  <si>
    <t>Puño bloqueador diseñado para los ascensos por cuerda, se beneficia de una empuñadura moldeada y de una parte superior ergonómicas que permiten asegurar un agarre cómodo y potente durante las tracciones con una o dos manos UNIDAD</t>
  </si>
  <si>
    <t>243400</t>
  </si>
  <si>
    <t>146182313</t>
  </si>
  <si>
    <t>Bloqueador de pie, utilizado junto con los bloqueadores,hace que los ascensos por cuerda sean más rápidos y fatiguen menos. Disponible en versión pie derecho o pie izquierdo. UNIDAD</t>
  </si>
  <si>
    <t>La placa multi anclaje, 7 orificios de anclaje con un diámetro de  19 mm UNIDAD</t>
  </si>
  <si>
    <t>Lote 10. Reactivos Químicos</t>
  </si>
  <si>
    <t>PROVEEDOR 3</t>
  </si>
  <si>
    <t xml:space="preserve">253597 </t>
  </si>
  <si>
    <r>
      <t>ACIDO SULFÚRICO  AL [95-97%] P.A (Máximo 0,005 ppm Hg) EMSURE, ACS, ISO, Reag, Ph Eur , ENVASE AMBAR con Safebreak Grado american chemical society  – (de fórmula: (H₂SO₄), presentación de 2,5 litros por botella)</t>
    </r>
    <r>
      <rPr>
        <b/>
        <sz val="11"/>
        <rFont val="Calibri"/>
        <family val="2"/>
        <scheme val="minor"/>
      </rPr>
      <t xml:space="preserve"> /</t>
    </r>
    <r>
      <rPr>
        <sz val="11"/>
        <rFont val="Calibri"/>
        <family val="2"/>
        <scheme val="minor"/>
      </rPr>
      <t xml:space="preserve"> con fecha de vencimiento superior a un año a la fecha de entrega</t>
    </r>
  </si>
  <si>
    <t>BOTELLAS 2,5 Litros</t>
  </si>
  <si>
    <t>250001</t>
  </si>
  <si>
    <r>
      <t>AGITADORES CILÍNDRICOS,</t>
    </r>
    <r>
      <rPr>
        <b/>
        <u/>
        <sz val="11"/>
        <rFont val="Calibri"/>
        <family val="2"/>
        <scheme val="minor"/>
      </rPr>
      <t xml:space="preserve"> </t>
    </r>
    <r>
      <rPr>
        <sz val="11"/>
        <rFont val="Calibri"/>
        <family val="2"/>
        <scheme val="minor"/>
      </rPr>
      <t xml:space="preserve"> imanes o barras de agitación  Magnetico Bares  40 x 8 mm</t>
    </r>
  </si>
  <si>
    <t>AGITADORES CILÍNDRICOS,  imanes o barras de agitación  Magnetico Bares  13 x 3 mm (presentacion paquete por 10 unidades)</t>
  </si>
  <si>
    <t>261771</t>
  </si>
  <si>
    <t>CLORURO DE BENZALCONIO USP, es una sal de amonio cuaternario, comercializada como mezcla de cloruros de alquildimetil (bencil) amonio, de pesos moleculares variables dependiendo de la longitud de los grupos alquílicos. Semisólido amarillento. Soluble en agua, etanol y acetona. para productos de aseo y cosmeticos. con fecha de vencimiento superior a un año</t>
  </si>
  <si>
    <t>FCO x 500 ml</t>
  </si>
  <si>
    <t>Cuarzo  grado analitico, Cuarzo cristalino, 0,6–1,3 mm, Color gris claro, inodoro, pH (valor) 6 – 8 (agua: 100 g/l , 20 °C), Punto de fusión/punto de congelación &gt;1.610 °C, Punto inicial de ebullición e intervalo de ebullición &gt;2.230 °C  con fecha de vencimiento superior a un año a la fecha de entrega</t>
  </si>
  <si>
    <t>frasco 1000 g</t>
  </si>
  <si>
    <t>ACIDO OXALICO DIHIDRATO,  p.a. EMSURE® ACS,ISO,Reag. Ph Eur, Forma sólido, Color blanco, Olor inodoro, pH aprox. 1,5 a 10 g/l, Punto/intervalo de fusión 98 - 100 °C
Eliminación del agua de la cristalisación, Punto /intervalo de ebullición 149 - 160 °C a 1.013 hPa (descomposición), Punto de inflamación 157 °C, (descomposición)    con fecha de vencimiento superior a un año</t>
  </si>
  <si>
    <t>Frasco x 1 Kg</t>
  </si>
  <si>
    <t>Sorbitol grado analitico, Transparente, Líquido viscoso, Sin olor, 1.0-3.0 (100%), pH 1.0-3.0 (100%), Densidad gr/cm3   a 25°C  1.489  , Viscosidad a 20°C   185 cP, Punto de ebullición  296 °C, Gravedad específica 1.2 – 1.3 g/mL, Solubilidad Soluble en agua, etanol, metanol.con fecha de vencimiento superior a un año a la fecha de entrega</t>
  </si>
  <si>
    <t>frasco 30 g</t>
  </si>
  <si>
    <t>Hidroxilamina grado analitico, líquido, Color incoloro, Olor inodoro, pH 10,6 a 20 °C, Punto de solidificación 8 °C, con fecha de vencimiento superior a un año a la fecha de entrega</t>
  </si>
  <si>
    <t>frasco 250 g</t>
  </si>
  <si>
    <t>Sulfato Ferroso Amoniacal grado analitico, solido, Color verde claro, Olor inodoro, pH (valor) &lt;1 (20 °C), Punto inicial de ebullición e intervalo de ebullición 100 °Ccon fecha de vencimiento superior a un año a la fecha de entrega</t>
  </si>
  <si>
    <t>frasco 1 kg</t>
  </si>
  <si>
    <t>274606</t>
  </si>
  <si>
    <t>Bentonita grado comercial,  sólido (polvo), Color beige, Olor inodoro, pH (valor) 6 – 11 (agua: 20 g/l , 20 °C)con fecha de vencimiento superior a un año a la fecha de entrega</t>
  </si>
  <si>
    <t>Agar extracto de malta, sólido, Color: beige, Olor péptico, pH 5,6 a 48 g/l a 22 °C (tras autoclave), Solubilidad en agua 48 g/l a 100 °C, con fecha de vencimiento superior a un año a la fecha de entrega</t>
  </si>
  <si>
    <t>frasco 500 g</t>
  </si>
  <si>
    <t>PLATA NITRATO 99.5% grado analitco X 250 G, Este producto debe tener Ficha de Dato de Seguridad -FDS, estar etiquetado y rotulado, según el DECRETO NÚMERO 1496 DE 2018, con fecha de vencimiento superior a un año a la fecha de entrega</t>
  </si>
  <si>
    <t>Silicato de Sodio    grado comercial, Líquido viscoso claro a turbio, Olor: Sin olor., Solubilidad: Completo (100%), Peso Específico: 1.3 - 1.5, pH: 11 - 12.5, % de Volátiles por Volumen @ 21ºC (70ºF): ca. 70, Punto de Ebullición: 102C (216ºF), Punto de Fusión: 1089 ° C, Densidad del Vapor (Air=1): No aplicable, Presión de Vapor (mm Hg): 18 @ 20ºC (68ºF) con fecha de vencimiento superior a un año a la fecha de entrega</t>
  </si>
  <si>
    <t>frasco 1 litro</t>
  </si>
  <si>
    <t>Agar VRB o EMB, solido grado analitico sólido, Color: rosa, Olor desagradable, pH 7,3 - 7,5 a 40 g/l a 37 °C (tras autoclave) con fecha de vencimiento superior a un año a la fecha de entrega</t>
  </si>
  <si>
    <t>Tiocianato de sodio, reactivo grado analitico cristalino, Color: blanco, inodoro, pH 4,8 a 1.070 g/l a 20,1 °C, Punto/intervalo de fusión: 308 °C a 1.013,25 hPa - Directrices de ensayo 102 del OECD, Punto inicial de
ebullición e intervalo de ebullición &gt; 400 °C - Directrices de ensayo, Densidad 1,76 gcm3 a 20 °C -, Solubilidad en agua 1.000 g/l a 20 °C -con fecha de vencimiento superior a un año a la fecha de entrega</t>
  </si>
  <si>
    <t>frasco por 2,5 kg</t>
  </si>
  <si>
    <t>Dimetil glioxima, grado analitico sólido, Color: blanco, a, amarillo, Olor inodoro, Punto de fusión/, punto de congelación 240 - 241 °C, Densidad aparente aprox.620 kg/m3, con fecha de vencimiento superior a un año a la fecha de entrega</t>
  </si>
  <si>
    <t>Frasco x 100 ml</t>
  </si>
  <si>
    <t>Azufre micronizado, Solido, Color Amarillo, Olor Característico, pH 6,75 20ºC, Temperatura de autoignición 221ºC Método de ensayo EU A.16, Viscosidad, dinámica 134,1 mPa.s, con fecha de vencimiento superior a un año a la fecha de entrega</t>
  </si>
  <si>
    <t>Tartrato de sodio grado reactivo analitico, sólido, pH 7,0 - 8,5, Densidad aparente aprox.1.000 kg/m3, Color: crema, con fecha de vencimiento superior a un año a la fecha de entrega</t>
  </si>
  <si>
    <t>Frasco x 250 g</t>
  </si>
  <si>
    <r>
      <t xml:space="preserve">Acetona (CH3COCH3), masa molecular: 58,08g/mol, reactivo para analisis, reactivo de laboratorio, solvente orgánico, líquido.  Sustancia controlada según RESOLUCIÓN 0001 DE 2015. El producto debe estar rotulado con el nombre del producto, productor, peso, lote de producción y  cumplir con el decreto 1496 de 2018. El Proveedor debe presentar ficha de tecnica y de datos de seguridad del producto en español  para evaluación como requisito habilitante.  Embalaje en frasco ambar. </t>
    </r>
    <r>
      <rPr>
        <sz val="10"/>
        <rFont val="Arial"/>
        <family val="2"/>
      </rPr>
      <t>con fecha de vencimiento superior a un año a la fecha de entrega</t>
    </r>
  </si>
  <si>
    <t>frasco 2,5 L</t>
  </si>
  <si>
    <t xml:space="preserve">Palitas de jardineria para toma de muestras de suelo en  acero carbono o metal con proteccion al oxido, con proteccion de pintura electrostática que tiene mejor presentación visual y mayor protección contra la oxidación, mango en madera barnizada, liviana de 5 x 10 cm . </t>
  </si>
  <si>
    <t>unidad</t>
  </si>
  <si>
    <t>Bisturí para laboaratorio microbiologico metalico conocido como escalpelo, lanceta instrumento en forma de cuchillo pequeño, de hoja fina, puntiaguda, de uno o dos cortes, que se usa en procedimientos de laboaratorio, con hojas recambiables, con un juego de cuchillas de repuesto</t>
  </si>
  <si>
    <t>frascos winkler en vidrio frascos calibrados de laboratorio. De 300 ml El frasco Winkler es para realizar valoraciones de la cantidad de oxígeno dentro de una disolución.</t>
  </si>
  <si>
    <t>cajas petri desechables caja por 100 paquetes de 10 cajas de tamaño 90 x 15 Mm. Con certificado</t>
  </si>
  <si>
    <t>Kcl 3 molar para electrodo. Solución de almacenamiento de electrodo, frasco de 500 mL. Diseñado para almacenar cualquier electrodo de pH u ORP. Formulación especial para minimizar el crecimiento bacteriano en el electrodo, con fecha de vencimiento superior a un año a la fecha de entrega</t>
  </si>
  <si>
    <t>FRASCO X 250 ML</t>
  </si>
  <si>
    <t>microespatula de acero inoxidable de 150 mm</t>
  </si>
  <si>
    <t>Agar Plate Count, medio de cultivo microbiologico, en medio solido granulado para prepararcion y autoclavar, de recuento de bacterias (pH 7,0 ± 0,2), con fecha de vencimiento superior a un año a la fecha de entrega</t>
  </si>
  <si>
    <t>241257</t>
  </si>
  <si>
    <t>SILICA GEL GRANULADO DESECANTE ~ 2 - 5 mm CON INDICADOR DE HUMEDAD, producto quimico de alta calidad grado analitico, producto absorbente, de aspecto cristalino, porosa, inerte, no tóxica e inodora,  químicamente estable, sólo reacciona con el ácido fluorhídrico y el álcali.  pudiendo llegar algunos a absorber hasta un 40% de su propio peso en agua. la alta absorción, funcionamiento termal estable, característica física estable, fuerza mecánica relativamente alta,  con fecha de vencimiento mayor a un año</t>
  </si>
  <si>
    <t>FCO x 1 Kg</t>
  </si>
  <si>
    <t>147122123</t>
  </si>
  <si>
    <t>230306</t>
  </si>
  <si>
    <t>DETERGENTE EXTRAN PARA VIDRIERIA, producto para lavado manual con concentrados universalmente aplicables para la producción de baños de agua. Aseguran una limpieza fiable y remueven los residuos altamente contaminantes, de vidrieria y  equipo de laboratorio incluso en casos difíciles, siendo a la vez delicados con el entorno, las manos y la salud de su personal. fáciles de usar: basta con sumergir los artículos que hay que limpiar en la disolución diluida.Suave limpiador universal para aparatos de metales sensibles a los álcalis, por ejemplo, aluminio, cinc y aleaciones de comportamiento similar. Adecuado para aparatos de metal y dispositivos de precisión de vidrio y cuarzo, como las buretas, las pipetas, las cubetas o los analizadores de gases, para limpiar otros utensilios  sensibles a detergentes agresivos y con contaminación problemática,  grado analitico  con fecha de vencimiento mayor a un año</t>
  </si>
  <si>
    <t>FCO x 5 L</t>
  </si>
  <si>
    <t>Solución patrón zinc 1000 mg/L  para AA, solucion de alta pureza, contrastados con un patrón primario de altísima pureza. de alta pureza (99.999+%) permite relacionar en la práctica directamente el mol con el peso atómico, con lo que se pueden efectuar medidas estequiométricas con el resto de elementos. Esta solucion,  debe ser fabricada gravimétricamente con metales y sales puras, ácidos de alta pureza SpA y agua, pueden ser utilizadas en todo tipo de espectroscopia atómica desde AA, con fecha de vencimiento superior a un año a la fecha de entrega</t>
  </si>
  <si>
    <t>FCO x 500ml</t>
  </si>
  <si>
    <t>ELECTRODO DE RESPUESTO DE PH RELLENABLE, Electrodos de pH para aplicaciones de laboratorio y de proceso. alta precisión. Exactitud y precisión. La más alta calidad. Facilidad de uso. Servicios: soporte y reparación, instalación profesional, calibración y calidad, en vidrio, con sistema de relleno de KCl con capucha protectora.</t>
  </si>
  <si>
    <t xml:space="preserve">Potasio Hidrogenoftalato Patron Primario Mat. Ref Se, grado analitico, compuesto químico, sólido, de color blanco, soluble, que se encuentra comercialmente en estado de alta pureza. Es utilizado como patrón primario para estandarizar soluciones en las titulaciones ácido-base, con fecha de vencimiento superior a un año </t>
  </si>
  <si>
    <t>Frasco x 80 g</t>
  </si>
  <si>
    <t>141103165</t>
  </si>
  <si>
    <t>278389</t>
  </si>
  <si>
    <t>BARRA MAGNÉTICA DE  30 X 7 mm EN TEFLÓN Varilla de agitación para sustancias recubiertas de teflón (PTFE) resistentes a ácidos, bases y sustancias altamente corrosivas,   Temperatura máxima de uso 270°C</t>
  </si>
  <si>
    <t>PESCA PARA BARRA MAGNÉTICA EN TEFLÓN, fabricadas con PTFE.  tiene un núcleo magnético completamente sellado que evita el filtrado</t>
  </si>
  <si>
    <t>Amoniaco  o solución de  hidroxido de amonio (NH4OH), masa molecular: 35,05g/mol, pureza al del 28- 30%, para analisis, reactivo para laboratorio., sustancia en solución. Sustancia controlada según RESOLUCIÓN 0001 DE 2015. El producto debe estar rotulado con el nombre del producto, productor, peso, lote de producción, fecha de vencimiento superior a doce 24 y  cumplir con el decreto 1496 de 2018. El Proveedor debe presentar ficha de tecnica y de datos de seguridad del producto en español  para evaluación como requisito habilitante.  Embalaje en frasco ambar</t>
  </si>
  <si>
    <t>frasco 1000 ml</t>
  </si>
  <si>
    <t xml:space="preserve">249717 </t>
  </si>
  <si>
    <r>
      <t>DI-POTASIO HIDROGENOFOSFATO TRIHIDRATO</t>
    </r>
    <r>
      <rPr>
        <b/>
        <u/>
        <sz val="11"/>
        <rFont val="Calibri"/>
        <family val="2"/>
        <scheme val="minor"/>
      </rPr>
      <t xml:space="preserve"> </t>
    </r>
    <r>
      <rPr>
        <sz val="11"/>
        <rFont val="Calibri"/>
        <family val="2"/>
        <scheme val="minor"/>
      </rPr>
      <t xml:space="preserve">(de fórmula: K2HPO4* 3H2O presentación frasco plástico x 1000 gramos, grado analítico) / </t>
    </r>
  </si>
  <si>
    <t>Alcohol Isopropílico FRASCO X 1 Litro</t>
  </si>
  <si>
    <t>FRASCO X 1 Litro</t>
  </si>
  <si>
    <t xml:space="preserve">Yodato de potasio (KIO3), masa molecular: 214g/mol grado analitico, puereza al  99,5%, para analisis reactivo de laboratorio, sal inorganica, polvo blanco cristalino, emblaje en botellas polietileno. El producto debe estar rotulado con el nombre del producto, productor, peso, lote de producción, fecha de vencimiento superior a 24 meses y  cumplir con el decreto 1496 de 2018. El Proveedor debe presentar ficha de tecnica y de datos de seguridad del producto en español  para evaluación como requisito habilitante.  </t>
  </si>
  <si>
    <t>beaker plastico de 2000 ml</t>
  </si>
  <si>
    <t>287571</t>
  </si>
  <si>
    <t>Condensador lineal en vidrio, transparente, para procesos de destilación en laboratorios químicos resistente a las altas temperaturas</t>
  </si>
  <si>
    <t>Condensadores de bolas en vidrio, transparente, para procesos de destilación en laboratorios químicos resistente a las altas temperaturas</t>
  </si>
  <si>
    <t>141103150</t>
  </si>
  <si>
    <t>247578</t>
  </si>
  <si>
    <t>Frascos de vidrio transparentes100 ml tapa rosca (para análisis), Frasco para laboratorio con rosca DIN. Con graduación de fácil lectura y campo para rotular de grandes dimensiones, para facilitar el marcado. Serigrafiado secado al horno y por ello, muy duradero. Protección contra los rayos UV de hasta aprox. 500 nm de longitud de onda. Sin alteración de las características en el interior del frasco, porque el color está aplicado externamente.  Con una buena resistencia química. Usados para almacenamiento y transporte de sustancias fotosensibles</t>
  </si>
  <si>
    <t>Dedales para sistema sohlet</t>
  </si>
  <si>
    <t>paquete x 25</t>
  </si>
  <si>
    <t>Lote 11. Gastronomía (Subsede)</t>
  </si>
  <si>
    <t>232461</t>
  </si>
  <si>
    <t xml:space="preserve"> ALMEJA NEGRA EN CONCHA x LIBRA </t>
  </si>
  <si>
    <t>277485</t>
  </si>
  <si>
    <t xml:space="preserve"> CALAMAR BLANCO X LIBRA</t>
  </si>
  <si>
    <t>277486</t>
  </si>
  <si>
    <t xml:space="preserve"> CALAMAR MORADO X LIBRA </t>
  </si>
  <si>
    <t>235651</t>
  </si>
  <si>
    <t xml:space="preserve"> CERDO CORTE PIERNA X LIBRA</t>
  </si>
  <si>
    <t xml:space="preserve"> LANGOSTINO U 15 SIN ARREGLAR X LIBRA </t>
  </si>
  <si>
    <t>232513</t>
  </si>
  <si>
    <t xml:space="preserve"> PALMITOS X LIBRA</t>
  </si>
  <si>
    <t>272364</t>
  </si>
  <si>
    <t>50111515</t>
  </si>
  <si>
    <t xml:space="preserve"> PATO CORTE ENTERO X LIBRA</t>
  </si>
  <si>
    <t>246939</t>
  </si>
  <si>
    <t xml:space="preserve"> PISTACHO X LIBRA </t>
  </si>
  <si>
    <t>255656</t>
  </si>
  <si>
    <t xml:space="preserve"> POLLO CORTE PECHUGA X KILO</t>
  </si>
  <si>
    <t>244198</t>
  </si>
  <si>
    <t>150131713</t>
  </si>
  <si>
    <t>50131800</t>
  </si>
  <si>
    <t xml:space="preserve"> QUESO CAMPESINO X LIBRA</t>
  </si>
  <si>
    <t>244199</t>
  </si>
  <si>
    <t xml:space="preserve"> QUESO COSTEÑO X LIBRA</t>
  </si>
  <si>
    <t>236779</t>
  </si>
  <si>
    <t>50192405 </t>
  </si>
  <si>
    <t xml:space="preserve"> RELLENO DE MORA X LIBRA</t>
  </si>
  <si>
    <t>234255</t>
  </si>
  <si>
    <t>50111513 </t>
  </si>
  <si>
    <t xml:space="preserve"> RES CORTE BOLLO MUCHACHO ENTERO X LIBRA</t>
  </si>
  <si>
    <t>247695</t>
  </si>
  <si>
    <t xml:space="preserve"> RES CORTE FALDA X LIBRA</t>
  </si>
  <si>
    <t>255649</t>
  </si>
  <si>
    <t xml:space="preserve"> RES CORTE HUESO CARNUDO X LIBRA</t>
  </si>
  <si>
    <t xml:space="preserve"> RES CORTE LOMO FINO X LIBRA</t>
  </si>
  <si>
    <t>277482</t>
  </si>
  <si>
    <t xml:space="preserve"> RES CORTE PUNTA DE ANCA X LIBRA</t>
  </si>
  <si>
    <t>232468</t>
  </si>
  <si>
    <t>PULPO X LIBRA</t>
  </si>
  <si>
    <t>268872</t>
  </si>
  <si>
    <t>QUESO  PARMESANO X LIBRA</t>
  </si>
  <si>
    <t>236801</t>
  </si>
  <si>
    <t>QUESO MOZARELLA  X LIBRA</t>
  </si>
  <si>
    <t>239587</t>
  </si>
  <si>
    <t>RELLENO  AREQUIPE X LIBRA</t>
  </si>
  <si>
    <t>RES CORTE CHATAS X LIBRA</t>
  </si>
  <si>
    <t>255652</t>
  </si>
  <si>
    <t>RES CORTE LOMO ANCHO DE RES X LIBRA</t>
  </si>
  <si>
    <t>236281</t>
  </si>
  <si>
    <t>RES CORTE SOLOMITO SIN LIMPIAR MADURO X LIBRA</t>
  </si>
  <si>
    <t>50121537 </t>
  </si>
  <si>
    <t>SALMON ENTERO X LIBRA</t>
  </si>
  <si>
    <t>234854</t>
  </si>
  <si>
    <t>111172319</t>
  </si>
  <si>
    <t>TAPA BOCAS  CARACTERISTICA CON REFUERZO NASAL CAJA X 50</t>
  </si>
  <si>
    <t>CAJA X 50</t>
  </si>
  <si>
    <t>TOCINO DE CERDO CARNUDO X LIBRA</t>
  </si>
  <si>
    <t>244252</t>
  </si>
  <si>
    <t>VINO TINTO TETRA PACK BOTELLA X 750 ML</t>
  </si>
  <si>
    <t>233679</t>
  </si>
  <si>
    <t xml:space="preserve"> ANILLOS DE CALAMAR X LIBRA</t>
  </si>
  <si>
    <t>6</t>
  </si>
  <si>
    <t>275384</t>
  </si>
  <si>
    <t>JABON DESENGRASANTE DEGRATEC GALON * 4000 ML</t>
  </si>
  <si>
    <t>GALON * 4000 ML</t>
  </si>
  <si>
    <t>257859</t>
  </si>
  <si>
    <t>JAMON DE CERDO LAMINADO X LIBRA</t>
  </si>
  <si>
    <t>257052</t>
  </si>
  <si>
    <t>LEVADURA SECA INSTANTÁNEA X LIBRA</t>
  </si>
  <si>
    <t>234254</t>
  </si>
  <si>
    <t>147121829</t>
  </si>
  <si>
    <t>LIMPION  MATERIAL TELA UNIDAD</t>
  </si>
  <si>
    <t>257061</t>
  </si>
  <si>
    <t>152151636</t>
  </si>
  <si>
    <t> 48102109</t>
  </si>
  <si>
    <t>MANGA PASTELERA GRANDE MATERIAL DESECHABLE DE 21 PULGADAS X 100 UND</t>
  </si>
  <si>
    <t>X 100 UND</t>
  </si>
  <si>
    <t>244061</t>
  </si>
  <si>
    <t>MARGARINA DE ESPASTE (VITINA ROJA) BLOQUE X 2.5 KG</t>
  </si>
  <si>
    <t>BLOQUE X 2.5 KG</t>
  </si>
  <si>
    <t>254046</t>
  </si>
  <si>
    <t>OREGANO X LIBRA</t>
  </si>
  <si>
    <t>114111707</t>
  </si>
  <si>
    <t>52151501</t>
  </si>
  <si>
    <t xml:space="preserve">PAPEL DE COCINA CLASE VINIPEL ROLLO X 300 MT </t>
  </si>
  <si>
    <t xml:space="preserve">ROLLO X 300 MT </t>
  </si>
  <si>
    <t>231155</t>
  </si>
  <si>
    <t>48102108</t>
  </si>
  <si>
    <t xml:space="preserve">PAPEL DE COCINA ROLLO CLASE ALUMINIO ROLLO X 300 MT </t>
  </si>
  <si>
    <t>263578</t>
  </si>
  <si>
    <t>126111725</t>
  </si>
  <si>
    <t>PILA RECARGABLE AA CON CARGADOR X 4 PACK X 4</t>
  </si>
  <si>
    <t>PACK X 4</t>
  </si>
  <si>
    <t>272180</t>
  </si>
  <si>
    <t>PILA RECARGABLE AAA CON CARGADOR X 4 PACK X 5</t>
  </si>
  <si>
    <t>PACK X 5</t>
  </si>
  <si>
    <t>240124</t>
  </si>
  <si>
    <t>112142106</t>
  </si>
  <si>
    <t>GAS PROPANO CILINDRO  X 40LB</t>
  </si>
  <si>
    <t>40LB</t>
  </si>
  <si>
    <t>236725</t>
  </si>
  <si>
    <t>50192404</t>
  </si>
  <si>
    <t>GELATINA  SIN SABOR X LIBRA</t>
  </si>
  <si>
    <t>243189</t>
  </si>
  <si>
    <t>50202207</t>
  </si>
  <si>
    <t>GRANADINA SABORES VARIADOS BOTELLA 750 CC</t>
  </si>
  <si>
    <t>BOTELLA 750 CC</t>
  </si>
  <si>
    <t>244166</t>
  </si>
  <si>
    <t xml:space="preserve"> MANTEQUILLA DE VACA LIBRA</t>
  </si>
  <si>
    <t>Lote 12. Artesanías (Subsede)</t>
  </si>
  <si>
    <t>259500</t>
  </si>
  <si>
    <t>11161701</t>
  </si>
  <si>
    <t>Lona cruda (textil con textura gruesa Metro</t>
  </si>
  <si>
    <t>Sintetico cuerina tipo polipiel   para elaborar marroquineria  color negro Metro</t>
  </si>
  <si>
    <t>11162307</t>
  </si>
  <si>
    <t>Sintetico cuerina tipo polipiel   para elaborar marroquineria  color Beigs Metro</t>
  </si>
  <si>
    <t>Sintetico cuerina tipo polipiel   para elaborar marroquineria  color Azúl  rey Metro</t>
  </si>
  <si>
    <t>Sintetico cuerina tipo polipiel   para elaborar marroquineria  color  Café Metro</t>
  </si>
  <si>
    <t>Sintetico cuerina tipo polipiel   para elaborar marroquineria  color  Rojo Metro</t>
  </si>
  <si>
    <t>Sintetico cuerina tipo polipiel   para elaborar marroquineria  color  Verde oscuro Metro</t>
  </si>
  <si>
    <t>Pita o piola de algodón OJO (cada paquete viene x 20 unidades) No 36,y 42</t>
  </si>
  <si>
    <t>Pintura acrilica (al frio) fco x 250Ml color rojo primario unidad</t>
  </si>
  <si>
    <t>UNIDAD.</t>
  </si>
  <si>
    <t>Pintura acrilica (al frio) fco x 250Ml color Amarillo primario unidad</t>
  </si>
  <si>
    <t>Pintura acrilica (al frio) fco x 250Ml color azúl primario unidad</t>
  </si>
  <si>
    <t>Pintura acrilica (al frio) fco x 250Ml color Blanco unidad</t>
  </si>
  <si>
    <t>Pintura acrilica (al frio) fco x 250Ml color Naranja unidad</t>
  </si>
  <si>
    <t>Pintura acrilica (al frio) fco x 250Ml color Morado unidad</t>
  </si>
  <si>
    <t>Pintura acrilica (al frio) fco x 250Ml color Verde unidad</t>
  </si>
  <si>
    <t>123141716</t>
  </si>
  <si>
    <t>256690</t>
  </si>
  <si>
    <t>Pegante blanco para suelas 689 Blanco x 750 Ml unidad</t>
  </si>
  <si>
    <t>Pegante de contacto Amarillo x galón de 5 litros unidad</t>
  </si>
  <si>
    <t>154101606</t>
  </si>
  <si>
    <t>257760</t>
  </si>
  <si>
    <t xml:space="preserve">60122907
</t>
  </si>
  <si>
    <t>Mostacilla No 11 color naranja kilo</t>
  </si>
  <si>
    <t>Kilo</t>
  </si>
  <si>
    <t>Mostacilla No 11 color verde kilo</t>
  </si>
  <si>
    <t>Mostacilla No 11 color rojo kilo</t>
  </si>
  <si>
    <t>Mostacilla No 11 color Azúl rey kilo</t>
  </si>
  <si>
    <t>257312</t>
  </si>
  <si>
    <t>Tacón playa en madera No 37 y 38 par</t>
  </si>
  <si>
    <t>Par</t>
  </si>
  <si>
    <t>243816</t>
  </si>
  <si>
    <t>SETS  x 3  figuras en madera medianas, 3 sets de negras, 3 sets de gatos, 3 sets de mariposas y 1 sets de bandejas (charoles)</t>
  </si>
  <si>
    <t>sets</t>
  </si>
  <si>
    <t>Lote 13. Peluquería  (Subsede)</t>
  </si>
  <si>
    <t>234974</t>
  </si>
  <si>
    <t>147131156</t>
  </si>
  <si>
    <t>27111929</t>
  </si>
  <si>
    <t>Lima común de cartón azul caja x 100 unidades</t>
  </si>
  <si>
    <t>caja x 100 unidades</t>
  </si>
  <si>
    <t>231224</t>
  </si>
  <si>
    <t>Lima spongy o de espuma especial para uñas acrílicas paquete x 24 unidades</t>
  </si>
  <si>
    <t>paquete x 24 unidades</t>
  </si>
  <si>
    <t>Lima para uñas acrílicas calibre 80/100  paquete x 24 unidades</t>
  </si>
  <si>
    <t>Lima para uñas acrílicas calibre 150/240 paquete x 24 unidades</t>
  </si>
  <si>
    <t>230206</t>
  </si>
  <si>
    <t>53131640</t>
  </si>
  <si>
    <t>Removedor de cutícula Gel. Una textura gelatinosa, que se aplica fácilmente y se deja actuar uno o dos minutos. Son perfectos para suavizar las uñas endurecidas y evitar que las cutículas se resequen y levanten. Quitan suavemente la piel muerta de una manera rápida e indolora,al mismo tiempo que calman las irritaciones de la piel. frasco x 60ml</t>
  </si>
  <si>
    <t>frasco x 60ml</t>
  </si>
  <si>
    <t>239238</t>
  </si>
  <si>
    <t>42281603</t>
  </si>
  <si>
    <t>Sanitizante liquido antiséptico que disminuye y previene la transmisión de gérmenes comunes. Para uso en manos, pies y herramientas para manicura. frasco x 120 ml</t>
  </si>
  <si>
    <t>frasco x 120 ml</t>
  </si>
  <si>
    <t>255912</t>
  </si>
  <si>
    <t>147131154</t>
  </si>
  <si>
    <t>47131502</t>
  </si>
  <si>
    <t xml:space="preserve">Toallas desechables para manicura y pedicura libres de pelusa rollo x 88 </t>
  </si>
  <si>
    <t xml:space="preserve">rollo x 88 </t>
  </si>
  <si>
    <t>230210</t>
  </si>
  <si>
    <t>27112103</t>
  </si>
  <si>
    <t>Empujador para uñas o pucher metálico cromado con diferentes puntas unidad</t>
  </si>
  <si>
    <t>corta cutícula en acero inoxidable, ajuste ergonómico y de pinza curba mediana unidad</t>
  </si>
  <si>
    <t>234958</t>
  </si>
  <si>
    <t>42132203</t>
  </si>
  <si>
    <t xml:space="preserve"> GUANTES DE NITRILO, desechables, de un sòlo uso, elàsticos con polìmeros para piel sencible. Caja x 50 pares</t>
  </si>
  <si>
    <t>Caja x 50 pares</t>
  </si>
  <si>
    <t>234978</t>
  </si>
  <si>
    <t>42131606</t>
  </si>
  <si>
    <t>Tapabocas Radical Alternativa Transparente Escudo Facial Con Válvulas De Respiración Durable Máscara  Acrílico Seguridad Media unidad</t>
  </si>
  <si>
    <t>234999</t>
  </si>
  <si>
    <t>53131635</t>
  </si>
  <si>
    <t xml:space="preserve"> BROCHA aplicadora de  rubor,  de mango plàstico y cerdas suaves unidad</t>
  </si>
  <si>
    <t>254098</t>
  </si>
  <si>
    <t>127111558</t>
  </si>
  <si>
    <t>23241602</t>
  </si>
  <si>
    <t>Punzones decorativos de uñas doble extremo y diferentes puntas  Paquete x 5 unidades</t>
  </si>
  <si>
    <t xml:space="preserve"> Paquete x 5 unidades </t>
  </si>
  <si>
    <t>53131607</t>
  </si>
  <si>
    <t xml:space="preserve"> Aceite Regenerador de cutícula,. Con ceramidas y vitamina E.
 ° Restaura la cutícula devolviéndole la suavidad natural y previniendo el endurecimiento y desprendimiento en torno a la uña.
° Posee propiedades extra humectantes por su contenido de vitamina E y ceramidas, así el manicure dura intacto por más tiempo.
° Para mejor aplicación trae gotero. Frasco x 24 ml</t>
  </si>
  <si>
    <t>Frasco x 24 ml</t>
  </si>
  <si>
    <t>231201</t>
  </si>
  <si>
    <t>53131617</t>
  </si>
  <si>
    <t>Primer, bond y extra bond, producto que nivela el ph de la uña, crea adherencia para gel y acrílico, también quita excesos de grasa, no tiene ácido. Frasco x 4ml</t>
  </si>
  <si>
    <t>Frasco x 4ml</t>
  </si>
  <si>
    <t>230205</t>
  </si>
  <si>
    <t>Monómero acrílico líquido morado para uñas acrílicas, de secado normal a lento con METIL METACRILATO Frasco por 120 ml</t>
  </si>
  <si>
    <t>Frasco por 120 ml</t>
  </si>
  <si>
    <t>231220</t>
  </si>
  <si>
    <t>Tips o uñas postizas, de material plástico color natural y punta cuadrada  caja x 240 unidades</t>
  </si>
  <si>
    <t>caja x 240 unidades</t>
  </si>
  <si>
    <t>Tips o uñas postizas, de material plástico color natural y punta punta estileto caja x 240 unidades</t>
  </si>
  <si>
    <t>Tips o uñas postizas, de material plástico color cistal y punta cuadrada caja x 240 unidades</t>
  </si>
  <si>
    <t>Tips o uñas postizas, de material plástico color cristal y punta cofim caja x 240 unidades</t>
  </si>
  <si>
    <t>Resina o pegante para uñas con aplicador de brocha, proporciona una adherencia total del tip con la uña.Evita dañar la uña natural Frasco x 14 ml</t>
  </si>
  <si>
    <t>Frasco x 14 ml</t>
  </si>
  <si>
    <t>Deshidratador o Balanceador de pH, prepara las uñas para el maquillaje tradicional con esmalte, ya que nivela el pH de la uña natural, retira los residuos de grasa logrando una mejor adherencia de los esmaltes, los acrílicos y los geles. Frasco x 24ml</t>
  </si>
  <si>
    <t>Frasco x 24ml</t>
  </si>
  <si>
    <t>231567</t>
  </si>
  <si>
    <t>Pinceles Número  8-10 y 12 para aplicación de acrilicos, 100 % pelo kolinsky, gran capacidad de absorción de productos acrílicos y elasticidad. paquete x 3</t>
  </si>
  <si>
    <t>paquete x 3</t>
  </si>
  <si>
    <t>Pinceles finos para decoración de uñas, diferentes tamaños Paquete x 5 unidades</t>
  </si>
  <si>
    <t>Paquete x 5 unidades</t>
  </si>
  <si>
    <t>230209</t>
  </si>
  <si>
    <t>Godete con tapa, recipiente pequeño de vidrio utilizado para colocar el monómero y humedecer los pinceles. Unidad</t>
  </si>
  <si>
    <t>231202</t>
  </si>
  <si>
    <t>Acrilicos en polvo o polímeros,  colección 12 colores diferentes gamas paquete x 12</t>
  </si>
  <si>
    <t>paquete x 12</t>
  </si>
  <si>
    <t>Gel de terminado o gel finalizador para acrílico tecnología de curado UV, producto libre de tuoleno, formaldehido, resina de formaldehido, dibutil ftalato y alcanfor Frasco x 13.5ml</t>
  </si>
  <si>
    <t>Frasco x 13.5ml</t>
  </si>
  <si>
    <t>242713</t>
  </si>
  <si>
    <t>531316</t>
  </si>
  <si>
    <t>Lámpara mini sun para esmalre semi permanente UV led 6 wats con cable USB unidad</t>
  </si>
  <si>
    <t>277357</t>
  </si>
  <si>
    <t>152141715</t>
  </si>
  <si>
    <t>Dril eléctrico profesional, taladro eléctrico para manicura y accesorios, incluye 6 tipos de brocas básicas para uñas, velocidad de rotación 0-35000 RPM, voltaje 110V -50 HZ, potencia 30 w, salida 12 V CC. Unidad</t>
  </si>
  <si>
    <t>Pulidor de uñas manicura y pedicura eléctrico, incluye pulidora de uñas, set de herramientas en diversas formas y calibre, 6 bandas de lijado y 6 metálicas. Unidad</t>
  </si>
  <si>
    <t>231206</t>
  </si>
  <si>
    <t>Bases o maniquies para fijar uñas sueltas, dedo a dedo. Unidad</t>
  </si>
  <si>
    <t>Paletas para mezcla de colores acrílicos unidad</t>
  </si>
  <si>
    <t>259342</t>
  </si>
  <si>
    <t>147131155</t>
  </si>
  <si>
    <t>Pinzas dual sistem para presionar tips o uñas acrilicas, en pasta transparente PAQUETE X 10 UDS</t>
  </si>
  <si>
    <t>PAQUETE X 10 UDS</t>
  </si>
  <si>
    <t>Limpiador profesional de pinceles especial para  pelo kolinsky FRASCO X 250 ML</t>
  </si>
  <si>
    <t>Sellos de silicona o stamper, producto transparente para decorar uñas naturales o acrílicas. Unidad</t>
  </si>
  <si>
    <t>Contenedor para limpieza de pinceles, con tapa para evitar regar el contenido y una base interna que no permite que el pincel toque el fondo. Unidad</t>
  </si>
  <si>
    <t>259152</t>
  </si>
  <si>
    <t>Kit de papel foil más pegante para foil, Foil-transfer para decoración de uñas, diseños variados, tiras de 20 cmt de largo x 4 cmt de ancho aprox PAQUETE X 10 TIRAS MAS PEGANTE</t>
  </si>
  <si>
    <t>PAQUETE X 10 TIRAS MAS PEGANTE</t>
  </si>
  <si>
    <t>Kit de papel foil más pegante para foil, Foil-transfer para decoración de uñas, COLORES DORADO, PLATEADO, TORNASOL Y NEGRO, tiras de 20 cmt de largo x 4 cmt de ancho aprox PAQUETE X 10 TIRAS MAS PEGANTE</t>
  </si>
  <si>
    <t>Kit de gel de pintura o Painting gel con abrigo brillante y duradero, especial para uñas gel UV  para uñas en 3D, acrílicas, postizas o naturales, gama de 10 colores incluyendo escarchados, sin olor y textura orgánica. PAQUETE X 12 UDS</t>
  </si>
  <si>
    <t>PAQUETE X 12 UDS</t>
  </si>
  <si>
    <t>Kit gel de pintura o painting gel decoración 3D,colores dorado, plateado, negro y blanco PAQUETE X 4</t>
  </si>
  <si>
    <t>PAQUETE X 4</t>
  </si>
  <si>
    <t>glitters o polvo acrílico para uñas, de última tecnología, compatibles con todo monómero y colores variados incluyendo dorados, plateados, tornasol, PAQUETE X 6 UDS</t>
  </si>
  <si>
    <t>PAQUETE X 6 UDS</t>
  </si>
  <si>
    <t>Kit o ruleta de mini balines y pedreria para decorar uñas acrílicas, colores variados unidad</t>
  </si>
  <si>
    <t>243695</t>
  </si>
  <si>
    <t>Papel oro, papel plata y hojas de oro y plata para decoración de uñas acrílicas y en gel unidad</t>
  </si>
  <si>
    <t>juego de 12 esmaltes de uñas en gel, colección manhattan,  con purpurina y brillo negro, rojo, morado, champán, dorado, con capa base brillante y mate.</t>
  </si>
  <si>
    <t>JUEGO DE 12 UDS</t>
  </si>
  <si>
    <t xml:space="preserve"> esmaltes de gel de colores (0.2 fl oz cada botella) + 3 bases que no se limpian y una capa superior brillante y mate (0.3 fl oz cada botella). Juego de 15 esmaltes de uñas de gel de colores pastel y neón de Beetles, hermosos tonos de colores populares y modernos, adecuados para las estaciones de primavera y verano y la vida cotidiana. unidad</t>
  </si>
  <si>
    <t xml:space="preserve"> esmaltes de gel de colores (0.2 fl oz cada botella) + 3 bases que no se limpian y una capa superior brillante y mate (0.3 fl oz cada botella). Juego de  esmaltes de uñas de gel de colores variados incluyendo dorado, plateado, negro y cafe EFECTO ESPEJO adecuados para las estaciones de primavera y verano y la vida cotidiana. unidad</t>
  </si>
  <si>
    <t>Poligel,  fórmula UV de construcción de uñas adecuado para usar con otros productos de arte de uñas, adecuado para uso profesional, colores variados unidad</t>
  </si>
  <si>
    <t>257344</t>
  </si>
  <si>
    <t>152141710</t>
  </si>
  <si>
    <t>Secador profesional para cabello de alta potencia, 3600w, dos velocidades, cable de 3 mt de largo, con aro para colgar, tres temperaturas, con función turbo unidad</t>
  </si>
  <si>
    <t>Lote 14 Química (desplazados)</t>
  </si>
  <si>
    <t>CETRIMONIO CLORURO (GENAMIN), grado comercial, Es un surfactente catiónico que se emplea como agente anti-estático en la formulación de cremas de enjuague, bálsamos, cremas capilares y fijadores de pelo. En combinación con materias primas para el uso pos-tratamiento, mejora notoriamente el peinado en húmedo y en seco, tiene un excelente acción suavizante sobre el cabello, mejorando su brillo.  con fecha de vencimiento superior a un año</t>
  </si>
  <si>
    <t>frasco 500 ml</t>
  </si>
  <si>
    <t>Glicerina, Líquido siruposo, claro, incoloro e inodoro, sabor dulce, higroscópico Soluble en agua y
alcohol (las soluciones acuosas son neutras), insoluble en éter, benceno, cloroformo y ceites fijos y volátiles. Combustible, poco tóxico. Glicerol 99 % mín.Cloruros 10 ppm máx. Ácidos grasos y ésteres 1 máx (ml de 0.5 N NaOH/ 50g) Sulfatos 20 ppm máx. Metales pesados 5 ppm máx. frasco por 1 litros. con fecha de vencimiento superior a un año a la fecha de entrega</t>
  </si>
  <si>
    <t>unidad frasco por 1 litro</t>
  </si>
  <si>
    <t>Alcohol Estearílico, grado comercial, Escamas untuosas, gránulos o masas, blanco o casi blanco.
Prácticamente insoluble en agua, soluble en etanol al 96%, y cuando
esta fundido miscible en ácidos grasos, parafina liquida y lanolina
fundida. Punto de fusión: 56 – 60 ºC (aprox. 59,6 ºC puro). con fecha de vencimiento superior a un año a la fecha de entrega</t>
  </si>
  <si>
    <t>frasco por 500 g</t>
  </si>
  <si>
    <t>Ácido Esteárico, grado comercial, Sólido blanco, sin olor y ceroso; olor y sabor ligeros, que recuerdan al del sebo. con fecha de vencimiento superior a un año a la fecha de entrega</t>
  </si>
  <si>
    <t>paquete por 500 g</t>
  </si>
  <si>
    <t>POTASIO CROMATO P.A X 1000 G, grado analitico, FORMULA:  K2CrO4. - Este producto debe tener Ficha de Dato de Seguridad -FDS, estar etiquetado y rotulado, según el DECRETO NÚMERO 1496 DE 2018, con fecha de vencimiento superior a un año a la fecha de entrega</t>
  </si>
  <si>
    <t>ACEITE DE COCO USP, aceite de palma de coco, mantequilla de coco. Es una grasa semisólida, olor característico, que por exposición al aire se enrancia fácilmente. Es insoluble en agua y muy soluble en alcohol, éter, cloroformo y bisulfito de carbono, con fecha de vencimiento superior a un año a la fecha de entrega</t>
  </si>
  <si>
    <t>frascO 500 ML</t>
  </si>
  <si>
    <t>Nipagin - Metilparabeno  grado comercial, Polvo blanco, ligero olor. Insoluble en agua, escasamente soluble en alcohol, soluble en solventes orgánicos.Pureza (sobre base seca) % 99,00 – 101,00, Identificación de la solución --- Insoluble en agua, Punto de Fusión, °C 125,0-128, Agua % 0,5 máx. con fecha de vencimiento superior a un año a la fecha de entrega</t>
  </si>
  <si>
    <t>paquete 500 g</t>
  </si>
  <si>
    <t>Propilenglicol grado analitico Contenido % &gt;= 99.5, Color APHA 10 Max, Indice de reacción np20 1.433-1.435, Humedad % &lt;=0.2, Acidos libres (CH3OOH) ppm % &lt;=75, Ash ppm &lt;=80, Apariencia Liquido blanco, transparente y pegajoso, Melting Point ºC -59.5 con fecha de vencimiento superior a un año a la fecha de entrega</t>
  </si>
  <si>
    <t xml:space="preserve">frasco 1 litro </t>
  </si>
  <si>
    <t>Vitamina E grado comercial, íquido oleoso, viscoso, límpido, incoloro o ligeramente amarilloverdoso. Prácticamente insoluble en agua, fácilmente soluble en etanol y en aceites grasos. con fecha de vencimiento superior a un año a la fecha de entrega</t>
  </si>
  <si>
    <t>Fragancia de Citronela; es un extracto oleoso concentrado 100% puro. no tienen aceite vegetal y sin adición de alcohol. con apariencia Líquido oleoso, de color amarillo claro transparente,  fresco y muy tenaz. para fabricación de perfumes, cosméticos, jabones, incienso. concentración: soluble en aceite, glicerina y alcohol, insoluble en agua. la composición química del producto cumple con la normativa europea. fecha de vencimiento mayor a un año</t>
  </si>
  <si>
    <t>Fragancia Floral, es un extracto oleoso concentrado 100% puro. no tienen aceite vegetal y sin adición de alcohol. con apariencia Líquido oleoso, de color amarillo claro transparente,  fresco y muy tenaz. para fabricación de perfumes, cosméticos, jabones, incienso. concentración: soluble en aceite, glicerina y alcohol, insoluble en agua. la composición química del producto cumple con la normativa europea. fecha de vencimiento mayor a un año</t>
  </si>
  <si>
    <t>frasco 150 ml</t>
  </si>
  <si>
    <t>Fragancia Limón es un extracto oleoso concentrado 100% puro. no tienen aceite vegetal y sin adición de alcohol. con apariencia Líquido oleoso, de color amarillo claro transparente,  fresco y muy tenaz. para fabricación de perfumes, cosméticos, jabones, incienso. concentración: soluble en aceite, glicerina y alcohol, insoluble en agua. la composición química del producto cumple con la normativa europea. fecha de vencimiento mayor a un año</t>
  </si>
  <si>
    <t>frasco 250 ml</t>
  </si>
  <si>
    <t>Glutaraldehido  grado comercial, líquido, Color incolor - amarillo claro, Olor característico, Punto de fusión/punto de congelación -6 °C, Punto de ebullición o punto inicial de ebullición e intervalo de ebullición
&gt;100 °C a 1.013 hPa, pH (valor) &gt;3 (20 °C) con fecha de vencimiento superior a un año a la fecha de entrega</t>
  </si>
  <si>
    <t>ALCOHOL CETILICO USP,  Escamas o gránulos de color blanco, olor débil, insoluble en agua, parcialmente soluble en alcohol y éter. En formulaciones para productos farmacéuticos Cremas de belleza, emulsionantes, cosméticos, emolientes, perfumería, lociones. Estabilizador de espuma de detergentes. Preparaciones de tocador, lápiz de labios e intermedio químico, con fecha de vencimiento superior a un año</t>
  </si>
  <si>
    <t xml:space="preserve">Fijador de perfumería grado comercial, con fecha de vencimiento superior a un año a la fecha de entrega </t>
  </si>
  <si>
    <t xml:space="preserve">Carbopol. Polvo blanco de olor ligero a acéticoUn polímero de ácido acrílico reticulado tradicional que es un modificador de  reología extremadamente eficaz para geles transparentes de alta viscosidad y brillantes. Tiene una propiedad de flujo corto (no gotea).  Las aplicaciones sugeridas incluyen geles transparentes, geles hidroalcohólicos y cremas. con fecha de vencimiento superior a un año a la fecha de entrega
</t>
  </si>
  <si>
    <t>500 g</t>
  </si>
  <si>
    <t>PVP  grado comercial  con fecha de vencimiento superior a un año a la fecha de entrega</t>
  </si>
  <si>
    <t>paquete 250 g</t>
  </si>
  <si>
    <t>Triclosán, grado comercial polvo cristalino blanco, con punto de fusion entre 55 y 60 ºC, con fecha de vencimiento superior a un año a la fecha de entrega</t>
  </si>
  <si>
    <t xml:space="preserve">Wypall x 70 ideal para limpieza d eliquidos y aceites </t>
  </si>
  <si>
    <t>rollo</t>
  </si>
  <si>
    <t>FRAGANCIA BRISA DE MAR USP.  es un extracto oleoso concentrado 100% puro. no tienen aceite vegetal y sin adición de alcohol. con apariencia Líquido oleoso, de color amarillo claro transparente,  aroma a yodo, amaderado, fresco y muy tenaz. para fabricación de perfumes, cosméticos, jabones, incienso. concentración: soluble en aceite, glicerina y alcohol, insoluble en agua. la composición química del producto cumple con la normativa europea. Contiene en su formulación DPG Di-glicol de propileno (oxybispropanol- C6H14O3). fecha de vencimiento mayor a un año</t>
  </si>
  <si>
    <t>500 ml</t>
  </si>
  <si>
    <t>FRAGANCIA EUCALIPTO USP.  es un extracto oleoso concentrado 100% puro. no tienen aceite vegetal y sin adición de alcohol. con apariencia Líquido oleoso, de color amarillo claro transparente,  aroma a yodo, amaderado, fresco y muy tenaz. para fabricación de perfumes, cosméticos, jabones, incienso. concentración: soluble en aceite, glicerina y alcohol, insoluble en agua. la composición química del producto cumple con la normativa europea. Contiene en su formulación DPG Di-glicol de propileno (oxybispropanol- C6H14O3). fecha de vencimiento mayor a un año</t>
  </si>
  <si>
    <t>FRAGANCIA DE ROSA USP, es un extracto oleoso concentrado 100% puro. no tienen aceite vegetal y sin adición de alcohol. con apariencia Líquido oleoso, de color amarillo claro transparente,  fresco y muy tenaz. para fabricación de perfumes, cosméticos, jabones, incienso. concentración: soluble en aceite, glicerina y alcohol, insoluble en agua. la composición química del producto cumple con la normativa europea. fecha de vencimiento mayor a un año</t>
  </si>
  <si>
    <t>FRAGANCIA BEBE USP.  es un extracto oleoso concentrado 100% puro. no tienen aceite vegetal y sin adición de alcohol. con apariencia Líquido oleoso, de color amarillo claro transparente,  aroma a yodo, amaderado, fresco y muy tenaz. para fabricación de perfumes, cosméticos, jabones, incienso. concentración: soluble en aceite, glicerina y alcohol, insoluble en agua. la composición química del producto cumple con la normativa europea. Contiene en su formulación DPG Di-glicol de propileno (oxybispropanol- C6H14O3). fecha de vencimiento mayor a un año</t>
  </si>
  <si>
    <t>Glicerina grado comercial  Líquido siruposo, claro, incoloro e inodoro, sabor dulce, higroscópico Soluble en agua y alcohol con fecha de vencimiento superior a un año a la fecha de entrega</t>
  </si>
  <si>
    <t>frasco 1900 ml</t>
  </si>
  <si>
    <t>ESPÁTULA DOBLECOMBINADA Con Punta Redonda y Plana Acero Inoxidable - Longitud: 20cm</t>
  </si>
  <si>
    <t xml:space="preserve">Unidad </t>
  </si>
  <si>
    <t>250757</t>
  </si>
  <si>
    <t>Cinta de enmascarar gruesa referencia tesa (rollo de 3/4 (24 mm) de ancho x 20 mts de longitud)</t>
  </si>
  <si>
    <t>Cinta de enmascarar gruesa referencia tesa (Rollo De 1 pulgada de 40 mt de largo</t>
  </si>
  <si>
    <t>111172119</t>
  </si>
  <si>
    <t>247986</t>
  </si>
  <si>
    <t>GUANTES DE NITRILO 4 mm DE ESPESOR, TEXTURA ACABADA, 100 % NITRILO, PUÑO ENROLLABLE, LIBRE DE POLVO, CON AGARRE TEXTURIZADO, PARA USO INDUSTRIAL, CON GRAN RESISTENCIA A PRODUCTOS QUIMICOS TALLA L</t>
  </si>
  <si>
    <t>Paq. x 100 Unds</t>
  </si>
  <si>
    <t>GUANTES DE NITRILO 4 mm DE ESPESOR, TEXTURA ACABADA, 100 % NITRILO, PUÑO ENROLLABLE, LIBRE DE POLVO, CON AGARRE TEXTURIZADO, PARA USO INDUSTRIAL, CON GRAN RESISTENCIA A PRODUCTOS QUIMICOS TALLA M</t>
  </si>
  <si>
    <t>GUANTES DE NITRILO 4 mm DE ESPESOR, TEXTURA ACABADA, 100 % NITRILO, PUÑO ENROLLABLE, LIBRE DE POLVO, CON AGARRE TEXTURIZADO, PARA USO INDUSTRIAL, CON GRAN RESISTENCIA A PRODUCTOS QUIMICOS TALLA S</t>
  </si>
  <si>
    <t>BOLSAS PLASTICAS DE CIERRE DE 20 CM X 50 CM, Fabricada con Polietileno de baja densidad (LDPE) transparente, con cierre hermético: el cordón macho clipsa por presión manual con el cordón hembra. De espesor 0,05 mm</t>
  </si>
  <si>
    <t>PAQUETE X 100</t>
  </si>
  <si>
    <t>BOLSAS PLASTICAS DE CIERRE DE 30 CM X 40 CM, Fabricada con Polietileno de baja densidad (LDPE) transparente, con cierre hermético: el cordón macho clipsa por presión manual con el cordón hembra. De espesor 0,05 mm</t>
  </si>
  <si>
    <t>BOLSAS PLASTICAS DE CIERRE DE 10 cM X15 cM, Fabricada con Polietileno de baja densidad (LDPE) transparente, con cierre hermético: el cordón macho clipsa por presión manual con el cordón hembra. De espesor 0,05 mm</t>
  </si>
  <si>
    <t xml:space="preserve">GORRO AZUL DESECHABLE </t>
  </si>
  <si>
    <t>paquete</t>
  </si>
  <si>
    <t>Lote 15 Textil (desplazados)</t>
  </si>
  <si>
    <t>238436</t>
  </si>
  <si>
    <t>ROLLO DE TELA TEXTIL X 100 MTS DE TEJIDO DE PUNTO  APT (APTA PARA TEÑIR, BLANQUEADA SIN BALNQUEADOR OPTICO)  DE 100% ALGODÓN</t>
  </si>
  <si>
    <t>TELA POLIESTER BLANCA</t>
  </si>
  <si>
    <t>METRO</t>
  </si>
  <si>
    <t>Colorante sulfuroso negro</t>
  </si>
  <si>
    <t>Colorante reactivo amarillo vinilsulfonico</t>
  </si>
  <si>
    <t>Colorante reactivo rojo vinilsulfonico</t>
  </si>
  <si>
    <t>Colorante reactivo azul vinilsulfonico</t>
  </si>
  <si>
    <t xml:space="preserve">Colorante directo azul </t>
  </si>
  <si>
    <t>Colorante directo amarillo</t>
  </si>
  <si>
    <t>Colorante directo rojo</t>
  </si>
  <si>
    <t>Colorante directo naraja</t>
  </si>
  <si>
    <t>Colorante directo pardo</t>
  </si>
  <si>
    <t>Tijeras metalicas grandes (Costura)</t>
  </si>
  <si>
    <t>ENZIMA ALFA MILASA Procesos de Desengome</t>
  </si>
  <si>
    <t>Piedra pomez Acabados textiles</t>
  </si>
  <si>
    <t>Bulto 25kg</t>
  </si>
  <si>
    <t>Papel Lija 150 paquete 50 pliegos</t>
  </si>
  <si>
    <t>Papel Lija 180 paquete 50 pliegos</t>
  </si>
  <si>
    <t>Papel Lija 200 paquete 50 pliegos</t>
  </si>
  <si>
    <t>Enzima CELULASA</t>
  </si>
  <si>
    <t>kilogramo</t>
  </si>
  <si>
    <t>Acido Oxalico</t>
  </si>
  <si>
    <t>DEXTROSA comercial</t>
  </si>
  <si>
    <t>Metabisulfito de sodio</t>
  </si>
  <si>
    <t>Hipoclorito de sodio 15%</t>
  </si>
  <si>
    <t>GALON</t>
  </si>
  <si>
    <t>Sulfuro de sodio</t>
  </si>
  <si>
    <t>Cloruro de sodio</t>
  </si>
  <si>
    <t>Hidróxido de sodio (NaOH) Comercial</t>
  </si>
  <si>
    <t>Peroxido de hidrogeno al 30%</t>
  </si>
  <si>
    <t>Secuestrante</t>
  </si>
  <si>
    <t>Detergente anionico</t>
  </si>
  <si>
    <t>Humectante anionico</t>
  </si>
  <si>
    <t>Permanganato de potasio</t>
  </si>
  <si>
    <t>Lote 16. REACTIVOS Y QUIMICOS (Producción de Centros)</t>
  </si>
  <si>
    <t>ACIDO NITRICO 65 % P.A. , reactivo líquido incoloro con una densidad de 1522 kg / m3 a 25 ° C. Se solidifica a -41.6 ° C para formar cristales blancos y hierve a 86 ° C. Al hervir en luz, incluso a temperatura ambiente, hay una descomposición parcial con la formación de dióxido de nitrógeno, genera vapores altamente corrosivo.  con fecha de vencimiento superior a un año</t>
  </si>
  <si>
    <t>FCO X 2.5 L</t>
  </si>
  <si>
    <t>254150</t>
  </si>
  <si>
    <r>
      <t>ÁCIDO CLORHÍDRICO FUMANTE</t>
    </r>
    <r>
      <rPr>
        <u/>
        <sz val="11"/>
        <rFont val="Arial"/>
        <family val="2"/>
      </rPr>
      <t xml:space="preserve"> [37%] </t>
    </r>
    <r>
      <rPr>
        <sz val="11"/>
        <rFont val="Arial"/>
        <family val="2"/>
      </rPr>
      <t xml:space="preserve"> p.a. EMSURE® ACS,ISO,Reag. Ph Eur  - ENVASE AMBAR  – (presentación de 2,5 litros por botella) / con fecha de vencimineto superior a un año</t>
    </r>
  </si>
  <si>
    <t>hexano,  grado analitico líquido, incoloro, Olor similar a un hidrocarburo, pH 7,0, Punto de fusión: -95,35 °C a 1.013 hPa, Punto inicial de ebullición e intervalo de ebullición 69 °C a 1.013 hPa, Punto de inflamación -22 °C - c.c., Tasa de evaporación 15,8, Límite superior de explosividad: 8,1 %(v), Límites inferior de explosividad: 1,0 %(v), Presión de vapor 100 hPa a 9,8 °C con fecha de vencimiento superior a un año a la fecha de entrega</t>
  </si>
  <si>
    <t>micropipeta de 1 a 10 ml</t>
  </si>
  <si>
    <t>micropipeta de 2 a 20 ul</t>
  </si>
  <si>
    <t xml:space="preserve">unidad </t>
  </si>
  <si>
    <t>block de papel de arroz para limpieza de microscopios</t>
  </si>
  <si>
    <t>estandar de cafeina. Grado analitico para HPLC.  con fecha de vencimiento superior a un año a la fecha de entrega</t>
  </si>
  <si>
    <t>frasco x 1g</t>
  </si>
  <si>
    <r>
      <t xml:space="preserve">Tubos de ensayo con boca ancha roscada y tapa plastica. Capacidad 15 ml. </t>
    </r>
    <r>
      <rPr>
        <sz val="10"/>
        <rFont val="Arial"/>
        <family val="2"/>
      </rPr>
      <t>Dimensiones 10 cm x 1cm. Rosca svl  de 0,9 cm pyrex vidrio borosilicato autoclavables, fabricados de vidrio borosilicato 3.3, muy buena resistencia a productos químicos, baja dilatación térmica, resistentes a los cambios de temperatura, con áreas mates blancas para rotular, roscados con negros tapones de rosca y con arandela de butilo/ptfe, esterilizables hasta 110 °c, pared: aprox. 1,0 - 1,1 mm, sin graduación</t>
    </r>
  </si>
  <si>
    <t>cajas petri desechables caja por 100 paquetes de 10 cajas de tamaño 100 x 15 Mm. Con certificado</t>
  </si>
  <si>
    <t>Amoniaco  o solución de  hidroxido de amonio (NH4OH), masa molecular: 35,05g/mol, pureza al del 28- 30%, para analisis, reactivo para laboratorio., sustancia en solución. Sustancia controlada según RESOLUCIÓN 0001 DE 2015. El producto debe estar rotulado con el nombre del producto, productor, peso, lote de producción, fecha de vencimiento superior a doce 12 meses  y  cumplir con el decreto 1496 de 2018. El Proveedor debe presentar ficha de tecnica y de datos de seguridad del producto en español  para evaluación como requisito habilitante.  Embalaje en frasco ambar</t>
  </si>
  <si>
    <r>
      <t>DI-POTASIO HIDROGENOFOSFATO TRIHIDRATO</t>
    </r>
    <r>
      <rPr>
        <b/>
        <u/>
        <sz val="11"/>
        <rFont val="Arial"/>
        <family val="2"/>
      </rPr>
      <t xml:space="preserve"> </t>
    </r>
    <r>
      <rPr>
        <sz val="11"/>
        <rFont val="Arial"/>
        <family val="2"/>
      </rPr>
      <t>(de fórmula: K2HPO4* 3H2O presentación frasco plástico x 1000 gramos, grado analítico) / con fecha de vencimiento superior a un año a la fecha de entrega</t>
    </r>
  </si>
  <si>
    <t>Alcohol Isopropílico grado analitico FRASCO X 1 Litro. con fecha de vencimiento superior a un año a la fecha de entrega</t>
  </si>
  <si>
    <t>APARATO PARA EXTRACCIÓN Fabricado en vidrio borosilicato 3.3, utilizado para
la extracción de compuestos, generalmente de naturaleza lipídica, contenidos en un sólido a través de un solvente afÍn. SOXHLET  Completo que Incluye - Balon de 250 ml
(NS 29/32) - Extractor de 100 Ml (NS 45/40) - Condensador</t>
  </si>
  <si>
    <t>Caja</t>
  </si>
  <si>
    <t xml:space="preserve">APARATO PARA digestion kjendall Fabricado en vidrio borosilicato 3.3, utilizado para
la digestion, generalmente de naturaleza proteica,   Completo que Incluye - Balon de 250 ml
(NS 29/32) - Extractor de 100 Ml (NS 45/40) - Condensador sistema </t>
  </si>
  <si>
    <t>248032</t>
  </si>
  <si>
    <t>Crisoles de porcelana con tapa 50X42 mm, recipiente de alta calidad fabricado en porcelana según ISO 1772 y DIN 12904 para calentar, fundir, quemar, y calcinar sustancias con tapa del mismo material resistente a temperaturas superiores a 800°C</t>
  </si>
  <si>
    <t>141103161</t>
  </si>
  <si>
    <t>272216</t>
  </si>
  <si>
    <t>Pipetas volumétricas 1 ml clase a</t>
  </si>
  <si>
    <t>272215</t>
  </si>
  <si>
    <t>Pipetas volumétricas 2 ml clase a</t>
  </si>
  <si>
    <t>247085</t>
  </si>
  <si>
    <t>Pipetas volumétricas 5 ml clase a</t>
  </si>
  <si>
    <t>249780</t>
  </si>
  <si>
    <t>Pipetas volumétricas 10 ml clase a</t>
  </si>
  <si>
    <t>242257</t>
  </si>
  <si>
    <t>caja Puntas de micropipetas de 2 a 20 ul</t>
  </si>
  <si>
    <t xml:space="preserve">paquete x1000 unidades </t>
  </si>
  <si>
    <t>caja Puntas de micropipetas de 1 a 10 ml</t>
  </si>
  <si>
    <t>Soluciones buffer ph 4, cajas con sobres de 30 (una caja de cada ph) certificadas y con certificado de productor iso 17034. con fecha de vencimiento superior a un año a la fecha de entrega</t>
  </si>
  <si>
    <t>paquete por 30</t>
  </si>
  <si>
    <t>Soluciones buffer ph 7 cajas con sobres de 30 (una caja de cada ph) certificadas y con certificado de productor iso 17034. con fecha de vencimiento superior a un año a la fecha de entrega</t>
  </si>
  <si>
    <t>Cloruro de sodio reactivo analítico, Sodio cloruro p.a. ACS,ISO,Reag. Ph Eur,  Forma sólido, Color incoloro, Olor inodoro, ph 4,5 - 7,0 a 100 g/l 20 °C, Punto de fusión 801 °C, Punto /intervalo de ebullición 1.461 °C, a 1.013 hpa   , con fecha de vencimiento superior a un año</t>
  </si>
  <si>
    <t>FCO X1000 G</t>
  </si>
  <si>
    <t xml:space="preserve">BALON VOLUMETRICO VIDRIO 100 ML CLASE A CON CERTIFICADO,  en material vidrio borosilicato 3.3,  con graduación azul, tapón en material PE ergonómico y una marca que indica el volumen, boca con calibrado fino. a una temperatura de referencia de + 20°C. La tolerancia de contenido del volumen se ajusta a la clase de precisión A, </t>
  </si>
  <si>
    <t xml:space="preserve">BALON VOLUMETRICO VIDRIO 50 ML CLASE A CON CERTIFICADO, en material vidrio borosilicato 3.3,  con graduación azul, tapón en material PE ergonómico y una marca que indica el volumen, boca con calibrado fino. a una temperatura de referencia de + 20°C. La tolerancia de contenido del volumen se ajusta a la clase de precisión A, </t>
  </si>
  <si>
    <t xml:space="preserve">BALON VOLUMETRICO VIDRIO 500 ML CLASE A CON CERTIFICADO, en material vidrio borosilicato 3.3,  con graduación azul, tapón en material PE ergonómico y una marca que indica el volumen, boca con calibrado fino. a una temperatura de referencia de + 20°C. La tolerancia de contenido del volumen se ajusta a la clase de precisión A, </t>
  </si>
  <si>
    <t>PROBETA DE VIDRIO DE 100 ML, Clase A. Graduación azul con anillo de punto de graduación y base hexagonal. Certificado de conformidad y certificado de lote.DIN 4788. Autoclavable a 121ºC.</t>
  </si>
  <si>
    <t>PROBETA DE VIDRIO DE 50 ML, Clase A. Graduación azul con anillo de punto de graduación y base hexagonal. Certificado de conformidad y certificado de lote.DIN 4788. Autoclavable a 121ºC.</t>
  </si>
  <si>
    <t>AGUA PEPTONADA, medio de enriquecimiento microbiologico, líquido, no selectivo, utilizado principalmente como diluyente de muestras de alimentos u otros materiales. contiene peptona de carne, cloruro de sodio y agua, grado analitico  con fecha de vencimiento mayor a un año</t>
  </si>
  <si>
    <t>FCO X500 G</t>
  </si>
  <si>
    <t>249786</t>
  </si>
  <si>
    <t>MORTERO EN PORCELANA 63 mm Y PISTILO (70 mL), Hecho de porcelana esmaltada; no tiene esmalte en el borde superior ni en el pico por donde se desliza la muestra. No debe haber grietas ni guiñaduras en la superficie de la porcelana, Superficie suave al contacto, pistilo de porcelana esmaltada a excepción del extremo de trabajo; mango del pistilo lo suficientemente largo como para no causar incomodidad en el operador. Autoclavable</t>
  </si>
  <si>
    <t>PISTILO DE PORCELANA PARA MORTERO (70 mL), pistilo de porcelana esmaltada a excepción del extremo de trabajo; mango del pistilo lo suficientemente largo como para no causar incomodidad en el operador. Autoclavable</t>
  </si>
  <si>
    <t>ERLENMEYER CUELLO ANGOSTO 2000ML, FABRICADO EN VIDRIO BOROSILICATO 3.3. CON GRADUACIÓN DE FÁCIL LECTURA Y CAMPO PARA ROTULAR DE GRANDES DIMENSIONES. con fecha de vencimiento superior a un año a la fecha de entrega</t>
  </si>
  <si>
    <t>BURETA LLAVE RECTA EN TEFLÓN  DIN 12700 25ml - DIV. 0.1ml</t>
  </si>
  <si>
    <t xml:space="preserve">MECHERO metalico para conexión a red de gas </t>
  </si>
  <si>
    <t>KIT ESCOBILLONES SURTIDOSPARA LIMPIEZA DE VIDRIERÍA Juego X 16
- 3 escobillones para balón
- 3 escobillones para probetas de 250 ml
- 2 escobillones para tubo de ensayo grande
- 2 escobillones para tubo de ensayo pequeño
- 3 escobillones para bureta de tres secciones
- 3 escobillones para pipetas</t>
  </si>
  <si>
    <t xml:space="preserve">TIRAS INDICADORAS DEL PH, PH 0 - 14 INDICADOR UNIVERSAL MCOLORPHAST. con fecha de vencimiento superior a un año a la fecha de entrega </t>
  </si>
  <si>
    <t>278381</t>
  </si>
  <si>
    <r>
      <rPr>
        <b/>
        <u/>
        <sz val="11"/>
        <rFont val="Calibri"/>
        <family val="2"/>
        <scheme val="minor"/>
      </rPr>
      <t>ÁCIDO FÓRMICO [ 89 al 91 %</t>
    </r>
    <r>
      <rPr>
        <u/>
        <sz val="11"/>
        <rFont val="Calibri"/>
        <family val="2"/>
        <scheme val="minor"/>
      </rPr>
      <t>]</t>
    </r>
    <r>
      <rPr>
        <sz val="11"/>
        <rFont val="Calibri"/>
        <family val="2"/>
        <scheme val="minor"/>
      </rPr>
      <t xml:space="preserve"> (de fórmula: (HCOOH), presentación de1 litro por botella) /  </t>
    </r>
    <r>
      <rPr>
        <b/>
        <sz val="11"/>
        <rFont val="Calibri"/>
        <family val="2"/>
        <scheme val="minor"/>
      </rPr>
      <t>VER NOTAS: 1,2,3</t>
    </r>
  </si>
  <si>
    <t>Botella por  1 litros</t>
  </si>
  <si>
    <r>
      <rPr>
        <b/>
        <u/>
        <sz val="11"/>
        <rFont val="Calibri"/>
        <family val="2"/>
        <scheme val="minor"/>
      </rPr>
      <t>ÁCIDO FÓRMICO [ 85%</t>
    </r>
    <r>
      <rPr>
        <u/>
        <sz val="11"/>
        <rFont val="Calibri"/>
        <family val="2"/>
        <scheme val="minor"/>
      </rPr>
      <t>]</t>
    </r>
    <r>
      <rPr>
        <sz val="11"/>
        <rFont val="Calibri"/>
        <family val="2"/>
        <scheme val="minor"/>
      </rPr>
      <t xml:space="preserve"> (de fórmula: (HCOOH), presentación de 1 litro por botella) /  </t>
    </r>
    <r>
      <rPr>
        <b/>
        <sz val="11"/>
        <rFont val="Calibri"/>
        <family val="2"/>
        <scheme val="minor"/>
      </rPr>
      <t>VER NOTAS: 1,2,3</t>
    </r>
  </si>
  <si>
    <t>240775</t>
  </si>
  <si>
    <r>
      <rPr>
        <b/>
        <u/>
        <sz val="11"/>
        <rFont val="Calibri"/>
        <family val="2"/>
        <scheme val="minor"/>
      </rPr>
      <t>ACIDO LACTICO, USP 85 %</t>
    </r>
    <r>
      <rPr>
        <b/>
        <sz val="11"/>
        <rFont val="Calibri"/>
        <family val="2"/>
        <scheme val="minor"/>
      </rPr>
      <t xml:space="preserve"> </t>
    </r>
    <r>
      <rPr>
        <sz val="11"/>
        <rFont val="Calibri"/>
        <family val="2"/>
        <scheme val="minor"/>
      </rPr>
      <t xml:space="preserve">, Grado comercial  (presentación de 500 Mililitros por botella) </t>
    </r>
    <r>
      <rPr>
        <b/>
        <sz val="11"/>
        <rFont val="Calibri"/>
        <family val="2"/>
        <scheme val="minor"/>
      </rPr>
      <t xml:space="preserve"> / VER NOTAS: 1,2,3</t>
    </r>
  </si>
  <si>
    <t>BOTELLAS</t>
  </si>
  <si>
    <r>
      <rPr>
        <b/>
        <u/>
        <sz val="11"/>
        <rFont val="Calibri"/>
        <family val="2"/>
        <scheme val="minor"/>
      </rPr>
      <t>ACIDO SULFÚRICO  AL [95-97%]</t>
    </r>
    <r>
      <rPr>
        <sz val="11"/>
        <rFont val="Calibri"/>
        <family val="2"/>
        <scheme val="minor"/>
      </rPr>
      <t xml:space="preserve"> P.A (Máximo 0,005 ppm Hg) Calidad, ACS, ISO, Reag, Ph Eur , ENVASE AMBAR con Safebreak (Botella con recubrimiento de seguridad controlada) Grado american chemical society  – (de fórmula: (H₂SO₄), presentación de 2,5 litros por botella)</t>
    </r>
    <r>
      <rPr>
        <b/>
        <sz val="11"/>
        <rFont val="Calibri"/>
        <family val="2"/>
        <scheme val="minor"/>
      </rPr>
      <t xml:space="preserve"> / VER NOTAS: 1,2,3,4</t>
    </r>
  </si>
  <si>
    <t>234837</t>
  </si>
  <si>
    <r>
      <rPr>
        <b/>
        <u/>
        <sz val="11"/>
        <rFont val="Calibri"/>
        <family val="2"/>
        <scheme val="minor"/>
      </rPr>
      <t xml:space="preserve">ALCOHOL ANTISÉPTICO </t>
    </r>
    <r>
      <rPr>
        <sz val="11"/>
        <rFont val="Calibri"/>
        <family val="2"/>
        <scheme val="minor"/>
      </rPr>
      <t>–(presentación de 700 Mililitros por botella con hoja de seguridad). / grado comercial</t>
    </r>
  </si>
  <si>
    <t>242298</t>
  </si>
  <si>
    <r>
      <rPr>
        <b/>
        <u/>
        <sz val="11"/>
        <rFont val="Calibri"/>
        <family val="2"/>
        <scheme val="minor"/>
      </rPr>
      <t xml:space="preserve">BENCINA DE PETRÓLEO P.A. </t>
    </r>
    <r>
      <rPr>
        <sz val="11"/>
        <rFont val="Calibri"/>
        <family val="2"/>
        <scheme val="minor"/>
      </rPr>
      <t xml:space="preserve">(éter de petróleo), intervalo de ebullición 40°C - 60°C, Calidad  ACS ISO, reagent. Reag, Ph Eur , (presentación botella de aluminio de 5 litros). / </t>
    </r>
    <r>
      <rPr>
        <b/>
        <sz val="11"/>
        <rFont val="Calibri"/>
        <family val="2"/>
        <scheme val="minor"/>
      </rPr>
      <t>VER NOTAS: 1,2,3</t>
    </r>
  </si>
  <si>
    <t>251748</t>
  </si>
  <si>
    <r>
      <rPr>
        <b/>
        <u/>
        <sz val="11"/>
        <rFont val="Calibri"/>
        <family val="2"/>
        <scheme val="minor"/>
      </rPr>
      <t>BICARBONATO DE SODIO</t>
    </r>
    <r>
      <rPr>
        <sz val="11"/>
        <rFont val="Calibri"/>
        <family val="2"/>
        <scheme val="minor"/>
      </rPr>
      <t xml:space="preserve"> (presentación Bolsa plástica x 500 gramos, grado comercial ).                    / </t>
    </r>
    <r>
      <rPr>
        <b/>
        <sz val="11"/>
        <rFont val="Calibri"/>
        <family val="2"/>
        <scheme val="minor"/>
      </rPr>
      <t>VER NOTAS: 1,2,3</t>
    </r>
  </si>
  <si>
    <t>BOLSAS POR 500 GRAMOS</t>
  </si>
  <si>
    <r>
      <rPr>
        <b/>
        <u/>
        <sz val="11"/>
        <color theme="1"/>
        <rFont val="Calibri"/>
        <family val="2"/>
        <scheme val="minor"/>
      </rPr>
      <t xml:space="preserve">CLORURO DE MAGNESIO ANHIDRO,  </t>
    </r>
    <r>
      <rPr>
        <sz val="11"/>
        <color theme="1"/>
        <rFont val="Calibri"/>
        <family val="2"/>
        <scheme val="minor"/>
      </rPr>
      <t>(de fórmula:  MgCl</t>
    </r>
    <r>
      <rPr>
        <sz val="14"/>
        <color theme="1"/>
        <rFont val="Calibri"/>
        <family val="2"/>
        <scheme val="minor"/>
      </rPr>
      <t>₂</t>
    </r>
    <r>
      <rPr>
        <sz val="11"/>
        <color theme="1"/>
        <rFont val="Calibri"/>
        <family val="2"/>
        <scheme val="minor"/>
      </rPr>
      <t>. presentación frasco plástico x 500 gramos, grado analítico) / VER NOTAS: 1,2,3</t>
    </r>
  </si>
  <si>
    <r>
      <rPr>
        <b/>
        <u/>
        <sz val="11"/>
        <rFont val="Calibri"/>
        <family val="2"/>
        <scheme val="minor"/>
      </rPr>
      <t xml:space="preserve">CLORURO DE SODIO </t>
    </r>
    <r>
      <rPr>
        <sz val="11"/>
        <rFont val="Calibri"/>
        <family val="2"/>
        <scheme val="minor"/>
      </rPr>
      <t>(de fórmula: NaCl presentación frasco plástico x 1000 gramos, grado analítico) / VER NOTAS: 1,2,3</t>
    </r>
  </si>
  <si>
    <t xml:space="preserve">252082 </t>
  </si>
  <si>
    <r>
      <rPr>
        <b/>
        <u/>
        <sz val="11"/>
        <rFont val="Calibri"/>
        <family val="2"/>
        <scheme val="minor"/>
      </rPr>
      <t>KIT DE FORMALDEHIDO</t>
    </r>
    <r>
      <rPr>
        <b/>
        <sz val="11"/>
        <rFont val="Calibri"/>
        <family val="2"/>
        <scheme val="minor"/>
      </rPr>
      <t xml:space="preserve">  </t>
    </r>
    <r>
      <rPr>
        <sz val="11"/>
        <rFont val="Calibri"/>
        <family val="2"/>
        <scheme val="minor"/>
      </rPr>
      <t>(Formaldehyde test method: colorimetric with test strips and reagent 10-20-40-60-100 mg/l HCHO Mquant R) por 100 test ). /</t>
    </r>
    <r>
      <rPr>
        <b/>
        <sz val="11"/>
        <rFont val="Calibri"/>
        <family val="2"/>
        <scheme val="minor"/>
      </rPr>
      <t xml:space="preserve"> VER NOTAS: 1,2,3</t>
    </r>
    <r>
      <rPr>
        <sz val="11"/>
        <rFont val="Calibri"/>
        <family val="2"/>
        <scheme val="minor"/>
      </rPr>
      <t xml:space="preserve"> - Este kit debe inlcuir el reactivo y las tirillas para evaluar  el contenido de formaldehido. </t>
    </r>
  </si>
  <si>
    <t>251621</t>
  </si>
  <si>
    <r>
      <rPr>
        <b/>
        <u/>
        <sz val="11"/>
        <rFont val="Calibri"/>
        <family val="2"/>
        <scheme val="minor"/>
      </rPr>
      <t>FOSFATO DE POTASIO MONOBÁSICO CRISTAL</t>
    </r>
    <r>
      <rPr>
        <sz val="11"/>
        <rFont val="Calibri"/>
        <family val="2"/>
        <scheme val="minor"/>
      </rPr>
      <t>, (Potasio Fosfato Monobásico  ) CAS 7778-77-0 (de fórmula: KH2PO4 presentación frasco plástico x 1000 gramos).   /</t>
    </r>
    <r>
      <rPr>
        <b/>
        <sz val="11"/>
        <rFont val="Calibri"/>
        <family val="2"/>
        <scheme val="minor"/>
      </rPr>
      <t xml:space="preserve"> VER NOTAS: 1,2,3</t>
    </r>
  </si>
  <si>
    <t xml:space="preserve">249718 </t>
  </si>
  <si>
    <r>
      <rPr>
        <b/>
        <u/>
        <sz val="11"/>
        <rFont val="Calibri"/>
        <family val="2"/>
        <scheme val="minor"/>
      </rPr>
      <t xml:space="preserve">SODIO HIDRÓXIDO </t>
    </r>
    <r>
      <rPr>
        <sz val="11"/>
        <rFont val="Calibri"/>
        <family val="2"/>
        <scheme val="minor"/>
      </rPr>
      <t>(Hidróxido de Sodio / “Soda Caustica”) en lentejas, p.a. (max. 0.02% K) Calidad  ACS,Reag. Ph Eur,ISO (de fórmula: NaOH , presentación frasco plástico x 1 Kilogramo, grado analítico) .</t>
    </r>
    <r>
      <rPr>
        <b/>
        <sz val="11"/>
        <rFont val="Calibri"/>
        <family val="2"/>
        <scheme val="minor"/>
      </rPr>
      <t xml:space="preserve"> / VER NOTAS: 1,2,3</t>
    </r>
  </si>
  <si>
    <t>230576</t>
  </si>
  <si>
    <r>
      <rPr>
        <b/>
        <u/>
        <sz val="11"/>
        <rFont val="Calibri"/>
        <family val="2"/>
        <scheme val="minor"/>
      </rPr>
      <t>HIERRO GRANULAR</t>
    </r>
    <r>
      <rPr>
        <sz val="11"/>
        <rFont val="Calibri"/>
        <family val="2"/>
        <scheme val="minor"/>
      </rPr>
      <t xml:space="preserve">  CAS 7439-89-6 (de fórmula: Fe , presentación frasco plástico x 100 gramos) .</t>
    </r>
    <r>
      <rPr>
        <b/>
        <sz val="11"/>
        <rFont val="Calibri"/>
        <family val="2"/>
        <scheme val="minor"/>
      </rPr>
      <t xml:space="preserve"> / VER NOTAS: 1,2,3</t>
    </r>
  </si>
  <si>
    <t>244049</t>
  </si>
  <si>
    <r>
      <rPr>
        <b/>
        <u/>
        <sz val="11"/>
        <rFont val="Calibri"/>
        <family val="2"/>
        <scheme val="minor"/>
      </rPr>
      <t>HIPOCLORITO DE SODIO Al [5%]</t>
    </r>
    <r>
      <rPr>
        <sz val="11"/>
        <rFont val="Calibri"/>
        <family val="2"/>
        <scheme val="minor"/>
      </rPr>
      <t xml:space="preserve"> –(de fórmula: (NaOCL), presentación de 1 litro). /  grado analitico                            m                                     </t>
    </r>
    <r>
      <rPr>
        <b/>
        <sz val="11"/>
        <rFont val="Calibri"/>
        <family val="2"/>
        <scheme val="minor"/>
      </rPr>
      <t>VER NOTAS: 1,2,3</t>
    </r>
  </si>
  <si>
    <r>
      <rPr>
        <b/>
        <u/>
        <sz val="11"/>
        <rFont val="Calibri"/>
        <family val="2"/>
        <scheme val="minor"/>
      </rPr>
      <t>HIPOCLORITO DE SODIO Al [5%]</t>
    </r>
    <r>
      <rPr>
        <sz val="11"/>
        <rFont val="Calibri"/>
        <family val="2"/>
        <scheme val="minor"/>
      </rPr>
      <t xml:space="preserve"> –(de fórmula: (NaOCL), presentación de 500 mililitros). / grado comercial                              </t>
    </r>
    <r>
      <rPr>
        <b/>
        <sz val="11"/>
        <rFont val="Calibri"/>
        <family val="2"/>
        <scheme val="minor"/>
      </rPr>
      <t>VER NOTAS: 1,2,3</t>
    </r>
  </si>
  <si>
    <r>
      <rPr>
        <b/>
        <u/>
        <sz val="11"/>
        <rFont val="Calibri"/>
        <family val="2"/>
        <scheme val="minor"/>
      </rPr>
      <t>MONOCLORHIDRATO DE L-HISTIDINA</t>
    </r>
    <r>
      <rPr>
        <sz val="11"/>
        <rFont val="Calibri"/>
        <family val="2"/>
        <scheme val="minor"/>
      </rPr>
      <t xml:space="preserve">  CAS 5934-29-2, presentación frasco plástico x 100 gramos) .</t>
    </r>
    <r>
      <rPr>
        <b/>
        <sz val="11"/>
        <rFont val="Calibri"/>
        <family val="2"/>
        <scheme val="minor"/>
      </rPr>
      <t xml:space="preserve"> / VER NOTAS: 1,2,3</t>
    </r>
  </si>
  <si>
    <t>255103</t>
  </si>
  <si>
    <r>
      <rPr>
        <b/>
        <u/>
        <sz val="11"/>
        <rFont val="Calibri"/>
        <family val="2"/>
        <scheme val="minor"/>
      </rPr>
      <t xml:space="preserve">N,N-DIMETILACETAMIDA FORMAMIDA </t>
    </r>
    <r>
      <rPr>
        <sz val="11"/>
        <rFont val="Calibri"/>
        <family val="2"/>
        <scheme val="minor"/>
      </rPr>
      <t xml:space="preserve">ENVASE PLASTICO    CAS 127-19-5– (de fórmula: (C4H9NO) (presentación de 2,5 litros por botella). / </t>
    </r>
    <r>
      <rPr>
        <b/>
        <sz val="11"/>
        <rFont val="Calibri"/>
        <family val="2"/>
        <scheme val="minor"/>
      </rPr>
      <t>VER NOTAS: 1,2,3,4</t>
    </r>
  </si>
  <si>
    <r>
      <rPr>
        <b/>
        <u/>
        <sz val="11"/>
        <rFont val="Calibri"/>
        <family val="2"/>
        <scheme val="minor"/>
      </rPr>
      <t xml:space="preserve">PERBORATO DE SODIO TETRAHIDRATADO CAS 10486-00-7  </t>
    </r>
    <r>
      <rPr>
        <sz val="11"/>
        <rFont val="Calibri"/>
        <family val="2"/>
        <scheme val="minor"/>
      </rPr>
      <t xml:space="preserve">(de fórmula: NaBO3*4H2O, presentación frasco plástico x 1000 gramos /   </t>
    </r>
    <r>
      <rPr>
        <b/>
        <sz val="11"/>
        <rFont val="Calibri"/>
        <family val="2"/>
        <scheme val="minor"/>
      </rPr>
      <t>VER NOTAS: 1,2,3</t>
    </r>
  </si>
  <si>
    <r>
      <rPr>
        <b/>
        <u/>
        <sz val="11"/>
        <rFont val="Calibri"/>
        <family val="2"/>
        <scheme val="minor"/>
      </rPr>
      <t xml:space="preserve">PERCLOROETILENO </t>
    </r>
    <r>
      <rPr>
        <sz val="11"/>
        <rFont val="Calibri"/>
        <family val="2"/>
        <scheme val="minor"/>
      </rPr>
      <t xml:space="preserve">, Grado comercial </t>
    </r>
    <r>
      <rPr>
        <b/>
        <sz val="11"/>
        <rFont val="Calibri"/>
        <family val="2"/>
        <scheme val="minor"/>
      </rPr>
      <t>/ VER NOTAS: 1,2,3</t>
    </r>
    <r>
      <rPr>
        <sz val="11"/>
        <rFont val="Calibri"/>
        <family val="2"/>
        <scheme val="minor"/>
      </rPr>
      <t xml:space="preserve"> presentacion por 2 litros</t>
    </r>
  </si>
  <si>
    <t>241251</t>
  </si>
  <si>
    <r>
      <rPr>
        <b/>
        <u/>
        <sz val="11"/>
        <rFont val="Calibri"/>
        <family val="2"/>
        <scheme val="minor"/>
      </rPr>
      <t>SOLUCIONES BUFFER PH 4,</t>
    </r>
    <r>
      <rPr>
        <u/>
        <sz val="11"/>
        <rFont val="Calibri"/>
        <family val="2"/>
        <scheme val="minor"/>
      </rPr>
      <t xml:space="preserve"> </t>
    </r>
    <r>
      <rPr>
        <sz val="11"/>
        <rFont val="Calibri"/>
        <family val="2"/>
        <scheme val="minor"/>
      </rPr>
      <t xml:space="preserve">(presentación cajas de 30 sobres, Con certificado de análisis, certificado de productor bajo la norma ISO 17034, hoja de seguridad, y fecha de vencimiento no superior a 1 año al momento de entrega). / </t>
    </r>
    <r>
      <rPr>
        <b/>
        <sz val="11"/>
        <rFont val="Calibri"/>
        <family val="2"/>
        <scheme val="minor"/>
      </rPr>
      <t>VER NOTAS: 1,2,3</t>
    </r>
  </si>
  <si>
    <r>
      <rPr>
        <b/>
        <u/>
        <sz val="11"/>
        <rFont val="Calibri"/>
        <family val="2"/>
        <scheme val="minor"/>
      </rPr>
      <t>SOLUCIONES BUFFER PH 7,</t>
    </r>
    <r>
      <rPr>
        <u/>
        <sz val="11"/>
        <rFont val="Calibri"/>
        <family val="2"/>
        <scheme val="minor"/>
      </rPr>
      <t xml:space="preserve"> </t>
    </r>
    <r>
      <rPr>
        <sz val="11"/>
        <rFont val="Calibri"/>
        <family val="2"/>
        <scheme val="minor"/>
      </rPr>
      <t xml:space="preserve">(presentación cajas de 30 sobres, Con certificado de análisis, certificado de productor bajo la norma ISO 17034, hoja de seguridad, y fecha de vencimiento no superior a 1 año al momento de entrega). / </t>
    </r>
    <r>
      <rPr>
        <b/>
        <sz val="11"/>
        <rFont val="Calibri"/>
        <family val="2"/>
        <scheme val="minor"/>
      </rPr>
      <t>VER NOTAS: 1,2,3</t>
    </r>
  </si>
  <si>
    <r>
      <rPr>
        <b/>
        <u/>
        <sz val="11"/>
        <rFont val="Calibri"/>
        <family val="2"/>
        <scheme val="minor"/>
      </rPr>
      <t>SOLUCIONES BUFFER PH 10,</t>
    </r>
    <r>
      <rPr>
        <u/>
        <sz val="11"/>
        <rFont val="Calibri"/>
        <family val="2"/>
        <scheme val="minor"/>
      </rPr>
      <t xml:space="preserve"> </t>
    </r>
    <r>
      <rPr>
        <sz val="11"/>
        <rFont val="Calibri"/>
        <family val="2"/>
        <scheme val="minor"/>
      </rPr>
      <t xml:space="preserve">(presentación cajas de 30 sobres, Con certificado de análisis, certificado de productor bajo la norma ISO 17034, hoja de seguridad, y fecha de vencimiento no superior a 1 año al momento de entrega). / </t>
    </r>
    <r>
      <rPr>
        <b/>
        <sz val="11"/>
        <rFont val="Calibri"/>
        <family val="2"/>
        <scheme val="minor"/>
      </rPr>
      <t>VER NOTAS: 1,2,3</t>
    </r>
  </si>
  <si>
    <r>
      <rPr>
        <b/>
        <u/>
        <sz val="11"/>
        <rFont val="Calibri"/>
        <family val="2"/>
        <scheme val="minor"/>
      </rPr>
      <t>SOLUCIONES BUFFER PH 12,</t>
    </r>
    <r>
      <rPr>
        <u/>
        <sz val="11"/>
        <rFont val="Calibri"/>
        <family val="2"/>
        <scheme val="minor"/>
      </rPr>
      <t xml:space="preserve"> </t>
    </r>
    <r>
      <rPr>
        <sz val="11"/>
        <rFont val="Calibri"/>
        <family val="2"/>
        <scheme val="minor"/>
      </rPr>
      <t xml:space="preserve">(presentación cajas de 30 sobres, Con certificado de análisis, certificado de productor bajo la norma ISO 17034, hoja de seguridad, y fecha de vencimiento no superior a 1 año al momento de entrega). / </t>
    </r>
    <r>
      <rPr>
        <b/>
        <sz val="11"/>
        <rFont val="Calibri"/>
        <family val="2"/>
        <scheme val="minor"/>
      </rPr>
      <t>VER NOTAS: 1,2,3</t>
    </r>
  </si>
  <si>
    <t>250037</t>
  </si>
  <si>
    <r>
      <rPr>
        <b/>
        <u/>
        <sz val="11"/>
        <rFont val="Calibri"/>
        <family val="2"/>
        <scheme val="minor"/>
      </rPr>
      <t xml:space="preserve">SODIO TIOSULFATO </t>
    </r>
    <r>
      <rPr>
        <sz val="11"/>
        <rFont val="Calibri"/>
        <family val="2"/>
        <scheme val="minor"/>
      </rPr>
      <t xml:space="preserve">en solución al 0.1 N (de fórmula: c (Na₂S₂O₃.5 H₂O) = 0.1 mol/l (0.1 N)  calidad Reag. Ph Eur,Reag. USP presentación frasco plástico x 1 Litro). /                                                </t>
    </r>
    <r>
      <rPr>
        <b/>
        <sz val="11"/>
        <rFont val="Calibri"/>
        <family val="2"/>
        <scheme val="minor"/>
      </rPr>
      <t>VER NOTAS: 1,2,3</t>
    </r>
  </si>
  <si>
    <r>
      <rPr>
        <b/>
        <u/>
        <sz val="11"/>
        <rFont val="Calibri"/>
        <family val="2"/>
        <scheme val="minor"/>
      </rPr>
      <t>M-XILENO</t>
    </r>
    <r>
      <rPr>
        <sz val="11"/>
        <rFont val="Calibri"/>
        <family val="2"/>
        <scheme val="minor"/>
      </rPr>
      <t xml:space="preserve"> (m-Xylene for synthesis). CAS 108-38-3, EC, ENVASE AMBAR   – (de fórmula: (C₆H₄(CH₃)₂ ),  presentación de 1 litro por botella). / </t>
    </r>
    <r>
      <rPr>
        <b/>
        <sz val="11"/>
        <rFont val="Calibri"/>
        <family val="2"/>
        <scheme val="minor"/>
      </rPr>
      <t>VER NOTAS: 1,2,3,4</t>
    </r>
  </si>
  <si>
    <r>
      <rPr>
        <b/>
        <u/>
        <sz val="11"/>
        <rFont val="Calibri"/>
        <family val="2"/>
        <scheme val="minor"/>
      </rPr>
      <t>YODURO DE POTASIO</t>
    </r>
    <r>
      <rPr>
        <sz val="11"/>
        <rFont val="Calibri"/>
        <family val="2"/>
        <scheme val="minor"/>
      </rPr>
      <t xml:space="preserve"> CAS 7681-11-0 (de fórmula: Kl, presentación frasco plástico x 1 Kilogramo, grado analítico) .</t>
    </r>
    <r>
      <rPr>
        <b/>
        <sz val="11"/>
        <rFont val="Calibri"/>
        <family val="2"/>
        <scheme val="minor"/>
      </rPr>
      <t xml:space="preserve"> / VER NOTAS: 1,2,3</t>
    </r>
  </si>
  <si>
    <t>252999</t>
  </si>
  <si>
    <r>
      <rPr>
        <b/>
        <u/>
        <sz val="11"/>
        <rFont val="Calibri"/>
        <family val="2"/>
        <scheme val="minor"/>
      </rPr>
      <t>DETERGENTE EN POLVO</t>
    </r>
    <r>
      <rPr>
        <sz val="11"/>
        <rFont val="Calibri"/>
        <family val="2"/>
        <scheme val="minor"/>
      </rPr>
      <t xml:space="preserve">  (de uso doméstico  presentación  bolsa por 3 kilos)</t>
    </r>
  </si>
  <si>
    <t xml:space="preserve"> bolsa por 3,0 Kilos</t>
  </si>
  <si>
    <t>234852</t>
  </si>
  <si>
    <r>
      <rPr>
        <b/>
        <u/>
        <sz val="11"/>
        <rFont val="Calibri"/>
        <family val="2"/>
        <scheme val="minor"/>
      </rPr>
      <t>GUANTE DESECHABLE</t>
    </r>
    <r>
      <rPr>
        <u/>
        <sz val="11"/>
        <rFont val="Calibri"/>
        <family val="2"/>
        <scheme val="minor"/>
      </rPr>
      <t xml:space="preserve"> </t>
    </r>
    <r>
      <rPr>
        <sz val="11"/>
        <rFont val="Calibri"/>
        <family val="2"/>
        <scheme val="minor"/>
      </rPr>
      <t>(de nitrilo azul, libre de látex  talla M, de  calibre resistente a trabajo con ácidos y solventes, flexibles, presentación caja de pares por 100 unidades)</t>
    </r>
  </si>
  <si>
    <t>Lote 17.Serigrafía y Estampación (Producción de Centros)</t>
  </si>
  <si>
    <t>287804</t>
  </si>
  <si>
    <t xml:space="preserve">CAUCHO RECTO POLIURETANO S # 75 AMBAR         </t>
  </si>
  <si>
    <t>m</t>
  </si>
  <si>
    <t>EMULSION ULANO QLT RED  UNIDAD POR 28 OZ</t>
  </si>
  <si>
    <t>28 Oz</t>
  </si>
  <si>
    <t xml:space="preserve">EMULSION ULANO QX-1          UNIDAD POR 28 OZ                 </t>
  </si>
  <si>
    <t xml:space="preserve">ESPATULA DE MEZCLA METALICA    </t>
  </si>
  <si>
    <t>Und.</t>
  </si>
  <si>
    <t xml:space="preserve">KIWO DEGREASER 1/50                           </t>
  </si>
  <si>
    <t>Dosis</t>
  </si>
  <si>
    <t xml:space="preserve">KIWO SCREENBRUSH # 1 (WHITE)                  </t>
  </si>
  <si>
    <t xml:space="preserve">KIWO SCREENBRUSH # 3 (GREEN)                  </t>
  </si>
  <si>
    <t xml:space="preserve">KIWO SCREENBRUSH # 4 (RED)                    </t>
  </si>
  <si>
    <t>233812</t>
  </si>
  <si>
    <t xml:space="preserve">PAPEL PROTEC TABLAS DE PULPO 24*300           </t>
  </si>
  <si>
    <t>2 Rll</t>
  </si>
  <si>
    <t xml:space="preserve">PASTA PREGAN                                  </t>
  </si>
  <si>
    <t>PREGASOL CF 20 CONC 1</t>
  </si>
  <si>
    <t>221 g</t>
  </si>
  <si>
    <t xml:space="preserve">RASQUETA EMULSIONADORA ECO                    </t>
  </si>
  <si>
    <t>cm</t>
  </si>
  <si>
    <t xml:space="preserve">TAPAS LATERALES PARA RASQUETA ECO  </t>
  </si>
  <si>
    <t xml:space="preserve">VARSOL                                        </t>
  </si>
  <si>
    <t>5 Gl</t>
  </si>
  <si>
    <t xml:space="preserve">CARTA DE COLORES PANTONNE                     </t>
  </si>
  <si>
    <t>144113125</t>
  </si>
  <si>
    <t xml:space="preserve">TINTA AQUATEX EXTENDER                        </t>
  </si>
  <si>
    <t>1/4 Gal</t>
  </si>
  <si>
    <t xml:space="preserve">TINTA TEXTIL EUROTEXT ACTIVADOR DESCARGA      </t>
  </si>
  <si>
    <t>50 g</t>
  </si>
  <si>
    <t xml:space="preserve">TINTA TEXTIL EUROTEXT DESCARGA BLANCA         </t>
  </si>
  <si>
    <t>Mug blanco premium AAA</t>
  </si>
  <si>
    <t>caja X 36</t>
  </si>
  <si>
    <t>Mug Peltre tintero 6 oz color surtido</t>
  </si>
  <si>
    <t>Botella con botón 600 ml  plateado y blanco tapa color surtido</t>
  </si>
  <si>
    <t>tinta de sublimación de 120 ml  cian</t>
  </si>
  <si>
    <t>tinta de sublimación de 120 ml  magenta</t>
  </si>
  <si>
    <t>tinta de sublimación de 120 ml  amarillo</t>
  </si>
  <si>
    <t>tinta de sublimación de 120 ml  negro</t>
  </si>
  <si>
    <t>Papel calcio A4 in color mate photo paper</t>
  </si>
  <si>
    <t>Resma</t>
  </si>
  <si>
    <t>vinilo textilamericano 50cm X 50cm naranja</t>
  </si>
  <si>
    <t>vinilo textilamericano 50cm X 50cm blanco</t>
  </si>
  <si>
    <t>vinilo textilamericano 50cm X 50cm negro</t>
  </si>
  <si>
    <t>vinilo textilamericano 50cm X 50cm azul</t>
  </si>
  <si>
    <t>vinilo textilamericano 50cm X 50cm verde limon</t>
  </si>
  <si>
    <t>vinilo textilamericano 50cm X 50cm fucsia</t>
  </si>
  <si>
    <t>vinilo textilamericano 50cm X 50cm plateado</t>
  </si>
  <si>
    <t>vinilo textilamericano 50cm X 50cm dorado</t>
  </si>
  <si>
    <t>gorra para sublimación naranja</t>
  </si>
  <si>
    <t>gorra para sublimación blanca</t>
  </si>
  <si>
    <t>gorra para sublimación negra</t>
  </si>
  <si>
    <t>Camiseta algodón básica hombre cuello redondo blanca talla surtida</t>
  </si>
  <si>
    <t>Camiseta algodón básica hombre cuello redondo negra talla surtida</t>
  </si>
  <si>
    <t>Camiseta algodón básica hombre cuello redondo verde militar talla surtida</t>
  </si>
  <si>
    <t>Camiseta algodón básica hombre cuello redondo vinotinto talla surtida</t>
  </si>
  <si>
    <t>Camiseta algodón básica hombre cuello redondo azul petroleo talla surtida</t>
  </si>
  <si>
    <t>Camiseta algodón básica mujer cuello redondo talla surtida</t>
  </si>
  <si>
    <t xml:space="preserve">cinta térmica delgada </t>
  </si>
  <si>
    <t>Lote 18 Agroindustria (Producción de Centros)</t>
  </si>
  <si>
    <t>Peel Stick para empaques de café. Unidad</t>
  </si>
  <si>
    <t>230744</t>
  </si>
  <si>
    <t>110151509</t>
  </si>
  <si>
    <t>Café pergamino seco de los municipios cafeteros de la subregión norte de Antioquia distribuido de la siguiente manera (San Pablo-Santa Rosa 15 Kg, San Isidro-Santa Rosa 15 Kg, Yarumal 15 Kg, Toledo 15 Kg,  Angostura 15 Kg, Briceño 13 Kg.)</t>
  </si>
  <si>
    <t>31181701</t>
  </si>
  <si>
    <t>Bolsas Metalizadas sin impresión color rojo con válvula descasificadora para café de 125 gramos. Unidad</t>
  </si>
  <si>
    <t>Bolsas Kraf metalizadas 3 capas de color negro c on válvula desgasificadora para café de 125 gramos unidad</t>
  </si>
  <si>
    <t>leche cruda fresca x litro</t>
  </si>
  <si>
    <t>litros</t>
  </si>
  <si>
    <t>235362</t>
  </si>
  <si>
    <t>azúcar refinada en presentación de kilogramos</t>
  </si>
  <si>
    <t>kilogramos</t>
  </si>
  <si>
    <t>Empaque Doy Pack transparente válvula esquinada de 15 mm capacidad hasta 250 ml, llenado por la parte superior. Unidad</t>
  </si>
  <si>
    <t>236567</t>
  </si>
  <si>
    <t>152152039</t>
  </si>
  <si>
    <t>frasco de vidrio pequeño de 35 ml con su respectiva tapa twiss off color dorada, en presentación de caja por 120 unidades.</t>
  </si>
  <si>
    <t>caja por 120 unidades</t>
  </si>
  <si>
    <t>238556</t>
  </si>
  <si>
    <t>511918</t>
  </si>
  <si>
    <t>Bicarbonato de sodio kilogramos</t>
  </si>
  <si>
    <t>pulpa de cereza de café. Kilogramos</t>
  </si>
  <si>
    <t>144111420</t>
  </si>
  <si>
    <t>Etiquetas adhesivas en papel vinilo para la presentación del café, arequipe y dulce de cereza, este elemento se entregará en diseño para que el proveedor se encargue de generar su respectiva impresión. Unidad</t>
  </si>
  <si>
    <t xml:space="preserve"> CERDO CORTE PIERNA LIBRA</t>
  </si>
  <si>
    <t xml:space="preserve"> POLLO CORTE PECHUGA KILO</t>
  </si>
  <si>
    <t xml:space="preserve"> QUESO CAMPESINO LIBRA</t>
  </si>
  <si>
    <t xml:space="preserve"> RES CORTE LOMO FINO LIBRA</t>
  </si>
  <si>
    <t>QUESO  PARMESANO LIBRA</t>
  </si>
  <si>
    <t>QUESO MOZARELLA LIBRA</t>
  </si>
  <si>
    <t>TOCINO DE CERDO CARNUDO LIBRA</t>
  </si>
  <si>
    <t>JAMON DE CERDO LAMINADO LIBRA</t>
  </si>
  <si>
    <t>GAS PROPANO CILINDRO X 40LB</t>
  </si>
  <si>
    <t>GELATINA  SIN SABOR  LIBRA</t>
  </si>
  <si>
    <t xml:space="preserve"> ALMIDON DE YUCA LIBRA</t>
  </si>
  <si>
    <t xml:space="preserve"> AREQUIPE PARA DECORAR LIBRA</t>
  </si>
  <si>
    <t xml:space="preserve"> ARROZ LIBRA</t>
  </si>
  <si>
    <t xml:space="preserve"> AZUCAR  PULVERIZADA LIBRA</t>
  </si>
  <si>
    <t xml:space="preserve"> CHOCOLATE  AMARGO  AL 75'% LIBRA</t>
  </si>
  <si>
    <t xml:space="preserve"> CIRUELAS PASAS LIBRA</t>
  </si>
  <si>
    <t xml:space="preserve"> COBERTURA DE CHOCOLATE  BLANCA KILO</t>
  </si>
  <si>
    <t xml:space="preserve"> COBERTURA DE CHOCOLATE NEGRA KILO</t>
  </si>
  <si>
    <t xml:space="preserve"> COCO DESHIDRATADO LIBRA</t>
  </si>
  <si>
    <t xml:space="preserve"> COCOA  SIN AZÚCAR, INSTANTÁNEA  LIBRA</t>
  </si>
  <si>
    <t xml:space="preserve"> CREMA CHANTILLI KILO</t>
  </si>
  <si>
    <t xml:space="preserve"> DURAZNO GLASSE LIBRA</t>
  </si>
  <si>
    <t xml:space="preserve"> FECULA DE MAIZ LIBRA</t>
  </si>
  <si>
    <t xml:space="preserve"> FRESA GLASSE LIBRA</t>
  </si>
  <si>
    <t xml:space="preserve"> KIWI  GLASSE LIBRA</t>
  </si>
  <si>
    <t xml:space="preserve"> LECHE EN POLVO LIBRA</t>
  </si>
  <si>
    <t xml:space="preserve"> MARGARINA LIBRA</t>
  </si>
  <si>
    <t xml:space="preserve"> MIGA DE PAN LIBRA</t>
  </si>
  <si>
    <t xml:space="preserve"> NUEZ DEL BRASIL KILO</t>
  </si>
  <si>
    <t xml:space="preserve"> POLVO DE HORNEAR LIBRA</t>
  </si>
  <si>
    <t xml:space="preserve"> RODAJAS  PIÑA TARRO X 565 GR</t>
  </si>
  <si>
    <t xml:space="preserve"> SAL LIBRA</t>
  </si>
  <si>
    <t xml:space="preserve"> SEMILLA DE AMAPOLA LIBRA</t>
  </si>
  <si>
    <t>AJONJOLI TRICOLOR KILO</t>
  </si>
  <si>
    <t>AZUCAR LIBRA</t>
  </si>
  <si>
    <t>BICARBONATO DE SODIO LIBRA</t>
  </si>
  <si>
    <t>CAPACILLO TAMAÑO NUMERO 5  PAPEL ENCERADO PAQUETE * 1000</t>
  </si>
  <si>
    <t>CERDO CORTE CAÑON LIBRA</t>
  </si>
  <si>
    <t xml:space="preserve">CREMA DE LECHE PASTEURIZADA UHT CONTENIDO MÍNIMO 35% GRASA LITRO </t>
  </si>
  <si>
    <t>DURAZNOS EN ALMIBAR NATURAL CORTE UNIFORME, FRUTA FIRME, COLOR BRILLANTE EN LATA X 820 GR</t>
  </si>
  <si>
    <t>ESENCIA DE COCO  FRASCO 500 CC</t>
  </si>
  <si>
    <t xml:space="preserve"> FRASCO 500 CC</t>
  </si>
  <si>
    <t>ESENCIA DE MANTEQUILLA  FRASCO 500 CC</t>
  </si>
  <si>
    <t>FRASCO 500 CC</t>
  </si>
  <si>
    <t>ESENCIA DE NARANJA  FRASCO 500 CC</t>
  </si>
  <si>
    <t>ESENCIA DE VAINILLA  FRASCO 500 CC</t>
  </si>
  <si>
    <t>HARINA DE TRIGO PARA PANADERÍA ALTO CONTENIDO DE PROTEÍNA MÍNIMO EL 11 % KILO</t>
  </si>
  <si>
    <t>HUEVOS DE GALLINA AA CUBETA X 30</t>
  </si>
  <si>
    <t>cubeta x 30</t>
  </si>
  <si>
    <t>232013</t>
  </si>
  <si>
    <t xml:space="preserve">LECHE LARGA VIDA LITRO </t>
  </si>
  <si>
    <t>277441</t>
  </si>
  <si>
    <t xml:space="preserve"> MAYONESA PAQUETE POR 500</t>
  </si>
  <si>
    <t>277432</t>
  </si>
  <si>
    <t xml:space="preserve"> PASTA DE TOMATE SOBREX 500</t>
  </si>
  <si>
    <t>SOBREX 500</t>
  </si>
  <si>
    <t>275090</t>
  </si>
  <si>
    <t xml:space="preserve"> ALBAHACA FRESCA LIBRA</t>
  </si>
  <si>
    <t>244129</t>
  </si>
  <si>
    <t xml:space="preserve"> FIDEOS PAQUETE </t>
  </si>
  <si>
    <t>244131</t>
  </si>
  <si>
    <t xml:space="preserve"> FRIJOL KILO</t>
  </si>
  <si>
    <t>244132</t>
  </si>
  <si>
    <t xml:space="preserve"> GARBANZO KILO</t>
  </si>
  <si>
    <t xml:space="preserve"> LENTEJA KILO</t>
  </si>
  <si>
    <t>230710</t>
  </si>
  <si>
    <t>24111502 </t>
  </si>
  <si>
    <t>BOLSA MATERIAL PAPEL  #4 PAQUETE X 1000</t>
  </si>
  <si>
    <t xml:space="preserve"> PAQUETE X 1000</t>
  </si>
  <si>
    <t>BOLSA MATERIAL PAPEL  #8 PAQUETE X 1000</t>
  </si>
  <si>
    <t>BOLSA CIERRE HERMETICO MATERIAL PLASTICO PAQUETE X 1000</t>
  </si>
  <si>
    <t>PAQUETE X 1000</t>
  </si>
  <si>
    <t>236524</t>
  </si>
  <si>
    <t>BOLSA CALIBRE 2.0 MM MATERIAL PLASTICO PAQUETE X 1000</t>
  </si>
  <si>
    <t>BOLSA TAMAÑO 1 KG  MATERIAL PLASTICO PAQUETE X 1000</t>
  </si>
  <si>
    <t>252368</t>
  </si>
  <si>
    <t xml:space="preserve">ROTULO 60x36 mm  ROLLO x 100 metros </t>
  </si>
  <si>
    <t>ROLLO x 100 mts</t>
  </si>
  <si>
    <t>230522</t>
  </si>
  <si>
    <t>150101586</t>
  </si>
  <si>
    <t>50405601</t>
  </si>
  <si>
    <t>PIMENTON KILO</t>
  </si>
  <si>
    <t>230525</t>
  </si>
  <si>
    <t>50406507</t>
  </si>
  <si>
    <t>TOMATE CHONTO KILO</t>
  </si>
  <si>
    <t>230526</t>
  </si>
  <si>
    <t>50403800</t>
  </si>
  <si>
    <t>AJO  KILO</t>
  </si>
  <si>
    <t>230527</t>
  </si>
  <si>
    <t>50404600</t>
  </si>
  <si>
    <t>LECHUGA KILO</t>
  </si>
  <si>
    <t>231656</t>
  </si>
  <si>
    <t>50406307</t>
  </si>
  <si>
    <t>CALABACIN KILO</t>
  </si>
  <si>
    <t>232207</t>
  </si>
  <si>
    <t>50403515</t>
  </si>
  <si>
    <t>ARVEJA EN VAINA KILO</t>
  </si>
  <si>
    <t>232212</t>
  </si>
  <si>
    <t>50404800</t>
  </si>
  <si>
    <t>CHAMPIÑONES KILO</t>
  </si>
  <si>
    <t>232214</t>
  </si>
  <si>
    <t>50404106</t>
  </si>
  <si>
    <t>CILANTRO KILO</t>
  </si>
  <si>
    <t>233624</t>
  </si>
  <si>
    <t>50402201</t>
  </si>
  <si>
    <t>CEBOLLA KILO</t>
  </si>
  <si>
    <t>233627</t>
  </si>
  <si>
    <t>50402202</t>
  </si>
  <si>
    <t>CEBOLLA LARGA KILO</t>
  </si>
  <si>
    <t>232282</t>
  </si>
  <si>
    <t>PAPA CAPIRA KILO</t>
  </si>
  <si>
    <t>232283</t>
  </si>
  <si>
    <t>PAPA CRIOLLA KILO</t>
  </si>
  <si>
    <t>233642</t>
  </si>
  <si>
    <t>LECHUGA CRESPA KILO</t>
  </si>
  <si>
    <t>233661</t>
  </si>
  <si>
    <t>ZANAHORIA KILO</t>
  </si>
  <si>
    <t>234306</t>
  </si>
  <si>
    <t>HABICHUELA KILO</t>
  </si>
  <si>
    <t>238600</t>
  </si>
  <si>
    <t>152152035</t>
  </si>
  <si>
    <t>PLATO DESECHABLE BIODEGRADABLES PANDOS DE 30 CM PAQUETE X 12</t>
  </si>
  <si>
    <t>PAQUETE X 12</t>
  </si>
  <si>
    <t>BOWL PLATO SOPA BIODEGRADABLE 13 CM PAQUETE X 12</t>
  </si>
  <si>
    <t>PLATO DESECHABLE BIODEGRADABLES POSTRE 14 CM PAQUETE X 12</t>
  </si>
  <si>
    <t>235456</t>
  </si>
  <si>
    <t>52151704</t>
  </si>
  <si>
    <t>CUCHARA SOPERA  BIODEGRADABLE PAQUETE X 12</t>
  </si>
  <si>
    <t>CUCHARA DE POSTRE BIODEGRADABLE PAQUETE X 12</t>
  </si>
  <si>
    <t>234787</t>
  </si>
  <si>
    <t>CUCHILLO  BIODEGRADABLE PAQUETE X 12</t>
  </si>
  <si>
    <t>246958</t>
  </si>
  <si>
    <t>152152036</t>
  </si>
  <si>
    <t>TENEDOR  BIODEGRADABLE PAQUETE X 12</t>
  </si>
  <si>
    <t>LECHE LITRO</t>
  </si>
  <si>
    <t>AZUCAR KILO</t>
  </si>
  <si>
    <t>FECULA DE MAIZ KILO</t>
  </si>
  <si>
    <t>BICARBONATO DE SODIO KILO</t>
  </si>
  <si>
    <t>238360</t>
  </si>
  <si>
    <t>JABON INDUSTRIAL GALÓN</t>
  </si>
  <si>
    <t>273646</t>
  </si>
  <si>
    <t>LIMPION MATERIAL TOALLA UNIDAD</t>
  </si>
  <si>
    <t>283460</t>
  </si>
  <si>
    <t>VINAGRE BLANCO GALÓN</t>
  </si>
  <si>
    <t>CEBOLLA CABEZONA KILO</t>
  </si>
  <si>
    <t>PIMENTON ROJO KILO</t>
  </si>
  <si>
    <t>AJI DULCE KILO</t>
  </si>
  <si>
    <t>ZANAHORIAS KILO</t>
  </si>
  <si>
    <t>SAL KILO</t>
  </si>
  <si>
    <t>FRASCO DE VIDRIO CON TAPA METALICA CAPACIDAD 250 CC UNIDAD</t>
  </si>
  <si>
    <t>ENVASE PLASTICO CON TAPA ROSCA PLASTICA CAPACIDAD 200 ML Caja por 48 u</t>
  </si>
  <si>
    <t>Caja por 48 u</t>
  </si>
  <si>
    <t>Guantes de nitrilo caja x 100 unidades, 3 caja de talla M y 7 cajas de talla L. Caja X 100 UN.</t>
  </si>
  <si>
    <t>Lote 19. Peluquería (Producción de Centros)</t>
  </si>
  <si>
    <t>Secador para el cabello de uso profesional, eléctrico de 4 temperaturas y 3 boquillas, tecnología ionica y cerámica, ligero y ergonómico. Unidad</t>
  </si>
  <si>
    <t>Shampoo sin sal, de uso exclusivo profesional. Por 4000 ml. De manzana galón</t>
  </si>
  <si>
    <t>Tratamiento restructurante para cabello maltratado, quebradizo y deshidratado que se activa con calor x litro</t>
  </si>
  <si>
    <t>Tratamiento fluido capilar sin alcohol con una fijacion 3 recipiente con dispensador, frasco x 700ml</t>
  </si>
  <si>
    <t>Tratamiento mono-dosis sin enjuague para reparar y fortalecer el cabello desfibrado, extremadamente dañado y debilitado. Un rico cocktail de los principales Oligoelementos "aporte controlado", Hidrolizados Proteicos y Aceite de Algodón para favorecer la reconstrucción de la materia interna del cabello x ampolleta.</t>
  </si>
  <si>
    <t>Bálsamo enriquecido con cera de frutas, asociada con un agente restructurante: La Provitamina B5, de uso exclusivo de profesionales por Litro, con dispensador</t>
  </si>
  <si>
    <t>Termo protector de cabello tipo hilos de seda Humecta, repara y protege los cabellos dañados, maltratados, resecos (deshidratados) y con signos visibles de debilidad y ruptura. Con proteína hidrolizada de trigo y aminoácidos de seda para antes del cepillado X1000ml</t>
  </si>
  <si>
    <t xml:space="preserve">Tinte capilar permanente, enriquecido con Amino Cystein Intense Repair, Tubo X 100gr uso exclusivo de profesionales en alturas 3 al 12 y con tonalidades variadas según la carta de color. Para cada tubo entregarlo con su respectivo peróxido </t>
  </si>
  <si>
    <t xml:space="preserve">TUBO X 100 GR </t>
  </si>
  <si>
    <t>Peróxido de  10 volumenes  Revelador de color para tintes permanentes capilares. Contiene agente oxidante: Peróxido de Hidrógeno - de uso profesional x litro</t>
  </si>
  <si>
    <t>Peróxido de 20 volumenes Revelador de color para tintes permanentes capilares. Contiene agente oxidante: Peróxido de Hidrógeno - de uso profesional x litro</t>
  </si>
  <si>
    <t>Peróxido de  30 volumenes Revelador de color para tintes permanentes capilares. Contiene agente oxidante: Peróxido de Hidrógeno - de uso profesional x litro</t>
  </si>
  <si>
    <t xml:space="preserve">Kit por tres de uso profesional exfoliante y nutritivo para pies </t>
  </si>
  <si>
    <t>Crema humectante con vitaminas D, A, E y K2 tarro por 250 ml</t>
  </si>
  <si>
    <t>TARRO</t>
  </si>
  <si>
    <t>Kit por tres exfoliante y humectante para manos, de uso profesional contiene sal terapeutica x 500 bomba espumosa x 20 unidades oleo de calendula x 125 g</t>
  </si>
  <si>
    <t xml:space="preserve">Kit x4 de 80ml  SPA Personal Facial Floral </t>
  </si>
  <si>
    <t xml:space="preserve">KIT </t>
  </si>
  <si>
    <t xml:space="preserve">Rollo de toallas desechables,  ultra absorbente para peluquería Tamaño de la toalla 28 x 41,5 cm rollo por 70 </t>
  </si>
  <si>
    <t xml:space="preserve">Kit Aditivo, pro aminoácido de gran tecnología para cambios de color contiene mezcla de Sodium PCA, Arginina y 11 Aminoácidos paso 1. plex blindage que protege la estructura del cabello y fortalece y aumenta la elasticidad y resistencia FRASCO *480ML con tapa medidora. 
2. plex magnifivateur que es una crema fluida para el cabello que completa la acción protectora y fortalecedora del Plex Blindage.frasco * 460ml con tapa dispensadora </t>
  </si>
  <si>
    <t>Tratamiento oleo de argán: producto finalizador con estracto de argan  Acción antioxidante, hidratante y termoprotectora y sellador de puntas frasco *95ml</t>
  </si>
  <si>
    <t>Tratamiento  Fantasía de color frasco x270 ml Coloración directa y semipermanente enriquecida con acondicionadores y algas marinas que protegen y fijan el color. Ideal para elaborar baños de color y efectos especiales. Tonos:  perla, beige , plata, rojo, cobre</t>
  </si>
  <si>
    <t>Gorro térmico para secador Tamaño del capó: aprox. 39 cm x 24 cm (a x A) /15,35 ''x 9,45''
Longitud: aproximadamente 100 cm/39 pulgadas
Material: Material de Nylon
Color: plata
Peso neto: 56g UNIDAD</t>
  </si>
  <si>
    <t>Polvo decolorante blanco, que aclare hasta 7 a 9 tonos, que contenga anti amarillos. De uso exclusivo de profesionales tarro X 500 gr.</t>
  </si>
  <si>
    <t xml:space="preserve">Rollos de papel de aluminio, Papel aluminio 100 metros de largo y 12 cm de ancho, especial para la realización de mechas, tricotadas, velos, o mechones </t>
  </si>
  <si>
    <t>Kit Sistema alisador progresivo a base de derivados de la Keratina, que proporcione un alisado termo activo inteligente. Que no selle la hebra capilar ni barra el color a base de formaldehido. Presentación kit que contenga champú Anti-iones 250 ml, crema alisadora de keratina 250 ml y tratamiento sellante de uva 250 ml. Todos los componentes del kit deben ser de la misma casa comercial.</t>
  </si>
  <si>
    <t>Lote 20. Marroquinería  (Producción de Centros)</t>
  </si>
  <si>
    <t>Pegante amarillo Galón x 5 litros</t>
  </si>
  <si>
    <t>Galón</t>
  </si>
  <si>
    <t>131162016</t>
  </si>
  <si>
    <t>246564</t>
  </si>
  <si>
    <t>Remaches  de 1/8 x millar</t>
  </si>
  <si>
    <t>Millar</t>
  </si>
  <si>
    <t>250684</t>
  </si>
  <si>
    <t>Broches de imán pequeños caja x 100</t>
  </si>
  <si>
    <t>244663</t>
  </si>
  <si>
    <t xml:space="preserve">Agujas punta roma  metálicas  de ojo grande No 16 paquete x 50 </t>
  </si>
  <si>
    <t>Paquete</t>
  </si>
  <si>
    <t>249289</t>
  </si>
  <si>
    <t xml:space="preserve">Cuero entero, delgado para artículos de marroquinería color rojo, negro, café, azul oscuro y blanco x DM2. </t>
  </si>
  <si>
    <t>DM2</t>
  </si>
  <si>
    <t>256601</t>
  </si>
  <si>
    <t>Manijas para bolsos plásticas de color beige par</t>
  </si>
  <si>
    <t>PARES</t>
  </si>
  <si>
    <t>Agujas de tejer , No 3 unidad</t>
  </si>
  <si>
    <t>253448</t>
  </si>
  <si>
    <t>Hilo terlenka No 9, color rojo, negro, café , azul oscuro y Blanco rollo</t>
  </si>
  <si>
    <t>Hilo terlenka No 15, color rojo, negro, café , azul oscuro y
Blanco. Rollo</t>
  </si>
  <si>
    <t>Lote 21. Agricultura Urbana  (Producción de Centros)</t>
  </si>
  <si>
    <t>LOMBRIZ CALIFORNIANA X KILO</t>
  </si>
  <si>
    <t>SEMILLA LECHUGA BATAVIA SOBRE X 5 GR</t>
  </si>
  <si>
    <t>SEMILLA DE LECHUGA ANTONY RZ LOLLO ROSA SOBRE X 25 GR</t>
  </si>
  <si>
    <t>SEMILLA CILANTRO PRESENTACIÓN LIBRA</t>
  </si>
  <si>
    <t>SEMILLA ALBAHACA LIMON SOBRE X 2 GR</t>
  </si>
  <si>
    <t>SEMILLA DE HIERBABUENA SOBRE X 0.1 GR</t>
  </si>
  <si>
    <t>SEMILLA DE ROMERO COMÚN SOBRE X 0.05 GR</t>
  </si>
  <si>
    <t>SEMILLA DE OREGANO SOBRE X 0.5 GR</t>
  </si>
  <si>
    <t>SEMILLA DE CIDRON SOBRE X 2 GR</t>
  </si>
  <si>
    <t>ENMIENDA CAL DOLOMITA BULTO X 20 KILOS</t>
  </si>
  <si>
    <t>FERTILIZANTE NUTRIENTE FOLIAR NPK- Polvo soluble x kilo</t>
  </si>
  <si>
    <t>MELAZA BULTO X 20 KG</t>
  </si>
  <si>
    <t>Fertilizante líquido para
aplicación foliar                                                                                                                Nitrógeno Total(N). ................ 200(g/L)
Nitrógeno Ureico (N). ..............200(g/L)
Magnesio (MgO)...................2.5(g/L)
Azufre Total(S). ...................... 5.0(g/L)
Manganeso (Mn). .................. 0.55(g/L)
Cobre (Cu).........................0.25(g/L)
Hierro (Fe)............................ 1.00(g/L)
Boro (B)...............................0.30(g/L)
Molibdeno (Mo).................... 0.03(g/L)
Zinc (Zn)................................ 1.60(g/L)
Fitohormona................... 0.50
pHen solución al 10%. ............ 5.0                                                                                           Presentación Litro</t>
  </si>
  <si>
    <t>INSECTICIDA BENOMIL PRESENTACIÓN KILO</t>
  </si>
  <si>
    <t>BIOINSUMO HIDROLATO DE MANZANILLA X KILO</t>
  </si>
  <si>
    <t>BIOINSUMOHIDROLATO DE CALENDULA X KILO</t>
  </si>
  <si>
    <t>BIOINSUMO LECANICILLIUM LECANII X LIBRA</t>
  </si>
  <si>
    <t>BIOINSUMO HIDROLATO DE AJO X KILO</t>
  </si>
  <si>
    <t>FIBRA DE POLIPROPILENO X ROLLO DE 100 MT</t>
  </si>
  <si>
    <t>GUANTES LATEX TALLA L CAJA X 100 UNIDADES</t>
  </si>
  <si>
    <t>INSUMO YODO AGRICOLA X LITRO</t>
  </si>
  <si>
    <t>TURBA PACA BULTO X 40 KG</t>
  </si>
  <si>
    <t>Papel parafinado rollo de 200 Metros x 30 cm COLOR BLANCO</t>
  </si>
  <si>
    <t>ROLLOS</t>
  </si>
  <si>
    <t>Bolsas de té vacias forma rectangular 7 cm de alto x 5.5 cm de ancho, color blanco, paquete x 300 unidades</t>
  </si>
  <si>
    <t>Bolsa de papel forma rectangurar 20 cm de alto x 9 cm de ancho, color café  paquete x 100 unidades</t>
  </si>
  <si>
    <t>Sticker- Adhesivo  con logo del sena en su color institucional fondo blanco, forma redonda, tamaño 20 milimetros de diametro unidad</t>
  </si>
  <si>
    <t>Manguera CON  DIAMETRO 1/2" PULGADA UNIDAD DE MEDIDA ROLLO MATERIAL CAUCHO X 50 METROS</t>
  </si>
  <si>
    <t>FERTILIZANTE FOLIAR NPK 10-30-10 X LITRO</t>
  </si>
  <si>
    <t xml:space="preserve">FERTILIZANTE FOLIAR E INORGÁNICO PARA APLICACIÓN AL SUELO MEDIANTE SISTEMAS DE FERTIRRIGACIÓN, LIQUIDO CONCENTRADO SOLUBLE (SL),  COMPOSICIÓN:Nitrógeno total (N) 36 g/L
Nitrógeno ureico (N) 36 g/L, Magnesio soluble en agua (MgO) 66 g/L
, Azufre soluble en agua 40.0 g/L (presentación tarro de 1 litro color verde, tapa azul) x litro
</t>
  </si>
  <si>
    <t>Fungicida mineral de acción preventiva y curativa ideal para incluirse dentro de un programa de rotación o en mezcla con productos sistémicos. INGREDIENTE ACTIVO: Polisulfurode Calcio 200g/litro
APARIENCIA: Líquido viscoso color mostaza
pH : 12.0±0.5
DENSIDAD: 1.13 gr/ml
OLOR: Característico
BIODEGRADABILIDAD: 100 %                                                                                             PRESENTACIÓN: LITRO</t>
  </si>
  <si>
    <t>HERBICIDA AGRICOLA GLIFOSATO PRESENTACIÓN SOBRE 5O GRAMOS</t>
  </si>
  <si>
    <t>DIFENOCONAZOLE 25% p/v. EC » Triazol, Monositio (MoA FRAC code 3).
Fungicida sistémico local, de contacto con actividad preventiva, curativa y erradicante.  PRESENTACIÓN LITRO</t>
  </si>
  <si>
    <t>Enmienda Húmica Liquida Carbono Extracto Húmico Total(C.E.H.T)
223.8 g/L,  Carbono de Ácidos Húmicos (CAH) 151 g/L,  Carbono de Ácidos Fulvicos (CAF) 72.8 g/L, pH en solución al 10% 4.36, Densidad a 20 ⁰C 1.22 g/ml
Presentación litro</t>
  </si>
  <si>
    <t>SEMILLA LECHUGA CRESPA SOBRE * 100 g</t>
  </si>
  <si>
    <t>SEMILLA LECHUGA BATAVIA SOBRE * 5 g</t>
  </si>
  <si>
    <t>SEMILLA TOMATE CHERRY SOBRE * 25 g</t>
  </si>
  <si>
    <t>SEMILLA DE HIERBABUENA SOBRE * 1 g</t>
  </si>
  <si>
    <t>SEMILLA DE ROMERO COMÚN SOBRE * 1 g</t>
  </si>
  <si>
    <t>SEMILLA DE OREGANO SOBRE * 1 g</t>
  </si>
  <si>
    <t>SEMILLA DE CIDRON SOBRE * 2 GR</t>
  </si>
  <si>
    <t>SEMILLA ZANAHORIA * 20 g</t>
  </si>
  <si>
    <t>CLASE SEMILLA CILANTRO * 20 g</t>
  </si>
  <si>
    <t>CLASE SEMILLA AJI PIMENTON * 20 g</t>
  </si>
  <si>
    <t>CLASE SEMILLA CEBOLLA BULBO * 20 g</t>
  </si>
  <si>
    <t>CLASE SEMILLA TOMILLO * 5 g</t>
  </si>
  <si>
    <t>CLASE SEMILLA AROMATICAS * 1 g</t>
  </si>
  <si>
    <t>CLASE SEMILLA FRIJOL VAR.CALIMA * 1 kg</t>
  </si>
  <si>
    <t>CLASE SEMILLA COLIFLOR * 20 g</t>
  </si>
  <si>
    <t>CLASE SEMILLA REPOLLO * 50 g</t>
  </si>
  <si>
    <t>SEMILLA DE CALENDULA * 100 g</t>
  </si>
  <si>
    <t>SEMILLA DE LAVANDA * 100 semillas</t>
  </si>
  <si>
    <t>SEMILLA DE MANZANILLA * 1 g</t>
  </si>
  <si>
    <t>SEMILLA CEBOLLA PUERRO SOBRE * 25 g</t>
  </si>
  <si>
    <t>SEMILLA CEBOLLINO HOJA FINA * 1 g</t>
  </si>
  <si>
    <t>SEMILLA PEREJIL CRESPO * 25 g</t>
  </si>
  <si>
    <t>SEMILLA PEREJIL LISO * 10 g</t>
  </si>
  <si>
    <t>BIOINSUMO HUMUS BULTO * 50KG, FERTILIZANTE DE ORIGEN ORGANICO, CON REGISTRO ICA</t>
  </si>
  <si>
    <t>P7</t>
  </si>
  <si>
    <t>FERTILIZANTE FOLIAR E INORGÁNICO PARA APLICACIÓN AL SUELO MEDIANTE SISTEMAS DE FERTIRRIGACIÓN, LIQUIDO CONCENTRADO SOLUBLE (SL), COMPOSICIÓN:Nitrógeno total (N) 36 g/L
 Nitrógeno ureico (N) 36 g/L, Magnesio soluble en agua (MgO) 66 g/L
 , Azufre soluble en agua 40.0 g/L (presentación tarro de 1 litro color verde, tapa azul) * 1 litro</t>
  </si>
  <si>
    <t>Fungicida mineral de acción preventiva y curativa ideal para incluirse dentro de un programa de rotación o en mezcla con productos sistémicos. INGREDIENTE ACTIVO: Polisulfurode Calcio 200g/litro
 APARIENCIA: Líquido viscoso color mostaza
 pH : 12.0±0.5
 DENSIDAD: 1.13 gr/ml
 OLOR: Característico
 BIODEGRADABILIDAD: 100 % PRESENTACIÓN: LITRO</t>
  </si>
  <si>
    <t>FUNGICIDA: 4 grs metalaxil-M+ 64 grs mancozeb * 500 g</t>
  </si>
  <si>
    <t>ABONOS QUIMICOS Y NUTRIENTES PARA PLANTAS - SULMAG * 50 kg</t>
  </si>
  <si>
    <t>ABONOS QUIMICOS Y NUTRIENTES PARA PLANTAS - FOSFATO MONOPOTASICO * 25 kg</t>
  </si>
  <si>
    <t>ABONOS QUIMICOS Y NUTRIENTES PARA PLANTAS - SULFATO DE POTASIO *40 Kg</t>
  </si>
  <si>
    <t>ABONOS QUIMICOS Y NUTRIENTES PARA PLANTAS - NITRAX * 25 kg</t>
  </si>
  <si>
    <t>PALA REDONDA CARACTERISTICA REDONDA CON CABO MATERIAL METALICO NUMERO 4 PEQUEÑA</t>
  </si>
  <si>
    <t>RASTRILLO CARACTERISTICA DE 14 DIENTES MATERIAL PLASTICO PEQUEÑO</t>
  </si>
  <si>
    <t>BALDE CON TAPA DE 12 LITROS</t>
  </si>
  <si>
    <t>REGADERA PLASTICA</t>
  </si>
  <si>
    <t>JUEGO DE 3 PIEZAS JARDIN, CON ACERO REFORZADO CON MANGO MADERA, (KIT DE JARDINERÍA)</t>
  </si>
  <si>
    <t>Jardinera con soporte plástico 10 cm ancho x 10 cm largo x 6 cm alto, Características: Maceteros, con diseño liso, suave y resistente, soporte de alta fuerza, con una resistencia de hasta 1 kilo de peso, alta calidad, Material:Metal - plástico</t>
  </si>
  <si>
    <t>MESA PARA SEMILLEROS DIMENSIONES 2 X 3 METROS</t>
  </si>
  <si>
    <t>Lote 22 .Materiales de Referencia  (Producción de Centros)</t>
  </si>
  <si>
    <r>
      <rPr>
        <b/>
        <u/>
        <sz val="11"/>
        <rFont val="Calibri"/>
        <family val="2"/>
        <scheme val="minor"/>
      </rPr>
      <t>TELA TESTIGO DE ALGODÓN PARA ENSAYO DE SOLIDEZ AL FROTE</t>
    </r>
    <r>
      <rPr>
        <sz val="11"/>
        <rFont val="Calibri"/>
        <family val="2"/>
        <scheme val="minor"/>
      </rPr>
      <t xml:space="preserve"> ( Cuadros  precortados de 50 mm-  Tejido 100 % de fibra de algodón  peinado de 10,3 mm – 16,8 mm, de hilados de 15 tex (40/1 Ne ), con torsión Z  de 5,9 vueltas por cm. Densidad de 32 ± 5 hilos de urdimbre por cm  y  33 ± 5 hilos de trama por cm. Con acabado desengomado blanqueada sin abrillantador óptico o material de acabado presente. Con una masa de 100 g/m2 ± 3 g/m2. que cumpla las especificaciones de la norma NTC 786 de 2017-03-22 # 14.5</t>
    </r>
  </si>
  <si>
    <t>CAJA                        POR  100 UNIDAES</t>
  </si>
  <si>
    <r>
      <rPr>
        <b/>
        <u/>
        <sz val="11"/>
        <rFont val="Calibri"/>
        <family val="2"/>
        <scheme val="minor"/>
      </rPr>
      <t>PAPEL SECANTE BLANCO,</t>
    </r>
    <r>
      <rPr>
        <sz val="11"/>
        <rFont val="Calibri"/>
        <family val="2"/>
        <scheme val="minor"/>
      </rPr>
      <t xml:space="preserve">  para textiles que cumpla con lo establecido en la AATCC 42. ( presentación de 6 pul X 9 Pulg, Paquete de 250 hojas)</t>
    </r>
  </si>
  <si>
    <t xml:space="preserve"> PAQUETE POR 250 HOJAS</t>
  </si>
  <si>
    <r>
      <rPr>
        <b/>
        <u/>
        <sz val="11"/>
        <rFont val="Calibri"/>
        <family val="2"/>
        <scheme val="minor"/>
      </rPr>
      <t xml:space="preserve">TELA TESTIGO MULTIFIBRA ISO 105 F10, M&amp;S 10A/DW </t>
    </r>
    <r>
      <rPr>
        <sz val="11"/>
        <rFont val="Calibri"/>
        <family val="2"/>
        <scheme val="minor"/>
      </rPr>
      <t xml:space="preserve">Rollo de 10 metros x 10 cm de ancho, con bandas  de 15 mm de ancho que contiene: acetato filamento, algodón blanquado, nilon de fibra cortada 6.6, poliéster de fibra cortada, acrílico de fibra cortada (Dralon), lana estambre.y que cumpla con lo indicado en la NTC 1155-3 , y AATCC 61.    </t>
    </r>
  </si>
  <si>
    <t>ROLLO POR 10 METROS</t>
  </si>
  <si>
    <r>
      <t xml:space="preserve">PATRONES FOTOGRÁFICOS DE EVALUACIÓN  </t>
    </r>
    <r>
      <rPr>
        <sz val="11"/>
        <rFont val="Calibri"/>
        <family val="2"/>
        <scheme val="minor"/>
      </rPr>
      <t>Patrones fotograficos para evaluacion de enganche en los tejidos que cumpla con lo indicado en las ASTM 3939</t>
    </r>
    <r>
      <rPr>
        <b/>
        <u/>
        <sz val="11"/>
        <rFont val="Calibri"/>
        <family val="2"/>
        <scheme val="minor"/>
      </rPr>
      <t xml:space="preserve">.  </t>
    </r>
    <r>
      <rPr>
        <sz val="11"/>
        <rFont val="Calibri"/>
        <family val="2"/>
        <scheme val="minor"/>
      </rPr>
      <t>Presentacion de paquete de fotografias  estandares de evaluacion de 1 a 5.</t>
    </r>
  </si>
  <si>
    <t>Paquete de estandar fotografico</t>
  </si>
  <si>
    <r>
      <rPr>
        <b/>
        <u/>
        <sz val="11"/>
        <rFont val="Calibri"/>
        <family val="2"/>
        <scheme val="minor"/>
      </rPr>
      <t xml:space="preserve">Tijeras de corte Textil. </t>
    </r>
    <r>
      <rPr>
        <sz val="11"/>
        <rFont val="Calibri"/>
        <family val="2"/>
        <scheme val="minor"/>
      </rPr>
      <t xml:space="preserve">Tijeras ergonómicas softouch tipo "Fiskars" profesional color negro con gris, de 26 cm de longitud total,   con mangos antideslizantes 10 cm de  Longitud en color negro , Diseño de acción de resorte suave abre las hojas después de cada corte para reducir la tensión de la mano., para hacer el corte más fácil y cómodo en textiles.apertura asistida de la hojas reduciendo el esfuerzo de la mano. Los mangos de materia suave antideslizantes absorben la presión, mejoran la comodidad y minimizan la tensión en los dedos. El botón de bloqueo permite guardar las tijeras en toda seguridad. El tornillo pivotante permite ajustar la tensión de las hojas al material que cortar. Para diestros y zurdos. </t>
    </r>
  </si>
  <si>
    <r>
      <rPr>
        <b/>
        <u/>
        <sz val="11"/>
        <rFont val="Calibri"/>
        <family val="2"/>
        <scheme val="minor"/>
      </rPr>
      <t>Tamiz Certificados</t>
    </r>
    <r>
      <rPr>
        <sz val="11"/>
        <rFont val="Calibri"/>
        <family val="2"/>
        <scheme val="minor"/>
      </rPr>
      <t>. # 180 ( malla 80),  de diámetro de 12,5 cm x altura de 6,5 cm aproximadamente en material para trabajar ácidos y solventes.  de presentación por unidad.</t>
    </r>
  </si>
  <si>
    <r>
      <rPr>
        <b/>
        <u/>
        <sz val="11"/>
        <rFont val="Calibri"/>
        <family val="2"/>
        <scheme val="minor"/>
      </rPr>
      <t xml:space="preserve">Tamiz Certificados. </t>
    </r>
    <r>
      <rPr>
        <sz val="11"/>
        <rFont val="Calibri"/>
        <family val="2"/>
        <scheme val="minor"/>
      </rPr>
      <t># 550-600 ( malla 30),  de diámetro de 12,5 cm x altura de 6,5 cm aproximadamente en material para trabajar ácidos y solventes.  de presentación por unidad.</t>
    </r>
  </si>
  <si>
    <t>Lote 23. Electricidad FIC</t>
  </si>
  <si>
    <t>126121538</t>
  </si>
  <si>
    <t>231484</t>
  </si>
  <si>
    <t>26121501</t>
  </si>
  <si>
    <t>Cable Solar 4mm rojo/negro</t>
  </si>
  <si>
    <t>Cable Solar 6mm rojo/negro</t>
  </si>
  <si>
    <t>130211834</t>
  </si>
  <si>
    <t>254436</t>
  </si>
  <si>
    <t>31163101</t>
  </si>
  <si>
    <t>Conectores MC4 Dobles en Y</t>
  </si>
  <si>
    <t>130212117</t>
  </si>
  <si>
    <t>250990</t>
  </si>
  <si>
    <t xml:space="preserve">39121634 </t>
  </si>
  <si>
    <t>DPS 2P 500VDC 20-40KA</t>
  </si>
  <si>
    <t>231431</t>
  </si>
  <si>
    <t>39121111</t>
  </si>
  <si>
    <t>Caja Fusible tipo Riel con Fusible 15A 1000V DC</t>
  </si>
  <si>
    <t>Conector MC4 1000V X1 Par</t>
  </si>
  <si>
    <t>131201620</t>
  </si>
  <si>
    <t>243585</t>
  </si>
  <si>
    <t>CINTA AISLANTE</t>
  </si>
  <si>
    <t>231475</t>
  </si>
  <si>
    <t>TERMINAL LISA CON ROSCA 3/4" EMT</t>
  </si>
  <si>
    <t>231476</t>
  </si>
  <si>
    <t>ACOPLE LISO 3/4" EMT</t>
  </si>
  <si>
    <t>231470</t>
  </si>
  <si>
    <t>CURVA 3/4" EMT</t>
  </si>
  <si>
    <t>231471</t>
  </si>
  <si>
    <t>TUBO CONDUIT 3/4" EMT</t>
  </si>
  <si>
    <t>130211836</t>
  </si>
  <si>
    <t>240998</t>
  </si>
  <si>
    <t>TOMACORRIENTE DOBLE INTELIGENTE WI FI APP</t>
  </si>
  <si>
    <t>130211946</t>
  </si>
  <si>
    <t>253715</t>
  </si>
  <si>
    <t>CLAVIJA MONOFASICA CON POLO A TIERRA 15A</t>
  </si>
  <si>
    <t>276304</t>
  </si>
  <si>
    <t>INTERRUPTOR SENCILLO INCRUSTAR INTELIGENTE WIFI APP</t>
  </si>
  <si>
    <t>130211944</t>
  </si>
  <si>
    <t>252726</t>
  </si>
  <si>
    <t>INTERRUPTOR AUTOMATICO 1X20A ENCHUFABLE</t>
  </si>
  <si>
    <t>236999</t>
  </si>
  <si>
    <t>ALAMBRE DE COBRE THHN/THWN #12 AWG COLOR ROJO</t>
  </si>
  <si>
    <t>ALAMBRE DE COBRE THHN/THWN #12 AWG COLOR NEGRO</t>
  </si>
  <si>
    <t>ALAMBRE DE COBRE THHN/THWN #12 AWG COLOR BLANCO</t>
  </si>
  <si>
    <t>ALAMBRE DE COBRE THHN/THWN #12 AWG COLOR VERDE</t>
  </si>
  <si>
    <t>CABLE DE COBRE THHN/THWN #12 AWG COLOR ROJO</t>
  </si>
  <si>
    <t>CABLE DE COBRE THHN/THWN #12 AWG COLOR NEGRO</t>
  </si>
  <si>
    <t>139101652</t>
  </si>
  <si>
    <t>275099</t>
  </si>
  <si>
    <t>LAMPARA LUMINARIA LED DE ALUMBRADO PUBLICO SOLAR 300W COMPLETA. (incluye control remoto panel solar brazo para luminaria luminaria garantía 2 años)</t>
  </si>
  <si>
    <t>CABLE DE COBRE THHN/THWN #12 AWG COLOR BLANCO</t>
  </si>
  <si>
    <t>CABLE DE COBRE THHN/THWN #12 AWG COLOR VERDE</t>
  </si>
  <si>
    <t>INTERRUPTOR INTELIGENTE WIFI APP DOMOTICO, TIPO PARLANTE (ALTAVOZ AMAZON CON TECNOLOGIA ALEXA DE 4TA GENERACION)</t>
  </si>
  <si>
    <t>FUSIBLE CERAMICO SOLAR 16A</t>
  </si>
  <si>
    <t>253721</t>
  </si>
  <si>
    <t xml:space="preserve">PORTA FUSIBLE TIPO SOLAR </t>
  </si>
  <si>
    <t>235268</t>
  </si>
  <si>
    <t>130111607</t>
  </si>
  <si>
    <t>Cemento gris 50 kg</t>
  </si>
  <si>
    <t xml:space="preserve">BULTO </t>
  </si>
  <si>
    <t>Bloque de concreto de 15x40x20</t>
  </si>
  <si>
    <t>111111703</t>
  </si>
  <si>
    <t>Arena de concreto viaje x 8 m3</t>
  </si>
  <si>
    <t>Varilla cuadrada de 1/2" legitima</t>
  </si>
  <si>
    <t>Concertina Comprimida Seguridad Acero Inoxidable - Rollo 6.6 ml</t>
  </si>
  <si>
    <t>Lagrimal muro 15  de 50x25</t>
  </si>
  <si>
    <t>Tubo Cerramiento Galvanizado 2pg x 2.50mm x 6m</t>
  </si>
  <si>
    <t>Placa Fibrocemento 10mm 244x122cm 44.35kg aprox.</t>
  </si>
  <si>
    <t>Sets de instrumentos quirúrgicos para uso veterinario</t>
  </si>
  <si>
    <t>Máquina para inseminación artificial</t>
  </si>
  <si>
    <t>Equipo para apicultura</t>
  </si>
  <si>
    <t>Productos para el sistema musculo esquelético o nervioso para uso veterinario</t>
  </si>
  <si>
    <t>Productos para sangre o formación de sangre para uso veterinario</t>
  </si>
  <si>
    <t xml:space="preserve"> Tilapia viva</t>
  </si>
  <si>
    <t>Alimento granulado para peces</t>
  </si>
  <si>
    <t>Semillas o plántulas de zanahoria</t>
  </si>
  <si>
    <t>Fertilizante micro elemento</t>
  </si>
  <si>
    <t>Insecticidas</t>
  </si>
  <si>
    <t>Antídoto y eméticos</t>
  </si>
  <si>
    <t>Maquinaria agrícola parta cosechr</t>
  </si>
  <si>
    <t>Material para sombras para agricultura</t>
  </si>
  <si>
    <t>Fungicidas</t>
  </si>
  <si>
    <t>Cultivos y fluidos</t>
  </si>
  <si>
    <t>Antisepticos</t>
  </si>
  <si>
    <t xml:space="preserve">Huevos y sustitutos </t>
  </si>
  <si>
    <t>Carne y aves del corral</t>
  </si>
  <si>
    <t>50201706 </t>
  </si>
  <si>
    <t>Café</t>
  </si>
  <si>
    <t>Azucares naturales o productos endulzantes</t>
  </si>
  <si>
    <t>Arneses o cinturones de seguridad</t>
  </si>
  <si>
    <t xml:space="preserve"> Guantes anti vibraciones</t>
  </si>
  <si>
    <t>Calibradores</t>
  </si>
  <si>
    <t>Calculadoras científicas</t>
  </si>
  <si>
    <t>Papeles cartulina</t>
  </si>
  <si>
    <t>Balanzas de laboratorio</t>
  </si>
  <si>
    <t>Instrumentos de dibujo geométrico para la pizarra</t>
  </si>
  <si>
    <t>Juegos educativos</t>
  </si>
  <si>
    <t>Cable de extensión eléctrica</t>
  </si>
  <si>
    <t>Chocolates, azucares, edulcorantes, productos</t>
  </si>
  <si>
    <t>Recipientes de plástico</t>
  </si>
  <si>
    <t>Agentes gelificantes naturales</t>
  </si>
  <si>
    <t>Medidores de ph</t>
  </si>
  <si>
    <t>Laxante</t>
  </si>
  <si>
    <t> 50405900</t>
  </si>
  <si>
    <t>Vegetales Marinas</t>
  </si>
  <si>
    <t>Aditivos de alimentos y fármacos</t>
  </si>
  <si>
    <t>Suministros para hornear</t>
  </si>
  <si>
    <t>Licor Destilado</t>
  </si>
  <si>
    <t>Semillas o plántulas de rábano</t>
  </si>
  <si>
    <t xml:space="preserve"> Abono</t>
  </si>
  <si>
    <t>Mermeladas y gelatinas y pastas de untar de nuez y conservas de fruta</t>
  </si>
  <si>
    <t>Malla red</t>
  </si>
  <si>
    <t>Acondicionador inorgánico de suelos</t>
  </si>
  <si>
    <t>Sulfato de cobre</t>
  </si>
  <si>
    <t>Tierra</t>
  </si>
  <si>
    <t xml:space="preserve"> Sets de instrumentos quirúrgicos para uso veterinario</t>
  </si>
  <si>
    <t>Textiles de algodón de tejido de pana</t>
  </si>
  <si>
    <t>Materiales de enseñanza de comprensión de la confección o hechura de ropa</t>
  </si>
  <si>
    <t>Agujas de costura</t>
  </si>
  <si>
    <t>Fibras de seda</t>
  </si>
  <si>
    <t>Botones</t>
  </si>
  <si>
    <t>Conector de anclaje</t>
  </si>
  <si>
    <t>Equipo de apuntalamiento</t>
  </si>
  <si>
    <t xml:space="preserve"> Ácidos inorgánicos</t>
  </si>
  <si>
    <t>Reactivos o soluciones químicas</t>
  </si>
  <si>
    <t>Cetonas o quinonas o sus sustitutos</t>
  </si>
  <si>
    <t>Vasos de precipitados para laboratorio</t>
  </si>
  <si>
    <t>Aceite de inmersión para microscopios</t>
  </si>
  <si>
    <t>Mariscos congelados</t>
  </si>
  <si>
    <t xml:space="preserve">Carne y aves de corral </t>
  </si>
  <si>
    <t>Huevos y sustitutos</t>
  </si>
  <si>
    <t>Licor destilado</t>
  </si>
  <si>
    <t>Compuestos desengrasantes</t>
  </si>
  <si>
    <t>Papel plástico para envolver alimentos</t>
  </si>
  <si>
    <t>Hierbas secas</t>
  </si>
  <si>
    <t>Cristales de gelatina o mermelada</t>
  </si>
  <si>
    <t>Cocteles de alcohol o bebidas mixtas</t>
  </si>
  <si>
    <t>Textiles de algodón de tejido simple</t>
  </si>
  <si>
    <t>Cuero sintético o de imitación</t>
  </si>
  <si>
    <t>Fibras de algodón</t>
  </si>
  <si>
    <t>Pinturas de agua</t>
  </si>
  <si>
    <t>Cuentas surtidas o de decoración</t>
  </si>
  <si>
    <t>Accesorios para calzado</t>
  </si>
  <si>
    <t>Baño y cuerpo</t>
  </si>
  <si>
    <t>Removedor de esmalte</t>
  </si>
  <si>
    <t>Desinfectante o esterilizador de instrumentos</t>
  </si>
  <si>
    <t>Pañitos o toallas para limpiar</t>
  </si>
  <si>
    <t>Guantes de examen o para procedimientos no quirúrgicos</t>
  </si>
  <si>
    <t xml:space="preserve"> Máscaras quirúrgicas o de aislamiento para personal médico</t>
  </si>
  <si>
    <t>Lociones o aceites para manos o cuerpo</t>
  </si>
  <si>
    <t xml:space="preserve"> Implementos para la manicure</t>
  </si>
  <si>
    <t>Aceite de ricino</t>
  </si>
  <si>
    <t xml:space="preserve"> Varillas para revolver para laboratorio</t>
  </si>
  <si>
    <t>Textil sintético de tejido sintético</t>
  </si>
  <si>
    <t>Tintes</t>
  </si>
  <si>
    <t>Tijeras</t>
  </si>
  <si>
    <t>Enzimas</t>
  </si>
  <si>
    <t>Piedra pómez</t>
  </si>
  <si>
    <t>Tela para lijar</t>
  </si>
  <si>
    <t>Sales metálicas inorgánicas</t>
  </si>
  <si>
    <t>Esteres o sus sustitutos</t>
  </si>
  <si>
    <t>Ácidos orgánicos o sus sustitutos</t>
  </si>
  <si>
    <t>PRESUPUESTO OFICIAL DISPONIBLE</t>
  </si>
  <si>
    <t xml:space="preserve">Lote No. </t>
  </si>
  <si>
    <t>Valor POD</t>
  </si>
  <si>
    <t>Asignación</t>
  </si>
  <si>
    <t>Necesidades</t>
  </si>
  <si>
    <t>Diferencia</t>
  </si>
  <si>
    <t>DESPLAZADOS</t>
  </si>
  <si>
    <t xml:space="preserve">PRODUCCIÓN DE CENTROS </t>
  </si>
  <si>
    <t>C-3602-1300-7-0-3602031-02</t>
  </si>
  <si>
    <t>NACIÓN</t>
  </si>
  <si>
    <t xml:space="preserve">C-3603-1300-14-0-3603025-02 </t>
  </si>
  <si>
    <t>PROPIOS</t>
  </si>
  <si>
    <t>Subsede</t>
  </si>
  <si>
    <t>Textil - Lab calidad</t>
  </si>
  <si>
    <t>Textil - TICS</t>
  </si>
  <si>
    <t>Medellìn</t>
  </si>
  <si>
    <t>Subsede TICS</t>
  </si>
  <si>
    <t>Lab calidad</t>
  </si>
  <si>
    <t>FIC</t>
  </si>
  <si>
    <t xml:space="preserve">C-3602-1300-8-0-3602035-02 </t>
  </si>
  <si>
    <t>DIFERENCIA</t>
  </si>
  <si>
    <t>REGULAR</t>
  </si>
  <si>
    <t>TICS</t>
  </si>
  <si>
    <t>Textil</t>
  </si>
  <si>
    <t>subsede</t>
  </si>
  <si>
    <t>Cristalería de uso domestico</t>
  </si>
  <si>
    <t xml:space="preserve">Tintas para serigrafia a base  de agua </t>
  </si>
  <si>
    <t>Tintas para textiles a base de agua</t>
  </si>
  <si>
    <t>Materiales de decoración de telas y arte textil y suministros</t>
  </si>
  <si>
    <t>Cinta térmica</t>
  </si>
  <si>
    <t>Emulsiones</t>
  </si>
  <si>
    <t>Colorantes Solventes</t>
  </si>
  <si>
    <t>Compuestos inorganicos</t>
  </si>
  <si>
    <t>Instrumentos de laboratorio</t>
  </si>
  <si>
    <t>Equipo y suministros de pipetas y manipulación de liquidos</t>
  </si>
  <si>
    <t>Pipetas Volumétricas</t>
  </si>
  <si>
    <t>Agua destilada o deionizada</t>
  </si>
  <si>
    <t>Otras soluciones reguladoras</t>
  </si>
  <si>
    <t>Electrolitos de cloruro de sodio</t>
  </si>
  <si>
    <t>Formaldehidos</t>
  </si>
  <si>
    <t>Empaques</t>
  </si>
  <si>
    <t>Grasas y aceites vegetales comestibles</t>
  </si>
  <si>
    <t>Productos de confitería</t>
  </si>
  <si>
    <t>Vegetales frescos</t>
  </si>
  <si>
    <t>Preservativos de alimentos</t>
  </si>
  <si>
    <t>Secadores de pelo para uso doméstico</t>
  </si>
  <si>
    <t>Cosméticos</t>
  </si>
  <si>
    <t>Articulos de tocados y cuidado artesanal</t>
  </si>
  <si>
    <t>Suministros de costura variados</t>
  </si>
  <si>
    <t>Agujas para coser a mano</t>
  </si>
  <si>
    <t>Cuero, pieles o materiales textiles de animales</t>
  </si>
  <si>
    <t xml:space="preserve">Bolsos o  carteras </t>
  </si>
  <si>
    <t>Hilos</t>
  </si>
  <si>
    <t xml:space="preserve">Semillas y plántulas  vegetales </t>
  </si>
  <si>
    <t>Nutriente foliar</t>
  </si>
  <si>
    <t>Miel</t>
  </si>
  <si>
    <t>Barro y Tierra</t>
  </si>
  <si>
    <t>Herramientas manuales de jardinería, agricultura y forestación</t>
  </si>
  <si>
    <t>Contenedores para muestras</t>
  </si>
  <si>
    <t>Tejidos de seda</t>
  </si>
  <si>
    <t>Intrumentos de medida, observaciòn, y ensayo</t>
  </si>
  <si>
    <t>Tijeras para laboratorio</t>
  </si>
  <si>
    <t>Alambre calentador</t>
  </si>
  <si>
    <t>Desconectores rápidos</t>
  </si>
  <si>
    <t>Tablero de fusibles</t>
  </si>
  <si>
    <t>Cinta aislante eléctrica</t>
  </si>
  <si>
    <t>Interruptor de lámpara</t>
  </si>
  <si>
    <t>Alambre de cobre</t>
  </si>
  <si>
    <t>Accesorios eléctricos</t>
  </si>
  <si>
    <t>Lote 23.  FIC</t>
  </si>
  <si>
    <t>N,N-DIMETILA FORMAMIDA ENVASE PLASTICO    CAS 127-19-5– (de fórmula: (C4H9NO) (presentación de 2,5 litros por botella). / VER NOTAS: 1,2,3,4</t>
  </si>
  <si>
    <t>PLAZO DE EJECUCIÒN</t>
  </si>
  <si>
    <t>4 meses calendario</t>
  </si>
  <si>
    <t>2 meses calendario</t>
  </si>
  <si>
    <t>5 meses calendario</t>
  </si>
  <si>
    <t>3 meses calendario</t>
  </si>
  <si>
    <t xml:space="preserve">Plazo de Ejecuciòn </t>
  </si>
  <si>
    <t>SAN PEDRO DE LOS MILAGROS, BELMIRA, ENTRERRIOS, DONMATIAS,  YARUMAL, CAMPAMENTO, ANGOSTURA, CAROLINA DEL PRINCIPE, GOMEZ PLATA, GUADALUPE, VALDIVIA, BRICEÑO, SAN JOSE DE LA MONTAÑA, SAN ANDRES DE CUERQUIA, TOLEDO, ITUANGO, SANTA ROSA DE OSOS Y LAS VEREDAS Y CORREGIMIENTOS DE CADA UNO DE LOS 17 MUNICIPIOS DEL NORTE DE ANTIOQUIA</t>
  </si>
  <si>
    <t>Santa Rosa de Osos y los 17 municipios adscritos a la subsede son: Angostura, Belmira, Briceño, Campamento, Carolina del Príncipe, Don Matías, Entrerríos, Gómez Plata, Guadalupe, Ituango, San Andrés de Cuerquia, San José de la Montaña, San Pedro de los Milagros, Santa Rosa de Osos, Toledo, Valdivia, Yarumal</t>
  </si>
  <si>
    <t>Sede Medellìn y Subsede Santa Rosa de Osos y los 17 municipios adscritos a la subsede son: Angostura, Belmira, Briceño, Campamento, Carolina del Príncipe, Don Matías, Entrerríos, Gómez Plata, Guadalupe, Ituango, San Andrés de Cuerquia, San José de la Montaña, San Pedro de los Milagros, Santa Rosa de Osos, Toledo, Valdivia, Yarumal</t>
  </si>
  <si>
    <t xml:space="preserve">Lugar  de Ejecuciòn </t>
  </si>
  <si>
    <t xml:space="preserve">UNSPSC – Decreto 1082 de 2015 </t>
  </si>
  <si>
    <t>GRUPO</t>
  </si>
  <si>
    <t>SEGMENTO</t>
  </si>
  <si>
    <t>FAMILIA</t>
  </si>
  <si>
    <t>CLASE</t>
  </si>
  <si>
    <t>(B) Materias Primas</t>
  </si>
  <si>
    <t>(E) Productos de uso Final</t>
  </si>
  <si>
    <t>1lote 61700</t>
  </si>
  <si>
    <t>(D) Componentes y Suministros</t>
  </si>
  <si>
    <t xml:space="preserve">(D) Componentes y suministros </t>
  </si>
  <si>
    <t xml:space="preserve">(C) Maquinaria, Herramientas, Equipo Industrial y Vehìculos </t>
  </si>
  <si>
    <t xml:space="preserve">(A) Material Vivo Animal y Vegetal </t>
  </si>
  <si>
    <t>(E)  Productos de Uso Final</t>
  </si>
  <si>
    <t>lote 9</t>
  </si>
  <si>
    <t>lote 10</t>
  </si>
  <si>
    <t>CODIGO UNSPSC</t>
  </si>
  <si>
    <t xml:space="preserve">RUTA DE IDA </t>
  </si>
  <si>
    <t>RUTA DE REGRESO</t>
  </si>
  <si>
    <t>ITAGUI</t>
  </si>
  <si>
    <t>AMAGA</t>
  </si>
  <si>
    <t>BARBOSA</t>
  </si>
  <si>
    <t>BELLO</t>
  </si>
  <si>
    <t>CALDAS</t>
  </si>
  <si>
    <t>CISNEROS</t>
  </si>
  <si>
    <t>COCORNÁ</t>
  </si>
  <si>
    <t>COPACABANA</t>
  </si>
  <si>
    <t>ENVIGADO</t>
  </si>
  <si>
    <t>FREDONIA</t>
  </si>
  <si>
    <t>GIRARDOTA</t>
  </si>
  <si>
    <t>GUARNE</t>
  </si>
  <si>
    <t>GUATAPE</t>
  </si>
  <si>
    <t>JERICO</t>
  </si>
  <si>
    <t>LA ESTRELLA</t>
  </si>
  <si>
    <t>MARINILLA</t>
  </si>
  <si>
    <t>MEDELLIN</t>
  </si>
  <si>
    <t>MONTEBELLO</t>
  </si>
  <si>
    <t>PALMITAS</t>
  </si>
  <si>
    <t>RIONEGRO</t>
  </si>
  <si>
    <t>SABANETA</t>
  </si>
  <si>
    <t>SAN ANTONIO DE PRADO</t>
  </si>
  <si>
    <t>SAN CRISTOBAL</t>
  </si>
  <si>
    <t>SAN JERONIMO</t>
  </si>
  <si>
    <t>SANTA BARBARA</t>
  </si>
  <si>
    <t>SANTA ELENA</t>
  </si>
  <si>
    <t>SOPETRAN</t>
  </si>
  <si>
    <t>SANTA FE DE ANTIOQUIA</t>
  </si>
  <si>
    <t>VENECIA</t>
  </si>
  <si>
    <t>5. OFERTA TECNICA ECONOMICA
El suscrito, obrando en representación de __________________________, ofrezco contratar con el Centro del Diseño y Manufactura del Cuero del Servicio Nacional de Aprendizaje SENA Regional Antioquia, cuyo objeto es:   5_9201_166 PRESTAR EL SERVICIO DE TRANSPORTE PARA EL DESPLAZAMIENTO DE LOS APRENDICES DENTRO Y FUERA DEL ÁREA METROPOLITANA QUE PARTICIPAN DE LAS ACTIVIDADES PROGRAMADAS EN EL PLAN DE BIENESTAR AL APRENDIZ, PERTENECIENTES AL CENTRO DEL DISEÑO Y MANUFACTURA DEL CUERO.</t>
  </si>
  <si>
    <t>VALOR TOTAL</t>
  </si>
  <si>
    <t xml:space="preserve">Nombre o Razón Social del Proponente: ___________________________               
NIT ___________________________________________________________ 
 Nombre del Representante Legal: _________________________________ 
C. C. Nº ___________________________ de__________________________ 
FIRMA: ________________________________________________________ </t>
  </si>
  <si>
    <t xml:space="preserve">VALOR PRECIO TECHO </t>
  </si>
  <si>
    <t>VALOR OFERTADO POR EL PROVEEDOR</t>
  </si>
  <si>
    <t>VEHÍCULO (CAPACIDAD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</si>
</sst>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5" formatCode="&quot;$&quot;\ #,##0;\-&quot;$&quot;\ #,##0"/>
    <numFmt numFmtId="6" formatCode="&quot;$&quot;\ #,##0;[Red]\-&quot;$&quot;\ #,##0"/>
    <numFmt numFmtId="42" formatCode="_-&quot;$&quot;\ * #,##0_-;\-&quot;$&quot;\ * #,##0_-;_-&quot;$&quot;\ * &quot;-&quot;_-;_-@_-"/>
    <numFmt numFmtId="43" formatCode="_-* #,##0.00_-;\-* #,##0.00_-;_-* &quot;-&quot;??_-;_-@_-"/>
    <numFmt numFmtId="164" formatCode="_-* #,##0\ &quot;€&quot;_-;\-* #,##0\ &quot;€&quot;_-;_-* &quot;-&quot;\ &quot;€&quot;_-;_-@_-"/>
    <numFmt numFmtId="165" formatCode="_-* #,##0.00\ &quot;€&quot;_-;\-* #,##0.00\ &quot;€&quot;_-;_-* &quot;-&quot;??\ &quot;€&quot;_-;_-@_-"/>
    <numFmt numFmtId="166" formatCode="_(&quot;$&quot;\ * #,##0.00_);_(&quot;$&quot;\ * \(#,##0.00\);_(&quot;$&quot;\ * &quot;-&quot;??_);_(@_)"/>
    <numFmt numFmtId="167" formatCode="_-&quot;$&quot;* #,##0.00_-;\-&quot;$&quot;* #,##0.00_-;_-&quot;$&quot;* &quot;-&quot;??_-;_-@_-"/>
    <numFmt numFmtId="168" formatCode="_(&quot;$&quot;\ * #,##0_);_(&quot;$&quot;\ * \(#,##0\);_(&quot;$&quot;\ * &quot;-&quot;??_);_(@_)"/>
    <numFmt numFmtId="169" formatCode="_(* #,##0_);_(* \(#,##0\);_(* &quot;-&quot;??_);_(@_)"/>
    <numFmt numFmtId="170" formatCode="&quot;$&quot;\ #,##0"/>
    <numFmt numFmtId="171" formatCode="[$$-240A]\ #,##0;\-[$$-240A]\ #,##0"/>
    <numFmt numFmtId="172" formatCode="_-[$$-240A]\ * #,##0_-;\-[$$-240A]\ * #,##0_-;_-[$$-240A]\ * &quot;-&quot;_-;_-@_-"/>
    <numFmt numFmtId="173" formatCode="[$$-240A]\ #,##0"/>
    <numFmt numFmtId="174" formatCode="_-&quot;$&quot;\ * #,##0_-;\-&quot;$&quot;\ * #,##0_-;_-&quot;$&quot;\ * &quot;-&quot;??_-;_-@_-"/>
    <numFmt numFmtId="175" formatCode="_([$$-240A]\ * #,##0_);_([$$-240A]\ * \(#,##0\);_([$$-240A]\ * &quot;-&quot;??_);_(@_)"/>
    <numFmt numFmtId="176" formatCode="_-[$$-240A]\ * #,##0_-;\-[$$-240A]\ * #,##0_-;_-[$$-240A]\ * &quot;-&quot;??_-;_-@_-"/>
    <numFmt numFmtId="177" formatCode="_-&quot;$&quot;* #,##0_-;\-&quot;$&quot;* #,##0_-;_-&quot;$&quot;* &quot;-&quot;_-;_-@_-"/>
    <numFmt numFmtId="178" formatCode="_(&quot;$&quot;\ * #,##0_);_(&quot;$&quot;\ * \(#,##0\);_(&quot;$&quot;\ * &quot;-&quot;_);_(@_)"/>
    <numFmt numFmtId="179" formatCode="[$$-240A]\ #,##0.00"/>
    <numFmt numFmtId="180" formatCode="\$\ #,##0"/>
  </numFmts>
  <fonts count="61"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indexed="8"/>
      <name val="Calibri"/>
      <family val="2"/>
      <scheme val="minor"/>
    </font>
    <font>
      <sz val="10"/>
      <color indexed="8"/>
      <name val="Arial"/>
      <family val="2"/>
    </font>
    <font>
      <sz val="10"/>
      <name val="Arial"/>
      <family val="2"/>
    </font>
    <font>
      <sz val="10"/>
      <color theme="1"/>
      <name val="Arial"/>
      <family val="2"/>
    </font>
    <font>
      <sz val="10"/>
      <color rgb="FF000000"/>
      <name val="Arial"/>
      <family val="2"/>
    </font>
    <font>
      <sz val="11"/>
      <color theme="1"/>
      <name val="Calibri"/>
      <family val="2"/>
    </font>
    <font>
      <b/>
      <sz val="16"/>
      <color theme="1"/>
      <name val="Calibri"/>
      <family val="2"/>
      <scheme val="minor"/>
    </font>
    <font>
      <sz val="10"/>
      <name val="Calibri"/>
      <family val="2"/>
      <scheme val="minor"/>
    </font>
    <font>
      <sz val="10"/>
      <color theme="1"/>
      <name val="Calibri"/>
      <family val="2"/>
      <scheme val="minor"/>
    </font>
    <font>
      <sz val="11"/>
      <color rgb="FF000000"/>
      <name val="Calibri"/>
      <family val="2"/>
      <scheme val="minor"/>
    </font>
    <font>
      <b/>
      <sz val="12"/>
      <color theme="1"/>
      <name val="Arial"/>
      <family val="2"/>
    </font>
    <font>
      <b/>
      <sz val="16"/>
      <color theme="1"/>
      <name val="Arial"/>
      <family val="2"/>
    </font>
    <font>
      <b/>
      <sz val="12"/>
      <name val="Arial"/>
      <family val="2"/>
    </font>
    <font>
      <sz val="12"/>
      <color theme="1"/>
      <name val="Arial"/>
      <family val="2"/>
    </font>
    <font>
      <sz val="12"/>
      <color indexed="8"/>
      <name val="Arial"/>
      <family val="2"/>
    </font>
    <font>
      <sz val="12"/>
      <color rgb="FF000000"/>
      <name val="Arial"/>
      <family val="2"/>
    </font>
    <font>
      <sz val="12"/>
      <name val="Arial"/>
      <family val="2"/>
    </font>
    <font>
      <sz val="12"/>
      <color rgb="FF212529"/>
      <name val="Arial"/>
      <family val="2"/>
    </font>
    <font>
      <sz val="12"/>
      <color rgb="FFFF0000"/>
      <name val="Arial"/>
      <family val="2"/>
    </font>
    <font>
      <b/>
      <sz val="24"/>
      <color theme="1"/>
      <name val="Calibri"/>
      <family val="2"/>
      <scheme val="minor"/>
    </font>
    <font>
      <sz val="11"/>
      <name val="Arial Narrow"/>
      <family val="2"/>
    </font>
    <font>
      <sz val="10"/>
      <color indexed="8"/>
      <name val="MS Sans Serif"/>
      <family val="2"/>
    </font>
    <font>
      <b/>
      <sz val="11"/>
      <name val="Calibri"/>
      <family val="2"/>
      <scheme val="minor"/>
    </font>
    <font>
      <b/>
      <sz val="10"/>
      <color theme="1"/>
      <name val="Arial"/>
      <family val="2"/>
    </font>
    <font>
      <b/>
      <sz val="11"/>
      <color indexed="8"/>
      <name val="Calibri"/>
      <family val="2"/>
      <scheme val="minor"/>
    </font>
    <font>
      <sz val="10"/>
      <name val="Arial Narrow"/>
      <family val="2"/>
    </font>
    <font>
      <sz val="10"/>
      <color theme="1"/>
      <name val="Arial Narrow"/>
      <family val="2"/>
    </font>
    <font>
      <b/>
      <sz val="10"/>
      <color theme="1"/>
      <name val="Arial Narrow"/>
      <family val="2"/>
    </font>
    <font>
      <sz val="10"/>
      <color rgb="FF000000"/>
      <name val="Arial Narrow"/>
      <family val="2"/>
    </font>
    <font>
      <sz val="10"/>
      <color theme="2" tint="-0.89999084444715716"/>
      <name val="Arial Narrow"/>
      <family val="2"/>
    </font>
    <font>
      <sz val="11"/>
      <color theme="1"/>
      <name val="Arial"/>
      <family val="2"/>
    </font>
    <font>
      <sz val="12"/>
      <color theme="1"/>
      <name val="Calibri"/>
      <family val="2"/>
      <scheme val="minor"/>
    </font>
    <font>
      <b/>
      <u/>
      <sz val="11"/>
      <name val="Calibri"/>
      <family val="2"/>
      <scheme val="minor"/>
    </font>
    <font>
      <sz val="10"/>
      <color theme="1"/>
      <name val="Calibri"/>
      <family val="2"/>
    </font>
    <font>
      <sz val="10"/>
      <color rgb="FF000000"/>
      <name val="Calibri"/>
      <family val="2"/>
      <scheme val="minor"/>
    </font>
    <font>
      <sz val="12"/>
      <color theme="1"/>
      <name val="Arial Narrow"/>
      <family val="2"/>
    </font>
    <font>
      <sz val="11"/>
      <color rgb="FFFF0000"/>
      <name val="Calibri"/>
      <family val="2"/>
      <scheme val="minor"/>
    </font>
    <font>
      <sz val="10"/>
      <color indexed="8"/>
      <name val="Arial Narrow"/>
      <family val="2"/>
    </font>
    <font>
      <sz val="10"/>
      <color rgb="FF050505"/>
      <name val="Arial Narrow"/>
      <family val="2"/>
    </font>
    <font>
      <u/>
      <sz val="11"/>
      <name val="Calibri"/>
      <family val="2"/>
      <scheme val="minor"/>
    </font>
    <font>
      <sz val="11"/>
      <color rgb="FF000000"/>
      <name val="Arial"/>
      <family val="2"/>
    </font>
    <font>
      <sz val="11"/>
      <name val="Arial"/>
      <family val="2"/>
    </font>
    <font>
      <u/>
      <sz val="11"/>
      <name val="Arial"/>
      <family val="2"/>
    </font>
    <font>
      <b/>
      <u/>
      <sz val="11"/>
      <name val="Arial"/>
      <family val="2"/>
    </font>
    <font>
      <b/>
      <u/>
      <sz val="11"/>
      <color theme="1"/>
      <name val="Calibri"/>
      <family val="2"/>
      <scheme val="minor"/>
    </font>
    <font>
      <sz val="14"/>
      <color theme="1"/>
      <name val="Calibri"/>
      <family val="2"/>
      <scheme val="minor"/>
    </font>
    <font>
      <sz val="11"/>
      <color theme="4" tint="0.39997558519241921"/>
      <name val="Calibri"/>
      <family val="2"/>
      <scheme val="minor"/>
    </font>
    <font>
      <sz val="11"/>
      <color theme="1"/>
      <name val="Calibri"/>
      <family val="2"/>
    </font>
    <font>
      <sz val="10"/>
      <color indexed="8"/>
      <name val="Calibri"/>
      <family val="2"/>
      <scheme val="minor"/>
    </font>
    <font>
      <b/>
      <sz val="10"/>
      <name val="Calibri"/>
      <family val="2"/>
      <scheme val="minor"/>
    </font>
    <font>
      <b/>
      <sz val="10"/>
      <color theme="1"/>
      <name val="Calibri"/>
      <family val="2"/>
      <scheme val="minor"/>
    </font>
    <font>
      <b/>
      <sz val="11"/>
      <color rgb="FF000000"/>
      <name val="Arial"/>
      <family val="2"/>
    </font>
    <font>
      <sz val="8"/>
      <name val="Calibri"/>
      <family val="2"/>
      <scheme val="minor"/>
    </font>
    <font>
      <sz val="12"/>
      <name val="Calibri"/>
      <family val="2"/>
      <scheme val="minor"/>
    </font>
    <font>
      <b/>
      <sz val="12"/>
      <color theme="1"/>
      <name val="Calibri"/>
      <family val="2"/>
      <scheme val="minor"/>
    </font>
    <font>
      <b/>
      <sz val="12"/>
      <color rgb="FF000000"/>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2F2F2"/>
        <bgColor rgb="FFF2F2F2"/>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theme="0"/>
      </patternFill>
    </fill>
    <fill>
      <patternFill patternType="solid">
        <fgColor indexed="65"/>
        <bgColor indexed="64"/>
      </patternFill>
    </fill>
    <fill>
      <patternFill patternType="solid">
        <fgColor theme="9" tint="0.79998168889431442"/>
        <bgColor indexed="64"/>
      </patternFill>
    </fill>
    <fill>
      <patternFill patternType="solid">
        <fgColor theme="0"/>
        <bgColor rgb="FFFFFFFF"/>
      </patternFill>
    </fill>
    <fill>
      <patternFill patternType="solid">
        <fgColor theme="0"/>
        <bgColor rgb="FFF2F2F2"/>
      </patternFill>
    </fill>
    <fill>
      <patternFill patternType="solid">
        <fgColor theme="9" tint="0.59999389629810485"/>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4">
    <xf numFmtId="0" fontId="0"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167"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0" fontId="7" fillId="0" borderId="0"/>
    <xf numFmtId="0" fontId="35" fillId="0" borderId="0"/>
    <xf numFmtId="43" fontId="2" fillId="0" borderId="0" applyFont="0" applyFill="0" applyBorder="0" applyAlignment="0" applyProtection="0"/>
  </cellStyleXfs>
  <cellXfs count="780">
    <xf numFmtId="0" fontId="0" fillId="0" borderId="0" xfId="0"/>
    <xf numFmtId="0" fontId="0" fillId="0" borderId="1" xfId="0" applyBorder="1"/>
    <xf numFmtId="0" fontId="5"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173" fontId="0" fillId="0" borderId="0" xfId="0" applyNumberFormat="1"/>
    <xf numFmtId="173" fontId="0" fillId="0" borderId="1" xfId="0" applyNumberFormat="1" applyBorder="1"/>
    <xf numFmtId="20" fontId="0" fillId="0" borderId="1" xfId="0" applyNumberFormat="1" applyBorder="1"/>
    <xf numFmtId="0" fontId="3" fillId="2" borderId="1" xfId="0" applyFont="1" applyFill="1" applyBorder="1" applyAlignment="1">
      <alignment horizontal="center"/>
    </xf>
    <xf numFmtId="0" fontId="7"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xf numFmtId="170" fontId="3" fillId="0" borderId="1" xfId="0" applyNumberFormat="1" applyFont="1" applyBorder="1"/>
    <xf numFmtId="20" fontId="3" fillId="0" borderId="1" xfId="0" applyNumberFormat="1" applyFont="1" applyBorder="1" applyAlignment="1">
      <alignment horizontal="right"/>
    </xf>
    <xf numFmtId="0" fontId="3" fillId="0" borderId="1" xfId="0" applyFont="1" applyBorder="1" applyAlignment="1">
      <alignment horizontal="right"/>
    </xf>
    <xf numFmtId="0" fontId="7" fillId="0" borderId="1" xfId="0" applyFont="1" applyBorder="1" applyAlignment="1">
      <alignment vertical="center" wrapText="1"/>
    </xf>
    <xf numFmtId="0" fontId="12"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4" fillId="3" borderId="1" xfId="0" applyFont="1" applyFill="1" applyBorder="1" applyAlignment="1">
      <alignment horizontal="left" vertical="top" wrapText="1"/>
    </xf>
    <xf numFmtId="0" fontId="4"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wrapText="1"/>
    </xf>
    <xf numFmtId="0" fontId="7" fillId="3" borderId="1" xfId="0" applyFont="1" applyFill="1" applyBorder="1" applyAlignment="1">
      <alignment horizontal="center" vertical="center" wrapText="1"/>
    </xf>
    <xf numFmtId="168" fontId="17" fillId="2" borderId="1" xfId="4" applyNumberFormat="1" applyFont="1" applyFill="1" applyBorder="1" applyAlignment="1">
      <alignment horizontal="center" vertical="center" wrapText="1"/>
    </xf>
    <xf numFmtId="169" fontId="17" fillId="2" borderId="1" xfId="5" applyNumberFormat="1" applyFont="1" applyFill="1" applyBorder="1" applyAlignment="1">
      <alignment horizontal="center" vertical="center" wrapText="1"/>
    </xf>
    <xf numFmtId="0" fontId="18" fillId="0" borderId="0" xfId="0" applyFont="1"/>
    <xf numFmtId="0" fontId="18" fillId="0" borderId="1" xfId="0" applyFont="1" applyBorder="1" applyAlignment="1">
      <alignment horizontal="center"/>
    </xf>
    <xf numFmtId="0" fontId="19" fillId="0" borderId="1" xfId="0" applyFont="1" applyBorder="1" applyAlignment="1">
      <alignment horizontal="center"/>
    </xf>
    <xf numFmtId="0" fontId="20" fillId="0" borderId="1" xfId="0" applyFont="1" applyBorder="1" applyAlignment="1">
      <alignment horizontal="center"/>
    </xf>
    <xf numFmtId="0" fontId="21" fillId="0" borderId="1" xfId="0" applyFont="1" applyBorder="1" applyAlignment="1">
      <alignment horizontal="center"/>
    </xf>
    <xf numFmtId="0" fontId="21" fillId="0" borderId="1" xfId="0" applyFont="1" applyBorder="1" applyAlignment="1">
      <alignment horizontal="center" vertical="center"/>
    </xf>
    <xf numFmtId="3" fontId="19" fillId="0" borderId="1" xfId="0" applyNumberFormat="1" applyFont="1" applyBorder="1" applyAlignment="1">
      <alignment horizontal="left" wrapText="1"/>
    </xf>
    <xf numFmtId="0" fontId="21" fillId="0" borderId="1" xfId="1" applyFont="1" applyBorder="1" applyAlignment="1">
      <alignment horizontal="center" vertical="center" wrapText="1"/>
    </xf>
    <xf numFmtId="1" fontId="18" fillId="0" borderId="1" xfId="0" applyNumberFormat="1" applyFont="1" applyBorder="1"/>
    <xf numFmtId="170" fontId="18" fillId="0" borderId="1" xfId="0" applyNumberFormat="1" applyFont="1" applyBorder="1" applyAlignment="1">
      <alignment horizontal="center"/>
    </xf>
    <xf numFmtId="9" fontId="18" fillId="0" borderId="1" xfId="0" applyNumberFormat="1" applyFont="1" applyBorder="1" applyAlignment="1">
      <alignment horizontal="center"/>
    </xf>
    <xf numFmtId="170" fontId="19" fillId="0" borderId="1" xfId="0" applyNumberFormat="1" applyFont="1" applyBorder="1" applyAlignment="1">
      <alignment horizontal="center"/>
    </xf>
    <xf numFmtId="168" fontId="19" fillId="0" borderId="1" xfId="6" applyNumberFormat="1" applyFont="1" applyFill="1" applyBorder="1" applyAlignment="1">
      <alignment horizontal="center"/>
    </xf>
    <xf numFmtId="168" fontId="19" fillId="0" borderId="1" xfId="6" applyNumberFormat="1" applyFont="1" applyFill="1" applyBorder="1" applyAlignment="1">
      <alignment horizontal="center" wrapText="1"/>
    </xf>
    <xf numFmtId="0" fontId="21" fillId="0" borderId="1" xfId="1" applyFont="1" applyBorder="1" applyAlignment="1">
      <alignment horizontal="center" vertical="center"/>
    </xf>
    <xf numFmtId="1" fontId="21" fillId="0" borderId="1" xfId="0" applyNumberFormat="1" applyFont="1" applyBorder="1" applyAlignment="1">
      <alignment horizontal="center"/>
    </xf>
    <xf numFmtId="0" fontId="17" fillId="2" borderId="1" xfId="0" applyFont="1" applyFill="1" applyBorder="1" applyAlignment="1">
      <alignment horizontal="center" vertical="top" wrapText="1"/>
    </xf>
    <xf numFmtId="0" fontId="18" fillId="0" borderId="1" xfId="0" applyFont="1" applyBorder="1" applyAlignment="1">
      <alignment horizontal="center" vertical="center"/>
    </xf>
    <xf numFmtId="1" fontId="21" fillId="0" borderId="1" xfId="0" applyNumberFormat="1" applyFont="1" applyBorder="1" applyAlignment="1">
      <alignment horizontal="center" vertical="center"/>
    </xf>
    <xf numFmtId="3" fontId="19" fillId="0" borderId="1" xfId="0" applyNumberFormat="1" applyFont="1" applyBorder="1" applyAlignment="1">
      <alignment vertical="center" wrapText="1"/>
    </xf>
    <xf numFmtId="0" fontId="18" fillId="0" borderId="1" xfId="0" applyFont="1" applyBorder="1" applyAlignment="1">
      <alignment horizontal="center" vertical="center" wrapText="1"/>
    </xf>
    <xf numFmtId="171" fontId="18" fillId="0" borderId="1" xfId="2" applyNumberFormat="1" applyFont="1" applyFill="1" applyBorder="1"/>
    <xf numFmtId="42" fontId="18" fillId="0" borderId="1" xfId="0" applyNumberFormat="1" applyFont="1" applyBorder="1"/>
    <xf numFmtId="173" fontId="18" fillId="0" borderId="1" xfId="2" applyNumberFormat="1" applyFont="1" applyFill="1" applyBorder="1"/>
    <xf numFmtId="0" fontId="18" fillId="0" borderId="1" xfId="0" applyFont="1" applyBorder="1"/>
    <xf numFmtId="170" fontId="18" fillId="0" borderId="1" xfId="0" applyNumberFormat="1" applyFont="1" applyBorder="1"/>
    <xf numFmtId="49" fontId="18" fillId="0" borderId="1" xfId="0" applyNumberFormat="1" applyFont="1" applyBorder="1" applyAlignment="1">
      <alignment horizontal="center" vertical="center"/>
    </xf>
    <xf numFmtId="3" fontId="18" fillId="0" borderId="1" xfId="0" applyNumberFormat="1" applyFont="1" applyBorder="1" applyAlignment="1">
      <alignment horizontal="center" vertical="center"/>
    </xf>
    <xf numFmtId="20" fontId="15" fillId="3" borderId="0" xfId="0" applyNumberFormat="1" applyFont="1" applyFill="1" applyAlignment="1">
      <alignment vertical="top"/>
    </xf>
    <xf numFmtId="0" fontId="18" fillId="0" borderId="14" xfId="0" applyFont="1" applyBorder="1" applyAlignment="1">
      <alignment horizontal="center" vertical="center" wrapText="1"/>
    </xf>
    <xf numFmtId="0" fontId="18" fillId="0" borderId="14" xfId="0" applyFont="1" applyBorder="1" applyAlignment="1">
      <alignment horizontal="center" wrapText="1"/>
    </xf>
    <xf numFmtId="0" fontId="18" fillId="0" borderId="14" xfId="0" applyFont="1" applyBorder="1" applyAlignment="1">
      <alignment horizontal="center"/>
    </xf>
    <xf numFmtId="170" fontId="18" fillId="0" borderId="1" xfId="0" applyNumberFormat="1" applyFont="1" applyBorder="1" applyAlignment="1">
      <alignment vertical="center"/>
    </xf>
    <xf numFmtId="0" fontId="20" fillId="0" borderId="14" xfId="0" applyFont="1" applyBorder="1" applyAlignment="1">
      <alignment horizontal="center"/>
    </xf>
    <xf numFmtId="170" fontId="21" fillId="0" borderId="1" xfId="0" applyNumberFormat="1" applyFont="1" applyBorder="1" applyAlignment="1">
      <alignment vertical="center"/>
    </xf>
    <xf numFmtId="0" fontId="21" fillId="0" borderId="0" xfId="0" applyFont="1"/>
    <xf numFmtId="169" fontId="17" fillId="2" borderId="19" xfId="5" applyNumberFormat="1" applyFont="1" applyFill="1" applyBorder="1" applyAlignment="1">
      <alignment horizontal="center" vertical="top" wrapText="1"/>
    </xf>
    <xf numFmtId="169" fontId="17" fillId="2" borderId="1" xfId="5" applyNumberFormat="1" applyFont="1" applyFill="1" applyBorder="1" applyAlignment="1">
      <alignment horizontal="center" vertical="top" wrapText="1"/>
    </xf>
    <xf numFmtId="3" fontId="20" fillId="0" borderId="14" xfId="0" applyNumberFormat="1" applyFont="1" applyBorder="1" applyAlignment="1">
      <alignment horizontal="left" wrapText="1"/>
    </xf>
    <xf numFmtId="1" fontId="18" fillId="0" borderId="14" xfId="0" applyNumberFormat="1" applyFont="1" applyBorder="1"/>
    <xf numFmtId="174" fontId="18" fillId="0" borderId="14" xfId="7" applyNumberFormat="1" applyFont="1" applyFill="1" applyBorder="1" applyAlignment="1">
      <alignment horizontal="center"/>
    </xf>
    <xf numFmtId="9" fontId="20" fillId="0" borderId="14" xfId="0" applyNumberFormat="1" applyFont="1" applyBorder="1" applyAlignment="1">
      <alignment horizontal="center"/>
    </xf>
    <xf numFmtId="170" fontId="18" fillId="0" borderId="14" xfId="0" applyNumberFormat="1" applyFont="1" applyBorder="1" applyAlignment="1">
      <alignment horizontal="center"/>
    </xf>
    <xf numFmtId="174" fontId="20" fillId="0" borderId="20" xfId="7" applyNumberFormat="1" applyFont="1" applyFill="1" applyBorder="1" applyAlignment="1">
      <alignment horizontal="center"/>
    </xf>
    <xf numFmtId="9" fontId="20" fillId="0" borderId="20" xfId="0" applyNumberFormat="1" applyFont="1" applyBorder="1" applyAlignment="1">
      <alignment horizontal="center"/>
    </xf>
    <xf numFmtId="170" fontId="18" fillId="0" borderId="20" xfId="0" applyNumberFormat="1" applyFont="1" applyBorder="1" applyAlignment="1">
      <alignment horizontal="center"/>
    </xf>
    <xf numFmtId="0" fontId="18" fillId="0" borderId="14" xfId="0" applyFont="1" applyBorder="1" applyAlignment="1">
      <alignment horizontal="center" vertical="center"/>
    </xf>
    <xf numFmtId="1" fontId="18" fillId="0" borderId="14" xfId="0" applyNumberFormat="1" applyFont="1" applyBorder="1" applyAlignment="1">
      <alignment horizontal="center"/>
    </xf>
    <xf numFmtId="0" fontId="18" fillId="0" borderId="14" xfId="0" applyFont="1" applyBorder="1" applyAlignment="1">
      <alignment horizontal="left" vertical="center" wrapText="1"/>
    </xf>
    <xf numFmtId="174" fontId="18" fillId="0" borderId="14" xfId="7" applyNumberFormat="1" applyFont="1" applyFill="1" applyBorder="1"/>
    <xf numFmtId="0" fontId="18" fillId="0" borderId="14" xfId="0" applyFont="1" applyBorder="1" applyAlignment="1">
      <alignment wrapText="1"/>
    </xf>
    <xf numFmtId="0" fontId="18" fillId="0" borderId="14" xfId="0" applyFont="1" applyBorder="1"/>
    <xf numFmtId="170" fontId="18" fillId="0" borderId="21" xfId="0" applyNumberFormat="1" applyFont="1" applyBorder="1" applyAlignment="1">
      <alignment horizontal="center"/>
    </xf>
    <xf numFmtId="0" fontId="21" fillId="3" borderId="1" xfId="0" applyFont="1" applyFill="1" applyBorder="1" applyAlignment="1">
      <alignment horizontal="center" vertical="center"/>
    </xf>
    <xf numFmtId="1" fontId="21" fillId="0" borderId="1"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18" fillId="3"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21" fillId="0" borderId="1" xfId="0" applyFont="1" applyBorder="1" applyAlignment="1">
      <alignment vertical="center" wrapText="1"/>
    </xf>
    <xf numFmtId="170" fontId="18" fillId="0" borderId="1" xfId="0" applyNumberFormat="1" applyFont="1" applyBorder="1" applyAlignment="1">
      <alignment horizontal="center" vertical="center"/>
    </xf>
    <xf numFmtId="9" fontId="18" fillId="0" borderId="1" xfId="0" applyNumberFormat="1" applyFont="1" applyBorder="1" applyAlignment="1">
      <alignment horizontal="center" vertical="center"/>
    </xf>
    <xf numFmtId="0" fontId="18" fillId="0" borderId="0" xfId="0" applyFont="1" applyAlignment="1">
      <alignment horizontal="center" vertical="center"/>
    </xf>
    <xf numFmtId="49" fontId="21" fillId="3" borderId="1" xfId="0" applyNumberFormat="1" applyFont="1" applyFill="1" applyBorder="1" applyAlignment="1">
      <alignment horizontal="center" vertical="center"/>
    </xf>
    <xf numFmtId="0" fontId="18" fillId="3" borderId="1" xfId="0" applyFont="1" applyFill="1" applyBorder="1" applyAlignment="1">
      <alignment vertical="center" wrapText="1"/>
    </xf>
    <xf numFmtId="0" fontId="17" fillId="0" borderId="23" xfId="0" applyFont="1" applyBorder="1" applyAlignment="1">
      <alignment horizontal="center" vertical="center" wrapText="1"/>
    </xf>
    <xf numFmtId="0" fontId="18" fillId="3" borderId="0" xfId="0" applyFont="1" applyFill="1" applyAlignment="1">
      <alignment vertical="center"/>
    </xf>
    <xf numFmtId="0" fontId="18" fillId="0" borderId="0" xfId="0" applyFont="1" applyAlignment="1">
      <alignment vertical="center"/>
    </xf>
    <xf numFmtId="173" fontId="21" fillId="0" borderId="1" xfId="0" applyNumberFormat="1" applyFont="1" applyBorder="1" applyAlignment="1">
      <alignment vertical="center" wrapText="1"/>
    </xf>
    <xf numFmtId="9" fontId="18" fillId="0" borderId="1" xfId="0" applyNumberFormat="1" applyFont="1" applyBorder="1" applyAlignment="1">
      <alignment vertical="center"/>
    </xf>
    <xf numFmtId="173" fontId="18" fillId="0" borderId="1" xfId="0" applyNumberFormat="1" applyFont="1" applyBorder="1" applyAlignment="1">
      <alignment vertical="center"/>
    </xf>
    <xf numFmtId="0" fontId="18" fillId="0" borderId="1" xfId="0" applyFont="1" applyBorder="1" applyAlignment="1">
      <alignment vertical="center"/>
    </xf>
    <xf numFmtId="0" fontId="18" fillId="0" borderId="1" xfId="0" applyFont="1" applyBorder="1" applyAlignment="1">
      <alignment vertical="center" wrapText="1"/>
    </xf>
    <xf numFmtId="0" fontId="21" fillId="3" borderId="1" xfId="0" applyFont="1" applyFill="1" applyBorder="1" applyAlignment="1">
      <alignment horizontal="center" vertical="center" wrapText="1"/>
    </xf>
    <xf numFmtId="173" fontId="22" fillId="0" borderId="1" xfId="0" applyNumberFormat="1" applyFont="1" applyBorder="1" applyAlignment="1">
      <alignment vertical="center"/>
    </xf>
    <xf numFmtId="173" fontId="20" fillId="0" borderId="1" xfId="0" applyNumberFormat="1" applyFont="1" applyBorder="1" applyAlignment="1">
      <alignment vertical="center"/>
    </xf>
    <xf numFmtId="0" fontId="21" fillId="3" borderId="1" xfId="0" applyFont="1" applyFill="1" applyBorder="1" applyAlignment="1">
      <alignment horizontal="left" vertical="center" wrapText="1"/>
    </xf>
    <xf numFmtId="173" fontId="21" fillId="0" borderId="1" xfId="0" applyNumberFormat="1" applyFont="1" applyBorder="1" applyAlignment="1">
      <alignment horizontal="center" vertical="center" wrapText="1"/>
    </xf>
    <xf numFmtId="173" fontId="18" fillId="5" borderId="1" xfId="0" applyNumberFormat="1" applyFont="1" applyFill="1" applyBorder="1" applyAlignment="1">
      <alignment vertical="center"/>
    </xf>
    <xf numFmtId="0" fontId="21" fillId="5" borderId="1" xfId="0" applyFont="1" applyFill="1" applyBorder="1" applyAlignment="1">
      <alignment horizontal="center" vertical="center" wrapText="1"/>
    </xf>
    <xf numFmtId="0" fontId="18" fillId="5" borderId="1" xfId="0" applyFont="1" applyFill="1" applyBorder="1" applyAlignment="1">
      <alignment vertical="center" wrapText="1"/>
    </xf>
    <xf numFmtId="9" fontId="18" fillId="5" borderId="1" xfId="0" applyNumberFormat="1" applyFont="1" applyFill="1" applyBorder="1" applyAlignment="1">
      <alignment vertical="center"/>
    </xf>
    <xf numFmtId="0" fontId="18" fillId="5" borderId="1" xfId="0" applyFont="1" applyFill="1" applyBorder="1" applyAlignment="1">
      <alignment vertical="center"/>
    </xf>
    <xf numFmtId="0" fontId="18" fillId="5" borderId="0" xfId="0" applyFont="1" applyFill="1" applyAlignment="1">
      <alignment vertical="center"/>
    </xf>
    <xf numFmtId="0" fontId="0" fillId="3" borderId="1" xfId="0" applyFill="1" applyBorder="1" applyAlignment="1">
      <alignment horizontal="center" vertical="center"/>
    </xf>
    <xf numFmtId="0" fontId="25" fillId="0" borderId="1" xfId="0" applyFont="1" applyBorder="1" applyAlignment="1">
      <alignment horizontal="center" vertical="center" wrapText="1"/>
    </xf>
    <xf numFmtId="0" fontId="7" fillId="0" borderId="1" xfId="0" applyFont="1" applyBorder="1" applyAlignment="1">
      <alignment horizontal="left" vertical="center" wrapText="1"/>
    </xf>
    <xf numFmtId="0" fontId="9" fillId="0" borderId="1" xfId="0" applyFont="1" applyBorder="1" applyAlignment="1">
      <alignment horizontal="center" vertical="center"/>
    </xf>
    <xf numFmtId="49" fontId="4" fillId="3"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1" fontId="26" fillId="0" borderId="1" xfId="0" applyNumberFormat="1" applyFont="1" applyBorder="1" applyAlignment="1">
      <alignment horizontal="left"/>
    </xf>
    <xf numFmtId="1" fontId="6" fillId="0" borderId="1" xfId="0" applyNumberFormat="1" applyFont="1" applyBorder="1" applyAlignment="1">
      <alignment horizontal="center"/>
    </xf>
    <xf numFmtId="170" fontId="0" fillId="0" borderId="1" xfId="0" applyNumberFormat="1" applyBorder="1" applyAlignment="1">
      <alignment horizontal="center"/>
    </xf>
    <xf numFmtId="9" fontId="0" fillId="0" borderId="1" xfId="0" applyNumberFormat="1" applyBorder="1" applyAlignment="1">
      <alignment horizontal="center"/>
    </xf>
    <xf numFmtId="1" fontId="2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49" fontId="13" fillId="0" borderId="1" xfId="0" applyNumberFormat="1" applyFont="1" applyBorder="1" applyAlignment="1">
      <alignment horizontal="center" vertical="center" wrapText="1"/>
    </xf>
    <xf numFmtId="49" fontId="13" fillId="0" borderId="1" xfId="0" applyNumberFormat="1" applyFont="1" applyBorder="1" applyAlignment="1">
      <alignment horizontal="center" vertical="center"/>
    </xf>
    <xf numFmtId="0" fontId="14" fillId="3"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center"/>
    </xf>
    <xf numFmtId="0" fontId="4" fillId="0" borderId="1" xfId="0" applyFont="1" applyBorder="1" applyAlignment="1">
      <alignment horizontal="center"/>
    </xf>
    <xf numFmtId="3" fontId="5" fillId="0" borderId="1" xfId="0" applyNumberFormat="1" applyFont="1" applyBorder="1" applyAlignment="1">
      <alignment horizontal="left" vertical="center" wrapText="1"/>
    </xf>
    <xf numFmtId="3" fontId="5" fillId="0" borderId="1" xfId="0" applyNumberFormat="1" applyFont="1" applyBorder="1" applyAlignment="1">
      <alignment horizontal="center" vertical="center" wrapText="1"/>
    </xf>
    <xf numFmtId="175" fontId="0" fillId="0" borderId="1" xfId="0" applyNumberFormat="1" applyBorder="1"/>
    <xf numFmtId="9" fontId="0" fillId="0" borderId="1" xfId="0" applyNumberFormat="1" applyBorder="1"/>
    <xf numFmtId="175" fontId="0" fillId="0" borderId="1" xfId="7" applyNumberFormat="1" applyFont="1" applyBorder="1"/>
    <xf numFmtId="0" fontId="28" fillId="0" borderId="1" xfId="0" applyFont="1" applyBorder="1" applyAlignment="1">
      <alignment horizontal="center" vertical="center" wrapText="1"/>
    </xf>
    <xf numFmtId="0" fontId="28" fillId="0" borderId="1" xfId="0" applyFont="1" applyBorder="1" applyAlignment="1">
      <alignment horizontal="center" vertical="center"/>
    </xf>
    <xf numFmtId="0" fontId="8" fillId="0" borderId="1" xfId="0" applyFont="1" applyBorder="1" applyAlignment="1">
      <alignment horizontal="center"/>
    </xf>
    <xf numFmtId="0" fontId="5" fillId="0" borderId="1" xfId="0" applyFont="1" applyBorder="1" applyAlignment="1">
      <alignment horizontal="center" vertical="center" wrapText="1"/>
    </xf>
    <xf numFmtId="0" fontId="30" fillId="0" borderId="1" xfId="0" applyFont="1" applyBorder="1" applyAlignment="1">
      <alignment horizontal="center" vertical="center"/>
    </xf>
    <xf numFmtId="0" fontId="30" fillId="0" borderId="1" xfId="0" applyFont="1" applyBorder="1" applyAlignment="1">
      <alignment horizontal="left" vertical="center"/>
    </xf>
    <xf numFmtId="49" fontId="31" fillId="0" borderId="1" xfId="0" applyNumberFormat="1" applyFont="1" applyBorder="1" applyAlignment="1">
      <alignment horizontal="center" vertical="center"/>
    </xf>
    <xf numFmtId="0" fontId="31" fillId="0" borderId="1" xfId="0" applyFont="1" applyBorder="1" applyAlignment="1">
      <alignment horizontal="center" vertical="center"/>
    </xf>
    <xf numFmtId="0" fontId="30" fillId="0" borderId="1" xfId="0" applyFont="1" applyBorder="1" applyAlignment="1">
      <alignment horizontal="left" vertical="center" wrapText="1"/>
    </xf>
    <xf numFmtId="0" fontId="31" fillId="0" borderId="1" xfId="0" applyFont="1" applyBorder="1" applyAlignment="1">
      <alignment horizontal="lef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49" fontId="30" fillId="0" borderId="1" xfId="0" applyNumberFormat="1" applyFont="1" applyBorder="1" applyAlignment="1">
      <alignment horizontal="center" vertical="center"/>
    </xf>
    <xf numFmtId="0" fontId="31" fillId="0" borderId="1" xfId="0" applyFont="1" applyBorder="1" applyAlignment="1">
      <alignment horizontal="left" vertical="center"/>
    </xf>
    <xf numFmtId="1" fontId="30" fillId="0" borderId="1" xfId="0" applyNumberFormat="1" applyFont="1" applyBorder="1" applyAlignment="1">
      <alignment horizontal="left" vertical="center" wrapText="1"/>
    </xf>
    <xf numFmtId="0" fontId="31" fillId="0" borderId="1" xfId="0" applyFont="1" applyBorder="1" applyAlignment="1">
      <alignment horizontal="left" wrapText="1"/>
    </xf>
    <xf numFmtId="49" fontId="31" fillId="0" borderId="1" xfId="0" applyNumberFormat="1" applyFont="1" applyBorder="1" applyAlignment="1">
      <alignment horizontal="center"/>
    </xf>
    <xf numFmtId="176" fontId="31" fillId="0" borderId="1" xfId="7" applyNumberFormat="1" applyFont="1" applyFill="1" applyBorder="1" applyAlignment="1">
      <alignment horizontal="center" vertical="center"/>
    </xf>
    <xf numFmtId="9" fontId="31" fillId="6" borderId="1" xfId="0" applyNumberFormat="1" applyFont="1" applyFill="1" applyBorder="1" applyAlignment="1">
      <alignment horizontal="center" vertical="center"/>
    </xf>
    <xf numFmtId="0" fontId="31" fillId="7" borderId="1" xfId="0" applyFont="1" applyFill="1" applyBorder="1" applyAlignment="1">
      <alignment horizontal="center" wrapText="1"/>
    </xf>
    <xf numFmtId="0" fontId="33" fillId="0" borderId="1" xfId="0" applyFont="1" applyBorder="1" applyAlignment="1">
      <alignment horizontal="center" wrapText="1"/>
    </xf>
    <xf numFmtId="0" fontId="31" fillId="0" borderId="1" xfId="0" applyFont="1" applyBorder="1" applyAlignment="1">
      <alignment horizontal="center" wrapText="1"/>
    </xf>
    <xf numFmtId="0" fontId="33" fillId="0" borderId="1" xfId="0" applyFont="1" applyBorder="1" applyAlignment="1">
      <alignment wrapText="1"/>
    </xf>
    <xf numFmtId="0" fontId="31" fillId="0" borderId="1" xfId="0" applyFont="1" applyBorder="1" applyAlignment="1">
      <alignment wrapText="1"/>
    </xf>
    <xf numFmtId="0" fontId="33" fillId="0" borderId="1" xfId="0" applyFont="1" applyBorder="1" applyAlignment="1">
      <alignment horizontal="center" vertical="center" wrapText="1"/>
    </xf>
    <xf numFmtId="0" fontId="33" fillId="7" borderId="1" xfId="0" applyFont="1" applyFill="1" applyBorder="1" applyAlignment="1">
      <alignment wrapText="1"/>
    </xf>
    <xf numFmtId="0" fontId="31" fillId="7" borderId="1" xfId="0" applyFont="1" applyFill="1" applyBorder="1" applyAlignment="1">
      <alignment horizontal="center" vertical="center" wrapText="1"/>
    </xf>
    <xf numFmtId="0" fontId="33" fillId="7" borderId="1" xfId="0" applyFont="1" applyFill="1" applyBorder="1" applyAlignment="1">
      <alignment horizontal="center" wrapText="1"/>
    </xf>
    <xf numFmtId="0" fontId="33" fillId="0" borderId="1" xfId="0" applyFont="1" applyBorder="1" applyAlignment="1">
      <alignment horizontal="center" vertical="top" wrapText="1"/>
    </xf>
    <xf numFmtId="0" fontId="30" fillId="3" borderId="1" xfId="0" applyFont="1" applyFill="1" applyBorder="1" applyAlignment="1">
      <alignment horizontal="center" vertical="center"/>
    </xf>
    <xf numFmtId="0" fontId="31" fillId="0" borderId="1" xfId="0" applyFont="1" applyBorder="1" applyAlignment="1">
      <alignment horizontal="justify" vertical="center" wrapText="1"/>
    </xf>
    <xf numFmtId="0" fontId="33" fillId="3" borderId="1" xfId="0" applyFont="1" applyFill="1" applyBorder="1" applyAlignment="1">
      <alignment horizontal="left" wrapText="1"/>
    </xf>
    <xf numFmtId="176" fontId="30" fillId="0" borderId="1" xfId="7" applyNumberFormat="1" applyFont="1" applyFill="1" applyBorder="1" applyAlignment="1">
      <alignment horizontal="center" vertical="center" wrapText="1"/>
    </xf>
    <xf numFmtId="168" fontId="30" fillId="3" borderId="1" xfId="7" applyNumberFormat="1" applyFont="1" applyFill="1" applyBorder="1" applyAlignment="1">
      <alignment horizontal="center" vertical="center" wrapText="1"/>
    </xf>
    <xf numFmtId="176" fontId="30" fillId="3" borderId="1" xfId="7" applyNumberFormat="1" applyFont="1" applyFill="1" applyBorder="1" applyAlignment="1">
      <alignment horizontal="center" vertical="center" wrapText="1"/>
    </xf>
    <xf numFmtId="176" fontId="34" fillId="3" borderId="1" xfId="7" applyNumberFormat="1" applyFont="1" applyFill="1" applyBorder="1" applyAlignment="1">
      <alignment horizontal="center" vertical="center" wrapText="1"/>
    </xf>
    <xf numFmtId="0" fontId="31" fillId="3" borderId="1"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33" fillId="3" borderId="1" xfId="0" applyFont="1" applyFill="1" applyBorder="1" applyAlignment="1">
      <alignment horizontal="center" vertical="center"/>
    </xf>
    <xf numFmtId="176" fontId="30" fillId="3" borderId="1" xfId="0" applyNumberFormat="1" applyFont="1" applyFill="1" applyBorder="1" applyAlignment="1">
      <alignment horizontal="center" vertical="center" wrapText="1"/>
    </xf>
    <xf numFmtId="49" fontId="30" fillId="3" borderId="1" xfId="0" applyNumberFormat="1" applyFont="1" applyFill="1" applyBorder="1" applyAlignment="1">
      <alignment horizontal="center" vertical="center" wrapText="1"/>
    </xf>
    <xf numFmtId="176" fontId="0" fillId="0" borderId="1" xfId="0" applyNumberFormat="1" applyBorder="1"/>
    <xf numFmtId="170" fontId="0" fillId="0" borderId="1" xfId="0" applyNumberFormat="1" applyBorder="1"/>
    <xf numFmtId="170" fontId="0" fillId="0" borderId="1" xfId="0" applyNumberFormat="1" applyBorder="1" applyAlignment="1">
      <alignment vertical="center"/>
    </xf>
    <xf numFmtId="9" fontId="0" fillId="0" borderId="1" xfId="0" applyNumberFormat="1" applyBorder="1" applyAlignment="1">
      <alignment vertical="center"/>
    </xf>
    <xf numFmtId="176" fontId="0" fillId="0" borderId="1" xfId="0" applyNumberFormat="1" applyBorder="1" applyAlignment="1">
      <alignment vertical="center"/>
    </xf>
    <xf numFmtId="0" fontId="0" fillId="0" borderId="1" xfId="0" applyBorder="1" applyAlignment="1">
      <alignment vertical="center"/>
    </xf>
    <xf numFmtId="0" fontId="0" fillId="8" borderId="0" xfId="0" applyFill="1"/>
    <xf numFmtId="0" fontId="13" fillId="9" borderId="1" xfId="12" applyFont="1" applyFill="1" applyBorder="1" applyAlignment="1">
      <alignment horizontal="center" vertical="center"/>
    </xf>
    <xf numFmtId="49" fontId="0" fillId="3" borderId="1" xfId="0" applyNumberFormat="1" applyFill="1" applyBorder="1" applyAlignment="1">
      <alignment horizontal="center" vertical="center"/>
    </xf>
    <xf numFmtId="49" fontId="12" fillId="3" borderId="1"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3" borderId="1" xfId="0" applyFont="1" applyFill="1" applyBorder="1" applyAlignment="1">
      <alignment horizontal="center" vertical="center"/>
    </xf>
    <xf numFmtId="49" fontId="4" fillId="3" borderId="1" xfId="0" applyNumberFormat="1" applyFont="1" applyFill="1" applyBorder="1" applyAlignment="1">
      <alignment horizontal="center" vertical="center"/>
    </xf>
    <xf numFmtId="0" fontId="1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49" fontId="4" fillId="3" borderId="1" xfId="0" applyNumberFormat="1" applyFont="1" applyFill="1" applyBorder="1" applyAlignment="1">
      <alignment horizontal="left" vertical="center"/>
    </xf>
    <xf numFmtId="0" fontId="4" fillId="3" borderId="1" xfId="0" applyFont="1" applyFill="1" applyBorder="1" applyAlignment="1">
      <alignment horizontal="left" vertical="center"/>
    </xf>
    <xf numFmtId="170" fontId="0" fillId="3" borderId="1" xfId="0" applyNumberFormat="1" applyFill="1" applyBorder="1" applyAlignment="1">
      <alignment horizontal="center" vertical="center" wrapText="1"/>
    </xf>
    <xf numFmtId="9" fontId="0" fillId="3" borderId="1" xfId="0" applyNumberFormat="1" applyFill="1" applyBorder="1" applyAlignment="1">
      <alignment horizontal="center" vertical="center"/>
    </xf>
    <xf numFmtId="170" fontId="0" fillId="3" borderId="1" xfId="0" applyNumberFormat="1" applyFill="1" applyBorder="1" applyAlignment="1">
      <alignment horizontal="center" vertical="center"/>
    </xf>
    <xf numFmtId="170" fontId="0" fillId="3" borderId="1" xfId="0" applyNumberFormat="1" applyFill="1" applyBorder="1" applyAlignment="1">
      <alignment vertical="center"/>
    </xf>
    <xf numFmtId="0" fontId="0" fillId="3" borderId="0" xfId="0" applyFill="1"/>
    <xf numFmtId="42" fontId="18" fillId="0" borderId="1" xfId="0" applyNumberFormat="1" applyFont="1" applyBorder="1" applyAlignment="1">
      <alignment vertical="center"/>
    </xf>
    <xf numFmtId="0" fontId="21" fillId="0" borderId="0" xfId="0" applyFont="1" applyAlignment="1">
      <alignment vertical="center"/>
    </xf>
    <xf numFmtId="169" fontId="17" fillId="2" borderId="19" xfId="5" applyNumberFormat="1" applyFont="1" applyFill="1" applyBorder="1" applyAlignment="1">
      <alignment horizontal="center" vertical="center" wrapText="1"/>
    </xf>
    <xf numFmtId="170" fontId="20" fillId="0" borderId="14" xfId="0" applyNumberFormat="1" applyFont="1" applyBorder="1" applyAlignment="1">
      <alignment horizontal="center" vertical="center"/>
    </xf>
    <xf numFmtId="175" fontId="0" fillId="0" borderId="1" xfId="0" applyNumberFormat="1" applyBorder="1" applyAlignment="1">
      <alignment vertical="center"/>
    </xf>
    <xf numFmtId="0" fontId="0" fillId="0" borderId="0" xfId="0" applyAlignment="1">
      <alignment vertical="center"/>
    </xf>
    <xf numFmtId="173" fontId="0" fillId="0" borderId="1" xfId="0" applyNumberFormat="1" applyBorder="1" applyAlignment="1">
      <alignment vertical="center"/>
    </xf>
    <xf numFmtId="176" fontId="31" fillId="0" borderId="1" xfId="0" applyNumberFormat="1" applyFont="1" applyBorder="1" applyAlignment="1">
      <alignment vertical="center"/>
    </xf>
    <xf numFmtId="176" fontId="0" fillId="0" borderId="0" xfId="0" applyNumberFormat="1" applyAlignment="1">
      <alignment vertical="center"/>
    </xf>
    <xf numFmtId="170" fontId="19" fillId="0" borderId="1" xfId="0" applyNumberFormat="1" applyFont="1" applyBorder="1" applyAlignment="1">
      <alignment horizontal="center" vertical="center"/>
    </xf>
    <xf numFmtId="172" fontId="18" fillId="0" borderId="1" xfId="2" applyNumberFormat="1" applyFont="1" applyFill="1" applyBorder="1" applyAlignment="1">
      <alignment vertical="center"/>
    </xf>
    <xf numFmtId="174" fontId="18" fillId="0" borderId="14" xfId="7" applyNumberFormat="1" applyFont="1" applyFill="1" applyBorder="1" applyAlignment="1">
      <alignment horizontal="center" vertical="center"/>
    </xf>
    <xf numFmtId="9" fontId="20" fillId="0" borderId="14" xfId="0" applyNumberFormat="1" applyFont="1" applyBorder="1" applyAlignment="1">
      <alignment horizontal="center" vertical="center"/>
    </xf>
    <xf numFmtId="174" fontId="18" fillId="0" borderId="14" xfId="7" applyNumberFormat="1" applyFont="1" applyFill="1" applyBorder="1" applyAlignment="1">
      <alignment vertical="center"/>
    </xf>
    <xf numFmtId="9" fontId="0" fillId="0" borderId="1" xfId="0" applyNumberFormat="1" applyBorder="1" applyAlignment="1">
      <alignment horizontal="center" vertical="center"/>
    </xf>
    <xf numFmtId="0" fontId="33"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39" fillId="3" borderId="1" xfId="0" applyFont="1" applyFill="1" applyBorder="1" applyAlignment="1">
      <alignment horizontal="center" vertical="center"/>
    </xf>
    <xf numFmtId="0" fontId="0" fillId="3" borderId="1" xfId="0" applyFill="1" applyBorder="1" applyAlignment="1">
      <alignment vertical="center" wrapText="1"/>
    </xf>
    <xf numFmtId="49" fontId="31" fillId="0" borderId="1" xfId="0" applyNumberFormat="1" applyFont="1" applyBorder="1" applyAlignment="1">
      <alignment horizontal="left" vertical="center" wrapText="1"/>
    </xf>
    <xf numFmtId="0" fontId="30" fillId="3" borderId="1" xfId="0" applyFont="1" applyFill="1" applyBorder="1" applyAlignment="1">
      <alignment horizontal="left" vertical="center" wrapText="1"/>
    </xf>
    <xf numFmtId="49" fontId="30" fillId="0" borderId="1" xfId="0" applyNumberFormat="1" applyFont="1" applyBorder="1" applyAlignment="1">
      <alignment horizontal="left" vertical="center" wrapText="1"/>
    </xf>
    <xf numFmtId="49" fontId="31" fillId="0" borderId="1" xfId="0" applyNumberFormat="1" applyFont="1" applyBorder="1" applyAlignment="1">
      <alignment horizontal="left" wrapText="1"/>
    </xf>
    <xf numFmtId="0" fontId="30" fillId="3" borderId="1" xfId="0" applyFont="1" applyFill="1" applyBorder="1" applyAlignment="1">
      <alignment horizontal="left" wrapText="1"/>
    </xf>
    <xf numFmtId="0" fontId="30" fillId="3" borderId="1" xfId="8" applyFont="1" applyFill="1" applyBorder="1" applyAlignment="1">
      <alignment horizontal="left" vertical="center" wrapText="1"/>
    </xf>
    <xf numFmtId="176" fontId="30" fillId="0" borderId="1" xfId="0" applyNumberFormat="1" applyFont="1" applyBorder="1" applyAlignment="1">
      <alignment horizontal="center" vertical="center" wrapText="1"/>
    </xf>
    <xf numFmtId="49" fontId="31" fillId="0" borderId="1" xfId="0" applyNumberFormat="1" applyFont="1" applyBorder="1" applyAlignment="1">
      <alignment horizontal="center" vertical="center" wrapText="1"/>
    </xf>
    <xf numFmtId="176" fontId="31" fillId="0" borderId="1" xfId="7" applyNumberFormat="1" applyFont="1" applyBorder="1" applyAlignment="1">
      <alignment horizontal="center" vertical="center" wrapText="1"/>
    </xf>
    <xf numFmtId="176" fontId="31" fillId="0" borderId="1" xfId="0" applyNumberFormat="1" applyFont="1" applyBorder="1" applyAlignment="1">
      <alignment horizontal="center" vertical="center" wrapText="1"/>
    </xf>
    <xf numFmtId="176" fontId="31" fillId="0" borderId="1" xfId="0" applyNumberFormat="1" applyFont="1" applyBorder="1" applyAlignment="1">
      <alignment wrapText="1"/>
    </xf>
    <xf numFmtId="176" fontId="0" fillId="0" borderId="0" xfId="0" applyNumberFormat="1"/>
    <xf numFmtId="0" fontId="32" fillId="0" borderId="1" xfId="0" applyFont="1" applyBorder="1" applyAlignment="1">
      <alignment horizontal="center" vertical="center" wrapText="1"/>
    </xf>
    <xf numFmtId="176" fontId="31" fillId="0" borderId="1" xfId="0" applyNumberFormat="1" applyFont="1" applyBorder="1" applyAlignment="1">
      <alignment horizontal="center" vertical="center"/>
    </xf>
    <xf numFmtId="49" fontId="31" fillId="3" borderId="1" xfId="0" applyNumberFormat="1" applyFont="1" applyFill="1" applyBorder="1"/>
    <xf numFmtId="0" fontId="30" fillId="3" borderId="1" xfId="0" applyFont="1" applyFill="1" applyBorder="1" applyAlignment="1">
      <alignment horizontal="left" vertical="center"/>
    </xf>
    <xf numFmtId="49" fontId="30" fillId="3" borderId="1" xfId="0" applyNumberFormat="1" applyFont="1" applyFill="1" applyBorder="1"/>
    <xf numFmtId="49" fontId="31" fillId="0" borderId="1" xfId="0" applyNumberFormat="1" applyFont="1" applyBorder="1" applyAlignment="1">
      <alignment horizontal="left"/>
    </xf>
    <xf numFmtId="168" fontId="30" fillId="3" borderId="1" xfId="7" applyNumberFormat="1" applyFont="1" applyFill="1" applyBorder="1" applyAlignment="1">
      <alignment horizontal="center" vertical="center"/>
    </xf>
    <xf numFmtId="0" fontId="33" fillId="3" borderId="1" xfId="0" applyFont="1" applyFill="1" applyBorder="1" applyAlignment="1">
      <alignment horizontal="left" vertical="center" wrapText="1"/>
    </xf>
    <xf numFmtId="170" fontId="0" fillId="3" borderId="1" xfId="13" applyNumberFormat="1" applyFont="1" applyFill="1" applyBorder="1" applyAlignment="1">
      <alignment horizontal="right" vertical="center" wrapText="1"/>
    </xf>
    <xf numFmtId="173" fontId="0" fillId="0" borderId="0" xfId="0" applyNumberFormat="1" applyAlignment="1">
      <alignment vertical="center"/>
    </xf>
    <xf numFmtId="173" fontId="17" fillId="2" borderId="1" xfId="4" applyNumberFormat="1" applyFont="1" applyFill="1" applyBorder="1" applyAlignment="1">
      <alignment horizontal="center" vertical="center" wrapText="1"/>
    </xf>
    <xf numFmtId="173" fontId="19" fillId="0" borderId="1" xfId="0" applyNumberFormat="1" applyFont="1" applyBorder="1" applyAlignment="1">
      <alignment horizontal="center" vertical="center"/>
    </xf>
    <xf numFmtId="173" fontId="18" fillId="0" borderId="0" xfId="0" applyNumberFormat="1" applyFont="1" applyAlignment="1">
      <alignment vertical="center"/>
    </xf>
    <xf numFmtId="173" fontId="17" fillId="2" borderId="1" xfId="0" applyNumberFormat="1" applyFont="1" applyFill="1" applyBorder="1" applyAlignment="1">
      <alignment horizontal="center" vertical="center" wrapText="1"/>
    </xf>
    <xf numFmtId="173" fontId="18" fillId="0" borderId="1" xfId="0" applyNumberFormat="1" applyFont="1" applyBorder="1" applyAlignment="1">
      <alignment horizontal="center" vertical="center"/>
    </xf>
    <xf numFmtId="173" fontId="21" fillId="0" borderId="0" xfId="0" applyNumberFormat="1" applyFont="1" applyAlignment="1">
      <alignment vertical="center"/>
    </xf>
    <xf numFmtId="173" fontId="17" fillId="2" borderId="19" xfId="5" applyNumberFormat="1" applyFont="1" applyFill="1" applyBorder="1" applyAlignment="1">
      <alignment horizontal="center" vertical="center" wrapText="1"/>
    </xf>
    <xf numFmtId="173" fontId="20" fillId="0" borderId="14" xfId="0" applyNumberFormat="1" applyFont="1" applyBorder="1" applyAlignment="1">
      <alignment horizontal="center" vertical="center" wrapText="1"/>
    </xf>
    <xf numFmtId="173" fontId="17" fillId="2" borderId="1" xfId="5" applyNumberFormat="1" applyFont="1" applyFill="1" applyBorder="1" applyAlignment="1">
      <alignment horizontal="center" vertical="center" wrapText="1"/>
    </xf>
    <xf numFmtId="0" fontId="8" fillId="9" borderId="1" xfId="12" applyFont="1" applyFill="1" applyBorder="1" applyAlignment="1">
      <alignment horizontal="center" vertical="center"/>
    </xf>
    <xf numFmtId="49" fontId="35" fillId="3" borderId="1" xfId="0" applyNumberFormat="1" applyFont="1" applyFill="1" applyBorder="1" applyAlignment="1">
      <alignment horizontal="center" vertical="center"/>
    </xf>
    <xf numFmtId="49" fontId="7" fillId="3" borderId="1" xfId="0" applyNumberFormat="1" applyFont="1" applyFill="1" applyBorder="1" applyAlignment="1">
      <alignment horizontal="center" vertical="center"/>
    </xf>
    <xf numFmtId="0" fontId="8" fillId="3" borderId="1" xfId="0" applyFont="1" applyFill="1" applyBorder="1" applyAlignment="1">
      <alignment horizontal="center" vertical="center"/>
    </xf>
    <xf numFmtId="9" fontId="35" fillId="3" borderId="1" xfId="0" applyNumberFormat="1" applyFont="1" applyFill="1" applyBorder="1" applyAlignment="1">
      <alignment horizontal="center" vertical="center"/>
    </xf>
    <xf numFmtId="170" fontId="35" fillId="3" borderId="1" xfId="0" applyNumberFormat="1" applyFont="1" applyFill="1" applyBorder="1" applyAlignment="1">
      <alignment horizontal="center" vertical="center"/>
    </xf>
    <xf numFmtId="0" fontId="8"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178" fontId="7" fillId="3" borderId="1" xfId="7" applyNumberFormat="1" applyFont="1" applyFill="1" applyBorder="1" applyAlignment="1">
      <alignment horizontal="center" vertical="center" wrapText="1"/>
    </xf>
    <xf numFmtId="0" fontId="35" fillId="3" borderId="1" xfId="0" applyFont="1" applyFill="1" applyBorder="1" applyAlignment="1">
      <alignment horizontal="center" vertical="center"/>
    </xf>
    <xf numFmtId="0" fontId="45" fillId="3" borderId="1" xfId="0" applyFont="1" applyFill="1" applyBorder="1" applyAlignment="1">
      <alignment horizontal="center" vertical="center"/>
    </xf>
    <xf numFmtId="49" fontId="46" fillId="3" borderId="1" xfId="0" applyNumberFormat="1" applyFont="1" applyFill="1" applyBorder="1" applyAlignment="1">
      <alignment horizontal="center" vertical="center"/>
    </xf>
    <xf numFmtId="0" fontId="46" fillId="3" borderId="1" xfId="0" applyFont="1" applyFill="1" applyBorder="1" applyAlignment="1">
      <alignment horizontal="left" vertical="center" wrapText="1"/>
    </xf>
    <xf numFmtId="170" fontId="35" fillId="3" borderId="1" xfId="13" applyNumberFormat="1" applyFont="1" applyFill="1" applyBorder="1" applyAlignment="1">
      <alignment horizontal="center" vertical="center" wrapText="1"/>
    </xf>
    <xf numFmtId="170" fontId="35" fillId="3" borderId="1" xfId="0" applyNumberFormat="1" applyFont="1" applyFill="1" applyBorder="1" applyAlignment="1">
      <alignment horizontal="center" vertical="center" wrapText="1"/>
    </xf>
    <xf numFmtId="0" fontId="9" fillId="3" borderId="1" xfId="0" applyFont="1" applyFill="1" applyBorder="1" applyAlignment="1">
      <alignment horizontal="left" vertical="center"/>
    </xf>
    <xf numFmtId="0" fontId="7" fillId="3" borderId="1" xfId="0" applyFont="1" applyFill="1" applyBorder="1" applyAlignment="1">
      <alignment horizontal="left" vertical="center" wrapText="1"/>
    </xf>
    <xf numFmtId="0" fontId="35" fillId="3" borderId="1" xfId="0" applyFont="1" applyFill="1" applyBorder="1" applyAlignment="1">
      <alignment horizontal="center" vertical="center" wrapText="1"/>
    </xf>
    <xf numFmtId="0" fontId="7" fillId="3" borderId="1" xfId="0" applyFont="1" applyFill="1" applyBorder="1" applyAlignment="1">
      <alignment horizontal="left" vertical="center"/>
    </xf>
    <xf numFmtId="0" fontId="18" fillId="3" borderId="1" xfId="0" applyFont="1" applyFill="1" applyBorder="1" applyAlignment="1">
      <alignment horizontal="left" vertical="center"/>
    </xf>
    <xf numFmtId="49" fontId="31" fillId="0" borderId="1" xfId="0" applyNumberFormat="1" applyFont="1" applyBorder="1" applyAlignment="1">
      <alignment horizontal="left" vertical="center"/>
    </xf>
    <xf numFmtId="49" fontId="30" fillId="0" borderId="1" xfId="0" applyNumberFormat="1" applyFont="1" applyBorder="1" applyAlignment="1">
      <alignment horizontal="left" vertical="center"/>
    </xf>
    <xf numFmtId="1" fontId="30" fillId="0" borderId="1" xfId="0" applyNumberFormat="1" applyFont="1" applyBorder="1" applyAlignment="1">
      <alignment horizontal="left" vertical="center"/>
    </xf>
    <xf numFmtId="0" fontId="30" fillId="3" borderId="1" xfId="0" applyFont="1" applyFill="1" applyBorder="1" applyAlignment="1">
      <alignment horizontal="left"/>
    </xf>
    <xf numFmtId="0" fontId="30" fillId="3" borderId="1" xfId="8" applyFont="1" applyFill="1" applyBorder="1" applyAlignment="1">
      <alignment horizontal="left" vertical="center"/>
    </xf>
    <xf numFmtId="9" fontId="30" fillId="6" borderId="1" xfId="0" applyNumberFormat="1" applyFont="1" applyFill="1" applyBorder="1" applyAlignment="1">
      <alignment horizontal="center" vertical="center" wrapText="1"/>
    </xf>
    <xf numFmtId="176" fontId="31" fillId="0" borderId="1" xfId="7" applyNumberFormat="1" applyFont="1" applyBorder="1" applyAlignment="1">
      <alignment horizontal="center" vertical="center"/>
    </xf>
    <xf numFmtId="176" fontId="31" fillId="10" borderId="1" xfId="0" applyNumberFormat="1" applyFont="1" applyFill="1" applyBorder="1"/>
    <xf numFmtId="176" fontId="31" fillId="0" borderId="1" xfId="0" applyNumberFormat="1" applyFont="1" applyBorder="1"/>
    <xf numFmtId="0" fontId="31" fillId="10" borderId="1" xfId="0" applyFont="1" applyFill="1" applyBorder="1"/>
    <xf numFmtId="1" fontId="30" fillId="3" borderId="1" xfId="0" applyNumberFormat="1" applyFont="1" applyFill="1" applyBorder="1" applyAlignment="1">
      <alignment horizontal="center" vertical="center" wrapText="1"/>
    </xf>
    <xf numFmtId="3" fontId="42" fillId="3" borderId="1" xfId="0" applyNumberFormat="1" applyFont="1" applyFill="1" applyBorder="1" applyAlignment="1">
      <alignment horizontal="left" vertical="center" wrapText="1"/>
    </xf>
    <xf numFmtId="0" fontId="31" fillId="3" borderId="1" xfId="0" applyFont="1" applyFill="1" applyBorder="1" applyAlignment="1">
      <alignment horizontal="center"/>
    </xf>
    <xf numFmtId="0" fontId="31" fillId="3" borderId="1" xfId="0" applyFont="1" applyFill="1" applyBorder="1"/>
    <xf numFmtId="0" fontId="31" fillId="0" borderId="1" xfId="0" applyFont="1" applyBorder="1" applyAlignment="1">
      <alignment horizontal="center"/>
    </xf>
    <xf numFmtId="0" fontId="31" fillId="0" borderId="1" xfId="0" applyFont="1" applyBorder="1"/>
    <xf numFmtId="0" fontId="31" fillId="3" borderId="1" xfId="0" applyFont="1" applyFill="1" applyBorder="1" applyAlignment="1">
      <alignment horizontal="center" vertical="center"/>
    </xf>
    <xf numFmtId="0" fontId="31" fillId="3" borderId="1" xfId="0" applyFont="1" applyFill="1" applyBorder="1" applyAlignment="1">
      <alignment vertical="center"/>
    </xf>
    <xf numFmtId="0" fontId="31" fillId="0" borderId="1" xfId="0" applyFont="1" applyBorder="1" applyAlignment="1">
      <alignment vertical="center"/>
    </xf>
    <xf numFmtId="0" fontId="31" fillId="0" borderId="1" xfId="0" applyFont="1" applyBorder="1" applyAlignment="1">
      <alignment vertical="center" wrapText="1"/>
    </xf>
    <xf numFmtId="0" fontId="31" fillId="0" borderId="1" xfId="0" applyFont="1" applyBorder="1" applyAlignment="1">
      <alignment horizontal="left"/>
    </xf>
    <xf numFmtId="170" fontId="31" fillId="3" borderId="1" xfId="0" applyNumberFormat="1" applyFont="1" applyFill="1" applyBorder="1" applyAlignment="1">
      <alignment horizontal="center" vertical="center"/>
    </xf>
    <xf numFmtId="170" fontId="31" fillId="0" borderId="1" xfId="0" applyNumberFormat="1" applyFont="1" applyBorder="1" applyAlignment="1">
      <alignment horizontal="center" vertical="center"/>
    </xf>
    <xf numFmtId="170" fontId="31" fillId="3" borderId="1" xfId="0" applyNumberFormat="1" applyFont="1" applyFill="1" applyBorder="1" applyAlignment="1">
      <alignment horizontal="left" vertical="center" wrapText="1"/>
    </xf>
    <xf numFmtId="0" fontId="30" fillId="3" borderId="1" xfId="1" applyFont="1" applyFill="1" applyBorder="1" applyAlignment="1">
      <alignment horizontal="center" vertical="center" wrapText="1"/>
    </xf>
    <xf numFmtId="176" fontId="31" fillId="3" borderId="1" xfId="0" applyNumberFormat="1" applyFont="1" applyFill="1" applyBorder="1" applyAlignment="1">
      <alignment horizontal="center" vertical="center"/>
    </xf>
    <xf numFmtId="176" fontId="31" fillId="0" borderId="1" xfId="0" applyNumberFormat="1" applyFont="1" applyBorder="1" applyAlignment="1">
      <alignment horizontal="center"/>
    </xf>
    <xf numFmtId="0" fontId="31" fillId="0" borderId="1" xfId="0" applyFont="1" applyBorder="1" applyAlignment="1">
      <alignment vertical="top" wrapText="1"/>
    </xf>
    <xf numFmtId="6" fontId="31" fillId="0" borderId="1" xfId="0" applyNumberFormat="1" applyFont="1" applyBorder="1" applyAlignment="1">
      <alignment horizontal="center" vertical="center"/>
    </xf>
    <xf numFmtId="0" fontId="33" fillId="0" borderId="1" xfId="0" applyFont="1" applyBorder="1"/>
    <xf numFmtId="0" fontId="31" fillId="7" borderId="8" xfId="0" applyFont="1" applyFill="1" applyBorder="1" applyAlignment="1">
      <alignment horizontal="center" wrapText="1"/>
    </xf>
    <xf numFmtId="0" fontId="33" fillId="3" borderId="1" xfId="0" applyFont="1" applyFill="1" applyBorder="1" applyAlignment="1">
      <alignment wrapText="1"/>
    </xf>
    <xf numFmtId="0" fontId="30" fillId="0" borderId="0" xfId="0" applyFont="1" applyAlignment="1">
      <alignment horizontal="center"/>
    </xf>
    <xf numFmtId="0" fontId="33" fillId="3" borderId="1" xfId="0" applyFont="1" applyFill="1" applyBorder="1" applyAlignment="1">
      <alignment horizontal="justify" vertical="center" wrapText="1"/>
    </xf>
    <xf numFmtId="176" fontId="31" fillId="0" borderId="4" xfId="2" applyNumberFormat="1" applyFont="1" applyBorder="1"/>
    <xf numFmtId="176" fontId="31" fillId="0" borderId="4" xfId="2" applyNumberFormat="1" applyFont="1" applyBorder="1" applyAlignment="1">
      <alignment vertical="center"/>
    </xf>
    <xf numFmtId="176" fontId="31" fillId="0" borderId="4" xfId="2" applyNumberFormat="1" applyFont="1" applyBorder="1" applyAlignment="1">
      <alignment horizontal="center" vertical="center"/>
    </xf>
    <xf numFmtId="172" fontId="0" fillId="0" borderId="1" xfId="7" applyNumberFormat="1" applyFont="1" applyBorder="1" applyAlignment="1">
      <alignment vertical="center"/>
    </xf>
    <xf numFmtId="172" fontId="0" fillId="3" borderId="1" xfId="7" applyNumberFormat="1" applyFont="1" applyFill="1" applyBorder="1" applyAlignment="1">
      <alignment vertical="center"/>
    </xf>
    <xf numFmtId="172" fontId="0" fillId="0" borderId="1" xfId="0" applyNumberFormat="1" applyBorder="1" applyAlignment="1">
      <alignment vertical="center"/>
    </xf>
    <xf numFmtId="9" fontId="0" fillId="0" borderId="1" xfId="0" applyNumberFormat="1" applyBorder="1" applyAlignment="1">
      <alignment horizontal="right" vertical="center" wrapText="1"/>
    </xf>
    <xf numFmtId="170" fontId="0" fillId="0" borderId="1" xfId="13" applyNumberFormat="1" applyFont="1" applyFill="1" applyBorder="1" applyAlignment="1">
      <alignment horizontal="right" vertical="center" wrapText="1"/>
    </xf>
    <xf numFmtId="0" fontId="37" fillId="0" borderId="1" xfId="0" applyFont="1" applyBorder="1" applyAlignment="1">
      <alignment horizontal="left" vertical="center" wrapText="1"/>
    </xf>
    <xf numFmtId="9" fontId="0" fillId="3" borderId="1" xfId="0" applyNumberFormat="1" applyFill="1" applyBorder="1" applyAlignment="1">
      <alignment horizontal="right" vertical="center" wrapText="1"/>
    </xf>
    <xf numFmtId="0" fontId="4" fillId="3" borderId="1" xfId="0" applyFont="1" applyFill="1" applyBorder="1" applyAlignment="1">
      <alignment horizontal="center" vertical="center"/>
    </xf>
    <xf numFmtId="170" fontId="0" fillId="0" borderId="1" xfId="0" applyNumberFormat="1" applyBorder="1" applyAlignment="1">
      <alignment horizontal="right" vertical="center" wrapText="1"/>
    </xf>
    <xf numFmtId="172" fontId="0" fillId="0" borderId="1" xfId="0" applyNumberFormat="1" applyBorder="1"/>
    <xf numFmtId="49" fontId="0" fillId="3" borderId="1" xfId="0" applyNumberFormat="1" applyFill="1" applyBorder="1" applyAlignment="1">
      <alignment horizontal="center" vertical="center" wrapText="1"/>
    </xf>
    <xf numFmtId="49" fontId="31" fillId="9" borderId="1" xfId="0" applyNumberFormat="1" applyFont="1" applyFill="1" applyBorder="1" applyAlignment="1">
      <alignment horizontal="center" vertical="center"/>
    </xf>
    <xf numFmtId="0" fontId="31" fillId="9" borderId="1" xfId="0" applyFont="1" applyFill="1" applyBorder="1" applyAlignment="1">
      <alignment horizontal="center" vertical="center" wrapText="1"/>
    </xf>
    <xf numFmtId="0" fontId="30" fillId="3" borderId="2" xfId="0" applyFont="1" applyFill="1" applyBorder="1" applyAlignment="1">
      <alignment horizontal="center" vertical="center" wrapText="1"/>
    </xf>
    <xf numFmtId="0" fontId="31" fillId="9" borderId="13" xfId="0" applyFont="1" applyFill="1" applyBorder="1" applyAlignment="1">
      <alignment horizontal="center" vertical="center"/>
    </xf>
    <xf numFmtId="0" fontId="31" fillId="0" borderId="13" xfId="0" applyFont="1" applyBorder="1" applyAlignment="1">
      <alignment horizontal="center"/>
    </xf>
    <xf numFmtId="0" fontId="31" fillId="0" borderId="14" xfId="0" applyFont="1" applyBorder="1" applyAlignment="1">
      <alignment horizontal="center" vertical="center" wrapText="1"/>
    </xf>
    <xf numFmtId="0" fontId="31" fillId="9" borderId="14" xfId="0" applyFont="1" applyFill="1" applyBorder="1" applyAlignment="1">
      <alignment horizontal="center" vertical="center" wrapText="1"/>
    </xf>
    <xf numFmtId="0" fontId="31" fillId="0" borderId="14" xfId="0" applyFont="1" applyBorder="1" applyAlignment="1">
      <alignment horizontal="center" vertical="center"/>
    </xf>
    <xf numFmtId="176" fontId="31" fillId="0" borderId="1" xfId="7" applyNumberFormat="1" applyFont="1" applyBorder="1" applyAlignment="1">
      <alignment vertical="center" wrapText="1"/>
    </xf>
    <xf numFmtId="176" fontId="31" fillId="0" borderId="14" xfId="0" applyNumberFormat="1" applyFont="1" applyBorder="1" applyAlignment="1">
      <alignment horizontal="center" vertical="center"/>
    </xf>
    <xf numFmtId="49" fontId="31" fillId="3" borderId="1" xfId="0" applyNumberFormat="1" applyFont="1" applyFill="1" applyBorder="1" applyAlignment="1">
      <alignment horizontal="center" vertical="center"/>
    </xf>
    <xf numFmtId="0" fontId="3" fillId="2" borderId="27" xfId="0" applyFont="1" applyFill="1" applyBorder="1" applyAlignment="1">
      <alignment horizontal="center"/>
    </xf>
    <xf numFmtId="0" fontId="3" fillId="2" borderId="32" xfId="0" applyFont="1" applyFill="1" applyBorder="1" applyAlignment="1">
      <alignment horizontal="center"/>
    </xf>
    <xf numFmtId="20" fontId="0" fillId="0" borderId="27" xfId="0" applyNumberFormat="1" applyBorder="1"/>
    <xf numFmtId="0" fontId="0" fillId="0" borderId="32" xfId="0" applyBorder="1"/>
    <xf numFmtId="20" fontId="3" fillId="0" borderId="27" xfId="0" applyNumberFormat="1" applyFont="1" applyBorder="1" applyAlignment="1">
      <alignment horizontal="right"/>
    </xf>
    <xf numFmtId="0" fontId="3" fillId="0" borderId="28" xfId="0" applyFont="1" applyBorder="1" applyAlignment="1">
      <alignment horizontal="right"/>
    </xf>
    <xf numFmtId="0" fontId="0" fillId="0" borderId="34" xfId="0" applyBorder="1"/>
    <xf numFmtId="172" fontId="0" fillId="0" borderId="1" xfId="7" applyNumberFormat="1" applyFont="1" applyBorder="1"/>
    <xf numFmtId="170" fontId="0" fillId="0" borderId="1" xfId="7" applyNumberFormat="1" applyFont="1" applyBorder="1"/>
    <xf numFmtId="170" fontId="0" fillId="0" borderId="33" xfId="7" applyNumberFormat="1" applyFont="1" applyBorder="1"/>
    <xf numFmtId="0" fontId="0" fillId="0" borderId="1" xfId="0" applyBorder="1" applyAlignment="1">
      <alignment horizontal="center"/>
    </xf>
    <xf numFmtId="0" fontId="31" fillId="8" borderId="1" xfId="0" applyFont="1" applyFill="1" applyBorder="1" applyAlignment="1">
      <alignment horizontal="center" vertical="center" wrapText="1"/>
    </xf>
    <xf numFmtId="3" fontId="31" fillId="8" borderId="1" xfId="0" applyNumberFormat="1" applyFont="1" applyFill="1" applyBorder="1" applyAlignment="1">
      <alignment horizontal="center" vertical="center" wrapText="1"/>
    </xf>
    <xf numFmtId="170" fontId="3" fillId="11" borderId="1" xfId="0" applyNumberFormat="1" applyFont="1" applyFill="1" applyBorder="1"/>
    <xf numFmtId="0" fontId="18" fillId="0" borderId="0" xfId="0" applyFont="1" applyAlignment="1">
      <alignment horizontal="center"/>
    </xf>
    <xf numFmtId="0" fontId="21" fillId="0" borderId="0" xfId="0" applyFont="1" applyAlignment="1">
      <alignment horizontal="center"/>
    </xf>
    <xf numFmtId="0" fontId="0" fillId="0" borderId="0" xfId="0" applyAlignment="1">
      <alignment horizontal="center"/>
    </xf>
    <xf numFmtId="0" fontId="0" fillId="5" borderId="0" xfId="0" applyFill="1"/>
    <xf numFmtId="170" fontId="0" fillId="0" borderId="1" xfId="0" applyNumberFormat="1" applyBorder="1" applyAlignment="1">
      <alignment horizontal="center" vertical="center"/>
    </xf>
    <xf numFmtId="0" fontId="19"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21" fillId="3" borderId="1" xfId="0" applyFont="1" applyFill="1" applyBorder="1" applyAlignment="1">
      <alignment horizontal="center"/>
    </xf>
    <xf numFmtId="0" fontId="20" fillId="0" borderId="1" xfId="0" applyFont="1" applyBorder="1" applyAlignment="1">
      <alignment horizontal="center" wrapText="1"/>
    </xf>
    <xf numFmtId="0" fontId="20" fillId="0" borderId="1" xfId="0" applyFont="1" applyBorder="1" applyAlignment="1">
      <alignment horizontal="left" wrapText="1"/>
    </xf>
    <xf numFmtId="0" fontId="18" fillId="0" borderId="1" xfId="0" applyFont="1" applyBorder="1" applyAlignment="1">
      <alignment horizontal="center" wrapText="1"/>
    </xf>
    <xf numFmtId="9" fontId="18" fillId="0" borderId="1" xfId="3" applyFont="1" applyFill="1" applyBorder="1" applyAlignment="1"/>
    <xf numFmtId="9" fontId="18" fillId="0" borderId="1" xfId="3" applyFont="1" applyFill="1" applyBorder="1" applyAlignment="1">
      <alignment vertical="center"/>
    </xf>
    <xf numFmtId="0" fontId="20" fillId="0" borderId="1" xfId="0" applyFont="1" applyBorder="1" applyAlignment="1">
      <alignment horizontal="left"/>
    </xf>
    <xf numFmtId="0" fontId="18" fillId="3" borderId="1" xfId="0" applyFont="1" applyFill="1" applyBorder="1" applyAlignment="1">
      <alignment horizontal="center"/>
    </xf>
    <xf numFmtId="170" fontId="21" fillId="0" borderId="1" xfId="0" applyNumberFormat="1" applyFont="1" applyBorder="1"/>
    <xf numFmtId="170" fontId="18" fillId="0" borderId="1" xfId="0" applyNumberFormat="1" applyFont="1" applyBorder="1" applyAlignment="1">
      <alignment vertical="center" wrapText="1"/>
    </xf>
    <xf numFmtId="170" fontId="18" fillId="0" borderId="1" xfId="0" applyNumberFormat="1" applyFont="1" applyBorder="1" applyAlignment="1">
      <alignment wrapText="1"/>
    </xf>
    <xf numFmtId="0" fontId="21" fillId="0" borderId="1" xfId="0" applyFont="1" applyBorder="1" applyAlignment="1">
      <alignment horizontal="left" wrapText="1"/>
    </xf>
    <xf numFmtId="0" fontId="21" fillId="0" borderId="1" xfId="0" applyFont="1" applyBorder="1" applyAlignment="1">
      <alignment horizontal="center" wrapText="1"/>
    </xf>
    <xf numFmtId="9" fontId="21" fillId="0" borderId="1" xfId="3" applyFont="1" applyFill="1" applyBorder="1" applyAlignment="1"/>
    <xf numFmtId="9" fontId="21" fillId="0" borderId="1" xfId="3" applyFont="1" applyFill="1" applyBorder="1" applyAlignment="1">
      <alignment vertical="center"/>
    </xf>
    <xf numFmtId="0" fontId="21" fillId="0" borderId="1" xfId="0" applyFont="1" applyBorder="1"/>
    <xf numFmtId="0" fontId="21" fillId="3" borderId="1" xfId="0" applyFont="1" applyFill="1" applyBorder="1" applyAlignment="1">
      <alignment horizontal="left" wrapText="1"/>
    </xf>
    <xf numFmtId="0" fontId="21" fillId="3" borderId="1" xfId="0" applyFont="1" applyFill="1" applyBorder="1" applyAlignment="1">
      <alignment horizontal="center" wrapText="1"/>
    </xf>
    <xf numFmtId="0" fontId="21" fillId="3" borderId="1" xfId="0" applyFont="1" applyFill="1" applyBorder="1"/>
    <xf numFmtId="170" fontId="21" fillId="3" borderId="1" xfId="0" applyNumberFormat="1" applyFont="1" applyFill="1" applyBorder="1" applyAlignment="1">
      <alignment horizontal="right"/>
    </xf>
    <xf numFmtId="9" fontId="21" fillId="0" borderId="1" xfId="0" applyNumberFormat="1" applyFont="1" applyBorder="1"/>
    <xf numFmtId="0" fontId="21" fillId="0" borderId="1" xfId="0" applyFont="1" applyBorder="1" applyAlignment="1">
      <alignment vertical="center"/>
    </xf>
    <xf numFmtId="173" fontId="21" fillId="0" borderId="1" xfId="0" applyNumberFormat="1" applyFont="1" applyBorder="1" applyAlignment="1">
      <alignment vertical="center"/>
    </xf>
    <xf numFmtId="170" fontId="21" fillId="3" borderId="1" xfId="0" applyNumberFormat="1" applyFont="1" applyFill="1" applyBorder="1" applyAlignment="1">
      <alignment horizontal="center"/>
    </xf>
    <xf numFmtId="9" fontId="21" fillId="3" borderId="1" xfId="3" applyFont="1" applyFill="1" applyBorder="1" applyAlignment="1"/>
    <xf numFmtId="170" fontId="18" fillId="3" borderId="1" xfId="0" applyNumberFormat="1" applyFont="1" applyFill="1" applyBorder="1" applyAlignment="1">
      <alignment vertical="center"/>
    </xf>
    <xf numFmtId="170" fontId="21" fillId="3" borderId="1" xfId="0" applyNumberFormat="1" applyFont="1" applyFill="1" applyBorder="1" applyAlignment="1">
      <alignment vertical="center"/>
    </xf>
    <xf numFmtId="9" fontId="21" fillId="3" borderId="1" xfId="3" applyFont="1" applyFill="1" applyBorder="1" applyAlignment="1">
      <alignment vertical="center"/>
    </xf>
    <xf numFmtId="170" fontId="18" fillId="3" borderId="1" xfId="0" applyNumberFormat="1" applyFont="1" applyFill="1" applyBorder="1" applyAlignment="1">
      <alignment horizontal="center"/>
    </xf>
    <xf numFmtId="9" fontId="21" fillId="3" borderId="1" xfId="0" applyNumberFormat="1" applyFont="1" applyFill="1" applyBorder="1"/>
    <xf numFmtId="0" fontId="18" fillId="3" borderId="1" xfId="0" applyFont="1" applyFill="1" applyBorder="1"/>
    <xf numFmtId="170" fontId="18" fillId="3" borderId="1" xfId="0" applyNumberFormat="1" applyFont="1" applyFill="1" applyBorder="1" applyAlignment="1">
      <alignment horizontal="center" vertical="center"/>
    </xf>
    <xf numFmtId="0" fontId="18" fillId="3" borderId="1" xfId="0" applyFont="1" applyFill="1" applyBorder="1" applyAlignment="1">
      <alignment horizontal="center" vertical="center"/>
    </xf>
    <xf numFmtId="0" fontId="18" fillId="3" borderId="1" xfId="0" applyFont="1" applyFill="1" applyBorder="1" applyAlignment="1">
      <alignment horizontal="center" wrapText="1"/>
    </xf>
    <xf numFmtId="170" fontId="18" fillId="3" borderId="1" xfId="0" applyNumberFormat="1" applyFont="1" applyFill="1" applyBorder="1" applyAlignment="1">
      <alignment horizontal="center" wrapText="1"/>
    </xf>
    <xf numFmtId="0" fontId="18" fillId="9" borderId="1" xfId="0" applyFont="1" applyFill="1" applyBorder="1" applyAlignment="1">
      <alignment horizontal="center"/>
    </xf>
    <xf numFmtId="0" fontId="31" fillId="3" borderId="1" xfId="0" applyFont="1" applyFill="1" applyBorder="1" applyAlignment="1">
      <alignment horizontal="center" wrapText="1"/>
    </xf>
    <xf numFmtId="0" fontId="33" fillId="3" borderId="1" xfId="0" applyFont="1" applyFill="1" applyBorder="1" applyAlignment="1">
      <alignment horizontal="center" wrapText="1"/>
    </xf>
    <xf numFmtId="9" fontId="31" fillId="3" borderId="1" xfId="0" applyNumberFormat="1" applyFont="1" applyFill="1" applyBorder="1" applyAlignment="1">
      <alignment horizontal="center" vertical="center"/>
    </xf>
    <xf numFmtId="176" fontId="31" fillId="3" borderId="1" xfId="0" applyNumberFormat="1" applyFont="1" applyFill="1" applyBorder="1" applyAlignment="1">
      <alignment vertical="center"/>
    </xf>
    <xf numFmtId="173" fontId="31" fillId="3" borderId="1" xfId="0" applyNumberFormat="1" applyFont="1" applyFill="1" applyBorder="1" applyAlignment="1">
      <alignment vertical="center"/>
    </xf>
    <xf numFmtId="168" fontId="31" fillId="3" borderId="1" xfId="0" applyNumberFormat="1" applyFont="1" applyFill="1" applyBorder="1"/>
    <xf numFmtId="0" fontId="31" fillId="3" borderId="1" xfId="0" applyFont="1" applyFill="1" applyBorder="1" applyAlignment="1">
      <alignment wrapText="1"/>
    </xf>
    <xf numFmtId="0" fontId="33" fillId="3" borderId="1" xfId="0" applyFont="1" applyFill="1" applyBorder="1" applyAlignment="1">
      <alignment vertical="center" wrapText="1"/>
    </xf>
    <xf numFmtId="176" fontId="30" fillId="3" borderId="1" xfId="7" applyNumberFormat="1" applyFont="1" applyFill="1" applyBorder="1" applyAlignment="1">
      <alignment horizontal="left" vertical="center" wrapText="1"/>
    </xf>
    <xf numFmtId="0" fontId="33" fillId="3" borderId="1" xfId="0" applyFont="1" applyFill="1" applyBorder="1" applyAlignment="1">
      <alignment horizontal="left"/>
    </xf>
    <xf numFmtId="0" fontId="33" fillId="3" borderId="1" xfId="0" applyFont="1" applyFill="1" applyBorder="1" applyAlignment="1">
      <alignment horizontal="center" vertical="top" wrapText="1"/>
    </xf>
    <xf numFmtId="0" fontId="31" fillId="3" borderId="1" xfId="0" applyFont="1" applyFill="1" applyBorder="1" applyAlignment="1">
      <alignment horizontal="justify" vertical="center" wrapText="1"/>
    </xf>
    <xf numFmtId="177" fontId="31" fillId="3" borderId="1" xfId="0" applyNumberFormat="1" applyFont="1" applyFill="1" applyBorder="1" applyAlignment="1">
      <alignment horizontal="center" vertical="center"/>
    </xf>
    <xf numFmtId="177" fontId="31" fillId="3" borderId="1" xfId="0" applyNumberFormat="1" applyFont="1" applyFill="1" applyBorder="1"/>
    <xf numFmtId="176" fontId="0" fillId="3" borderId="1" xfId="0" applyNumberFormat="1" applyFill="1" applyBorder="1" applyAlignment="1">
      <alignment vertical="center"/>
    </xf>
    <xf numFmtId="0" fontId="0" fillId="3" borderId="1" xfId="0" applyFill="1" applyBorder="1" applyAlignment="1">
      <alignment vertical="center"/>
    </xf>
    <xf numFmtId="173" fontId="0" fillId="3" borderId="1" xfId="0" applyNumberFormat="1" applyFill="1" applyBorder="1" applyAlignment="1">
      <alignment vertical="center"/>
    </xf>
    <xf numFmtId="0" fontId="0" fillId="3" borderId="1" xfId="0" applyFill="1" applyBorder="1"/>
    <xf numFmtId="168" fontId="0" fillId="3" borderId="1" xfId="0" applyNumberFormat="1" applyFill="1" applyBorder="1"/>
    <xf numFmtId="176" fontId="31" fillId="3" borderId="1" xfId="7" applyNumberFormat="1" applyFont="1" applyFill="1" applyBorder="1" applyAlignment="1">
      <alignment horizontal="center" vertical="center"/>
    </xf>
    <xf numFmtId="175" fontId="0" fillId="3" borderId="1" xfId="0" applyNumberFormat="1" applyFill="1" applyBorder="1" applyAlignment="1">
      <alignment vertical="center"/>
    </xf>
    <xf numFmtId="175" fontId="0" fillId="3" borderId="1" xfId="0" applyNumberFormat="1" applyFill="1" applyBorder="1"/>
    <xf numFmtId="175" fontId="0" fillId="3" borderId="1" xfId="7" applyNumberFormat="1" applyFont="1" applyFill="1" applyBorder="1"/>
    <xf numFmtId="0" fontId="31" fillId="3" borderId="1" xfId="0" applyFont="1" applyFill="1" applyBorder="1" applyAlignment="1">
      <alignment horizontal="left" vertical="center" wrapText="1"/>
    </xf>
    <xf numFmtId="0" fontId="30" fillId="3" borderId="1" xfId="10" applyFont="1" applyFill="1" applyBorder="1" applyAlignment="1">
      <alignment horizontal="center" vertical="center" wrapText="1"/>
    </xf>
    <xf numFmtId="0" fontId="31" fillId="3" borderId="1" xfId="11" applyFont="1" applyFill="1" applyBorder="1" applyAlignment="1">
      <alignment horizontal="center" vertical="center" wrapText="1"/>
    </xf>
    <xf numFmtId="49" fontId="30" fillId="3" borderId="1" xfId="0" applyNumberFormat="1" applyFont="1" applyFill="1" applyBorder="1" applyAlignment="1">
      <alignment horizontal="center" vertical="center"/>
    </xf>
    <xf numFmtId="0" fontId="30" fillId="3" borderId="1" xfId="9" applyFont="1" applyFill="1" applyBorder="1" applyAlignment="1">
      <alignment horizontal="left" vertical="center" wrapText="1"/>
    </xf>
    <xf numFmtId="0" fontId="30" fillId="3" borderId="1" xfId="0" applyFont="1" applyFill="1" applyBorder="1" applyAlignment="1">
      <alignment wrapText="1"/>
    </xf>
    <xf numFmtId="0" fontId="30" fillId="3" borderId="1" xfId="0" applyFont="1" applyFill="1" applyBorder="1" applyAlignment="1">
      <alignment horizontal="center"/>
    </xf>
    <xf numFmtId="0" fontId="30" fillId="3" borderId="1" xfId="0" applyFont="1" applyFill="1" applyBorder="1"/>
    <xf numFmtId="0" fontId="31" fillId="3" borderId="1" xfId="0" applyFont="1" applyFill="1" applyBorder="1" applyAlignment="1">
      <alignment horizontal="left" vertical="center"/>
    </xf>
    <xf numFmtId="1" fontId="30" fillId="3" borderId="1" xfId="0" applyNumberFormat="1" applyFont="1" applyFill="1" applyBorder="1" applyAlignment="1">
      <alignment horizontal="left" vertical="center" wrapText="1"/>
    </xf>
    <xf numFmtId="0" fontId="31" fillId="3" borderId="1" xfId="0" applyFont="1" applyFill="1" applyBorder="1" applyAlignment="1">
      <alignment horizontal="left" wrapText="1"/>
    </xf>
    <xf numFmtId="49" fontId="31" fillId="3" borderId="1" xfId="0" applyNumberFormat="1" applyFont="1" applyFill="1" applyBorder="1" applyAlignment="1">
      <alignment horizontal="center"/>
    </xf>
    <xf numFmtId="176" fontId="0" fillId="3" borderId="1" xfId="0" applyNumberFormat="1" applyFill="1" applyBorder="1"/>
    <xf numFmtId="9" fontId="0" fillId="3" borderId="1" xfId="0" applyNumberFormat="1" applyFill="1" applyBorder="1" applyAlignment="1">
      <alignment vertical="center"/>
    </xf>
    <xf numFmtId="176" fontId="0" fillId="3" borderId="1" xfId="7" applyNumberFormat="1" applyFont="1" applyFill="1" applyBorder="1" applyAlignment="1">
      <alignment vertical="center"/>
    </xf>
    <xf numFmtId="170" fontId="0" fillId="3" borderId="1" xfId="0" applyNumberFormat="1" applyFill="1" applyBorder="1"/>
    <xf numFmtId="9" fontId="0" fillId="3" borderId="1" xfId="0" applyNumberFormat="1" applyFill="1" applyBorder="1"/>
    <xf numFmtId="49" fontId="30" fillId="3" borderId="1" xfId="0" applyNumberFormat="1" applyFont="1" applyFill="1" applyBorder="1" applyAlignment="1">
      <alignment wrapText="1"/>
    </xf>
    <xf numFmtId="0" fontId="0" fillId="3" borderId="1" xfId="0" applyFill="1" applyBorder="1" applyAlignment="1">
      <alignment horizontal="left" vertical="center" wrapText="1"/>
    </xf>
    <xf numFmtId="0" fontId="36" fillId="3" borderId="1" xfId="0" applyFont="1" applyFill="1" applyBorder="1" applyAlignment="1">
      <alignment horizontal="center" vertical="center"/>
    </xf>
    <xf numFmtId="0" fontId="4" fillId="3" borderId="1" xfId="0" applyFont="1" applyFill="1" applyBorder="1" applyAlignment="1">
      <alignment vertical="center" wrapText="1"/>
    </xf>
    <xf numFmtId="0" fontId="13" fillId="3" borderId="1" xfId="0" applyFont="1" applyFill="1" applyBorder="1" applyAlignment="1">
      <alignment horizontal="left" vertical="center" wrapText="1"/>
    </xf>
    <xf numFmtId="0" fontId="13" fillId="3" borderId="1" xfId="0" applyFont="1" applyFill="1" applyBorder="1" applyAlignment="1" applyProtection="1">
      <alignment horizontal="center" vertical="center" wrapText="1"/>
      <protection locked="0"/>
    </xf>
    <xf numFmtId="1" fontId="12" fillId="3" borderId="1" xfId="0" applyNumberFormat="1" applyFont="1" applyFill="1" applyBorder="1" applyAlignment="1">
      <alignment horizontal="center" vertical="center"/>
    </xf>
    <xf numFmtId="0" fontId="12" fillId="12" borderId="1" xfId="0" applyFont="1" applyFill="1" applyBorder="1" applyAlignment="1">
      <alignment horizontal="center" vertical="center"/>
    </xf>
    <xf numFmtId="0" fontId="38"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9" fillId="3" borderId="1" xfId="0" applyFont="1" applyFill="1" applyBorder="1" applyAlignment="1">
      <alignment vertical="center" wrapText="1"/>
    </xf>
    <xf numFmtId="0" fontId="13" fillId="3" borderId="1" xfId="12" applyFont="1" applyFill="1" applyBorder="1" applyAlignment="1">
      <alignment horizontal="center" vertical="center" wrapText="1"/>
    </xf>
    <xf numFmtId="0" fontId="13" fillId="3" borderId="1" xfId="12" applyFont="1" applyFill="1" applyBorder="1" applyAlignment="1">
      <alignment horizontal="center" vertical="center"/>
    </xf>
    <xf numFmtId="0" fontId="13" fillId="3" borderId="1" xfId="12" applyFont="1" applyFill="1" applyBorder="1" applyAlignment="1">
      <alignment horizontal="left" vertical="center" wrapText="1"/>
    </xf>
    <xf numFmtId="0" fontId="12" fillId="3" borderId="1" xfId="0" applyFont="1" applyFill="1" applyBorder="1" applyAlignment="1">
      <alignment horizontal="left" vertical="center" wrapText="1"/>
    </xf>
    <xf numFmtId="0" fontId="39" fillId="3" borderId="1" xfId="0" applyFont="1" applyFill="1" applyBorder="1" applyAlignment="1">
      <alignment horizontal="center" vertical="center" wrapText="1"/>
    </xf>
    <xf numFmtId="0" fontId="36" fillId="3" borderId="1" xfId="0" applyFont="1" applyFill="1" applyBorder="1" applyAlignment="1">
      <alignment horizontal="left" vertical="center" wrapText="1"/>
    </xf>
    <xf numFmtId="0" fontId="10" fillId="3" borderId="1" xfId="0" applyFont="1" applyFill="1" applyBorder="1" applyAlignment="1">
      <alignment vertical="center"/>
    </xf>
    <xf numFmtId="0" fontId="35" fillId="3" borderId="1" xfId="0" applyFont="1" applyFill="1" applyBorder="1" applyAlignment="1">
      <alignment vertical="center" wrapText="1"/>
    </xf>
    <xf numFmtId="0" fontId="10"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39" fillId="3" borderId="1" xfId="0" applyFont="1" applyFill="1" applyBorder="1" applyAlignment="1">
      <alignment horizontal="left" vertical="center" wrapText="1"/>
    </xf>
    <xf numFmtId="0" fontId="0" fillId="3" borderId="0" xfId="0" applyFill="1" applyAlignment="1">
      <alignment horizontal="center"/>
    </xf>
    <xf numFmtId="170" fontId="0" fillId="3" borderId="0" xfId="0" applyNumberFormat="1" applyFill="1" applyAlignment="1">
      <alignment vertical="center"/>
    </xf>
    <xf numFmtId="0" fontId="0" fillId="3" borderId="0" xfId="0" applyFill="1" applyAlignment="1">
      <alignment vertical="center"/>
    </xf>
    <xf numFmtId="173" fontId="0" fillId="3" borderId="0" xfId="0" applyNumberFormat="1" applyFill="1" applyAlignment="1">
      <alignment vertical="center"/>
    </xf>
    <xf numFmtId="170" fontId="0" fillId="3" borderId="0" xfId="0" applyNumberFormat="1" applyFill="1"/>
    <xf numFmtId="0" fontId="18" fillId="3" borderId="0" xfId="0" applyFont="1" applyFill="1"/>
    <xf numFmtId="169" fontId="17" fillId="3" borderId="1" xfId="5" applyNumberFormat="1" applyFont="1" applyFill="1" applyBorder="1" applyAlignment="1">
      <alignment horizontal="center" vertical="center" wrapText="1"/>
    </xf>
    <xf numFmtId="168" fontId="17" fillId="3" borderId="1" xfId="4" applyNumberFormat="1" applyFont="1" applyFill="1" applyBorder="1" applyAlignment="1">
      <alignment horizontal="center" vertical="center" wrapText="1"/>
    </xf>
    <xf numFmtId="9" fontId="18" fillId="3" borderId="1" xfId="0" applyNumberFormat="1" applyFont="1" applyFill="1" applyBorder="1" applyAlignment="1">
      <alignment horizontal="center"/>
    </xf>
    <xf numFmtId="170" fontId="19" fillId="3" borderId="1" xfId="0" applyNumberFormat="1" applyFont="1" applyFill="1" applyBorder="1" applyAlignment="1">
      <alignment horizontal="center"/>
    </xf>
    <xf numFmtId="170" fontId="21" fillId="3" borderId="1" xfId="1" applyNumberFormat="1" applyFont="1" applyFill="1" applyBorder="1" applyAlignment="1">
      <alignment horizontal="center" vertical="center" wrapText="1"/>
    </xf>
    <xf numFmtId="168" fontId="21" fillId="3" borderId="1" xfId="6" applyNumberFormat="1" applyFont="1" applyFill="1" applyBorder="1" applyAlignment="1" applyProtection="1">
      <alignment horizontal="center" vertical="center" wrapText="1"/>
    </xf>
    <xf numFmtId="0" fontId="17" fillId="3" borderId="1" xfId="0" applyFont="1" applyFill="1" applyBorder="1" applyAlignment="1">
      <alignment horizontal="center" vertical="top" wrapText="1"/>
    </xf>
    <xf numFmtId="170" fontId="18" fillId="3" borderId="1" xfId="0" applyNumberFormat="1" applyFont="1" applyFill="1" applyBorder="1"/>
    <xf numFmtId="0" fontId="17" fillId="3" borderId="2" xfId="0" applyFont="1" applyFill="1" applyBorder="1" applyAlignment="1">
      <alignment horizontal="center" vertical="top" wrapText="1"/>
    </xf>
    <xf numFmtId="9" fontId="18" fillId="3" borderId="1" xfId="3" applyFont="1" applyFill="1" applyBorder="1" applyAlignment="1"/>
    <xf numFmtId="9" fontId="18" fillId="3" borderId="1" xfId="3" applyFont="1" applyFill="1" applyBorder="1" applyAlignment="1">
      <alignment vertical="center"/>
    </xf>
    <xf numFmtId="0" fontId="18" fillId="3" borderId="0" xfId="0" applyFont="1" applyFill="1" applyAlignment="1">
      <alignment wrapText="1"/>
    </xf>
    <xf numFmtId="170" fontId="18" fillId="3" borderId="1" xfId="0" applyNumberFormat="1" applyFont="1" applyFill="1" applyBorder="1" applyAlignment="1">
      <alignment wrapText="1"/>
    </xf>
    <xf numFmtId="0" fontId="21" fillId="3" borderId="0" xfId="0" applyFont="1" applyFill="1"/>
    <xf numFmtId="170" fontId="21" fillId="3" borderId="1" xfId="0" applyNumberFormat="1" applyFont="1" applyFill="1" applyBorder="1"/>
    <xf numFmtId="170" fontId="21" fillId="3" borderId="0" xfId="0" applyNumberFormat="1" applyFont="1" applyFill="1"/>
    <xf numFmtId="175" fontId="0" fillId="3" borderId="0" xfId="0" applyNumberFormat="1" applyFill="1"/>
    <xf numFmtId="0" fontId="18" fillId="3" borderId="0" xfId="0" applyFont="1" applyFill="1" applyAlignment="1">
      <alignment horizontal="center" vertical="center"/>
    </xf>
    <xf numFmtId="0" fontId="18" fillId="3" borderId="4" xfId="0" applyFont="1" applyFill="1" applyBorder="1" applyAlignment="1">
      <alignment vertical="center"/>
    </xf>
    <xf numFmtId="0" fontId="18" fillId="3" borderId="1" xfId="0" applyFont="1" applyFill="1" applyBorder="1" applyAlignment="1">
      <alignment vertical="center"/>
    </xf>
    <xf numFmtId="0" fontId="0" fillId="3" borderId="1" xfId="0" applyFill="1" applyBorder="1" applyAlignment="1">
      <alignment horizontal="center"/>
    </xf>
    <xf numFmtId="176" fontId="31" fillId="3" borderId="1" xfId="0" applyNumberFormat="1" applyFont="1" applyFill="1" applyBorder="1" applyAlignment="1">
      <alignment horizontal="center" vertical="center" wrapText="1"/>
    </xf>
    <xf numFmtId="9" fontId="31" fillId="3" borderId="1" xfId="0" applyNumberFormat="1" applyFont="1" applyFill="1" applyBorder="1" applyAlignment="1">
      <alignment horizontal="center" vertical="center" wrapText="1"/>
    </xf>
    <xf numFmtId="0" fontId="32" fillId="3" borderId="1" xfId="0" applyFont="1" applyFill="1" applyBorder="1" applyAlignment="1">
      <alignment horizontal="center" vertical="center" wrapText="1"/>
    </xf>
    <xf numFmtId="176" fontId="33" fillId="3" borderId="1" xfId="0" applyNumberFormat="1" applyFont="1" applyFill="1" applyBorder="1" applyAlignment="1">
      <alignment horizontal="center"/>
    </xf>
    <xf numFmtId="0" fontId="33" fillId="3" borderId="1" xfId="0" applyFont="1" applyFill="1" applyBorder="1" applyAlignment="1">
      <alignment horizontal="center"/>
    </xf>
    <xf numFmtId="168" fontId="0" fillId="3" borderId="1" xfId="0" applyNumberFormat="1" applyFill="1" applyBorder="1" applyAlignment="1">
      <alignment vertical="center"/>
    </xf>
    <xf numFmtId="0" fontId="43" fillId="3" borderId="1" xfId="0" applyFont="1" applyFill="1" applyBorder="1" applyAlignment="1">
      <alignment horizontal="left" vertical="center" wrapText="1"/>
    </xf>
    <xf numFmtId="49" fontId="31" fillId="3" borderId="1" xfId="0" applyNumberFormat="1" applyFont="1" applyFill="1" applyBorder="1" applyAlignment="1">
      <alignment horizontal="left"/>
    </xf>
    <xf numFmtId="173" fontId="35" fillId="3" borderId="1" xfId="0" applyNumberFormat="1" applyFont="1" applyFill="1" applyBorder="1" applyAlignment="1">
      <alignment vertical="center"/>
    </xf>
    <xf numFmtId="178" fontId="35" fillId="3" borderId="1" xfId="0" applyNumberFormat="1" applyFont="1" applyFill="1" applyBorder="1" applyAlignment="1">
      <alignment horizontal="center" vertical="center"/>
    </xf>
    <xf numFmtId="0" fontId="35" fillId="3" borderId="1" xfId="0" applyFont="1" applyFill="1" applyBorder="1" applyAlignment="1">
      <alignment horizontal="left" vertical="center"/>
    </xf>
    <xf numFmtId="0" fontId="8" fillId="3" borderId="1" xfId="0" applyFont="1" applyFill="1" applyBorder="1" applyAlignment="1" applyProtection="1">
      <alignment horizontal="left" vertical="center" wrapText="1"/>
      <protection locked="0"/>
    </xf>
    <xf numFmtId="0" fontId="35" fillId="3" borderId="1" xfId="0" applyFont="1" applyFill="1" applyBorder="1" applyAlignment="1">
      <alignment horizontal="left" vertical="center" wrapText="1"/>
    </xf>
    <xf numFmtId="0" fontId="8" fillId="3" borderId="1" xfId="12" applyFont="1" applyFill="1" applyBorder="1" applyAlignment="1">
      <alignment horizontal="center" vertical="center" wrapText="1"/>
    </xf>
    <xf numFmtId="0" fontId="8" fillId="3" borderId="1" xfId="12" applyFont="1" applyFill="1" applyBorder="1" applyAlignment="1">
      <alignment horizontal="center" vertical="center"/>
    </xf>
    <xf numFmtId="0" fontId="8" fillId="3" borderId="1" xfId="12" applyFont="1" applyFill="1" applyBorder="1" applyAlignment="1">
      <alignment horizontal="left" vertical="center" wrapText="1"/>
    </xf>
    <xf numFmtId="0" fontId="8" fillId="3" borderId="1" xfId="12" applyFont="1" applyFill="1" applyBorder="1" applyAlignment="1">
      <alignment horizontal="left" vertical="center"/>
    </xf>
    <xf numFmtId="0" fontId="35" fillId="3" borderId="1" xfId="0" applyFont="1" applyFill="1" applyBorder="1" applyAlignment="1">
      <alignment vertical="center"/>
    </xf>
    <xf numFmtId="5" fontId="35" fillId="3" borderId="1" xfId="0" applyNumberFormat="1" applyFont="1" applyFill="1" applyBorder="1" applyAlignment="1">
      <alignment horizontal="center" vertical="center" wrapText="1"/>
    </xf>
    <xf numFmtId="0" fontId="45" fillId="3" borderId="1" xfId="0" applyFont="1" applyFill="1" applyBorder="1" applyAlignment="1">
      <alignment horizontal="left" vertical="center" wrapText="1"/>
    </xf>
    <xf numFmtId="0" fontId="8" fillId="3" borderId="1" xfId="11" applyFont="1" applyFill="1" applyBorder="1" applyAlignment="1">
      <alignment horizontal="left" vertical="center" wrapText="1"/>
    </xf>
    <xf numFmtId="1" fontId="7" fillId="3" borderId="1" xfId="0" applyNumberFormat="1" applyFont="1" applyFill="1" applyBorder="1" applyAlignment="1">
      <alignment horizontal="center" vertical="center" wrapText="1"/>
    </xf>
    <xf numFmtId="176" fontId="0" fillId="3" borderId="0" xfId="0" applyNumberFormat="1" applyFill="1" applyAlignment="1">
      <alignment vertical="center"/>
    </xf>
    <xf numFmtId="0" fontId="30" fillId="3" borderId="1" xfId="1" applyFont="1" applyFill="1" applyBorder="1" applyAlignment="1">
      <alignment horizontal="center" vertical="center"/>
    </xf>
    <xf numFmtId="0" fontId="30" fillId="3" borderId="1" xfId="10" applyFont="1" applyFill="1" applyBorder="1" applyAlignment="1">
      <alignment horizontal="center" vertical="center"/>
    </xf>
    <xf numFmtId="170" fontId="7" fillId="3" borderId="1" xfId="7" applyNumberFormat="1" applyFont="1" applyFill="1" applyBorder="1" applyAlignment="1">
      <alignment horizontal="center" vertical="center"/>
    </xf>
    <xf numFmtId="0" fontId="0" fillId="3" borderId="0" xfId="0" applyFill="1" applyAlignment="1">
      <alignment horizontal="center" vertical="center"/>
    </xf>
    <xf numFmtId="0" fontId="4" fillId="3" borderId="1" xfId="0" applyFont="1" applyFill="1" applyBorder="1" applyAlignment="1">
      <alignment horizontal="left" vertical="top"/>
    </xf>
    <xf numFmtId="9" fontId="0" fillId="0" borderId="1" xfId="0" applyNumberFormat="1" applyBorder="1" applyAlignment="1">
      <alignment horizontal="center" vertical="center" wrapText="1"/>
    </xf>
    <xf numFmtId="6" fontId="14" fillId="0" borderId="1" xfId="0" applyNumberFormat="1" applyFont="1" applyBorder="1" applyAlignment="1">
      <alignment vertical="center"/>
    </xf>
    <xf numFmtId="9" fontId="0" fillId="0" borderId="1" xfId="0" applyNumberFormat="1" applyBorder="1" applyAlignment="1">
      <alignment vertical="center" wrapText="1"/>
    </xf>
    <xf numFmtId="0" fontId="8" fillId="3" borderId="1" xfId="0" applyFont="1" applyFill="1" applyBorder="1" applyAlignment="1">
      <alignment horizontal="left" vertical="center"/>
    </xf>
    <xf numFmtId="170" fontId="0" fillId="0" borderId="0" xfId="0" applyNumberFormat="1" applyAlignment="1">
      <alignment vertical="center"/>
    </xf>
    <xf numFmtId="0" fontId="0" fillId="0" borderId="0" xfId="0" applyAlignment="1">
      <alignment horizontal="center" vertical="center"/>
    </xf>
    <xf numFmtId="176" fontId="0" fillId="0" borderId="1" xfId="7" applyNumberFormat="1" applyFont="1" applyFill="1" applyBorder="1" applyAlignment="1">
      <alignment vertical="center"/>
    </xf>
    <xf numFmtId="170" fontId="41" fillId="0" borderId="1" xfId="0" applyNumberFormat="1" applyFont="1" applyBorder="1" applyAlignment="1">
      <alignment horizontal="center" vertical="center"/>
    </xf>
    <xf numFmtId="9" fontId="41" fillId="0" borderId="1" xfId="0" applyNumberFormat="1" applyFont="1" applyBorder="1" applyAlignment="1">
      <alignment horizontal="center" vertical="center"/>
    </xf>
    <xf numFmtId="170" fontId="41" fillId="0" borderId="1" xfId="0" applyNumberFormat="1" applyFont="1" applyBorder="1" applyAlignment="1">
      <alignment vertical="center"/>
    </xf>
    <xf numFmtId="170" fontId="35" fillId="0" borderId="1" xfId="0" applyNumberFormat="1" applyFont="1" applyBorder="1" applyAlignment="1">
      <alignment horizontal="center" vertical="center"/>
    </xf>
    <xf numFmtId="9" fontId="35" fillId="0" borderId="1" xfId="0" applyNumberFormat="1" applyFont="1" applyBorder="1" applyAlignment="1">
      <alignment horizontal="center" vertical="center"/>
    </xf>
    <xf numFmtId="173" fontId="35" fillId="0" borderId="1" xfId="0" applyNumberFormat="1" applyFont="1" applyBorder="1" applyAlignment="1">
      <alignment vertical="center"/>
    </xf>
    <xf numFmtId="170" fontId="35" fillId="0" borderId="1" xfId="0" applyNumberFormat="1" applyFont="1" applyBorder="1" applyAlignment="1">
      <alignment horizontal="center" vertical="center" wrapText="1"/>
    </xf>
    <xf numFmtId="5" fontId="35" fillId="0" borderId="1" xfId="0" applyNumberFormat="1" applyFont="1" applyBorder="1" applyAlignment="1">
      <alignment horizontal="center" vertical="center" wrapText="1"/>
    </xf>
    <xf numFmtId="6" fontId="0" fillId="0" borderId="1" xfId="0" applyNumberFormat="1" applyBorder="1"/>
    <xf numFmtId="0" fontId="0" fillId="0" borderId="1" xfId="0" applyBorder="1" applyAlignment="1">
      <alignment wrapText="1"/>
    </xf>
    <xf numFmtId="6" fontId="0" fillId="0" borderId="1" xfId="0" applyNumberFormat="1" applyBorder="1" applyAlignment="1">
      <alignment vertical="center"/>
    </xf>
    <xf numFmtId="0" fontId="4" fillId="3" borderId="1" xfId="0" applyFont="1" applyFill="1" applyBorder="1" applyAlignment="1">
      <alignment horizontal="center" vertical="top" wrapText="1"/>
    </xf>
    <xf numFmtId="0" fontId="52" fillId="0" borderId="14" xfId="0" applyFont="1" applyBorder="1" applyAlignment="1">
      <alignment horizontal="center"/>
    </xf>
    <xf numFmtId="0" fontId="52" fillId="0" borderId="14" xfId="0" applyFont="1" applyBorder="1"/>
    <xf numFmtId="9" fontId="52" fillId="0" borderId="14" xfId="0" applyNumberFormat="1" applyFont="1" applyBorder="1"/>
    <xf numFmtId="6" fontId="52" fillId="0" borderId="14" xfId="0" applyNumberFormat="1" applyFont="1" applyBorder="1"/>
    <xf numFmtId="0" fontId="52" fillId="0" borderId="0" xfId="0" applyFont="1" applyAlignment="1">
      <alignment horizontal="center"/>
    </xf>
    <xf numFmtId="0" fontId="52" fillId="0" borderId="0" xfId="0" applyFont="1"/>
    <xf numFmtId="6" fontId="52" fillId="0" borderId="0" xfId="0" applyNumberFormat="1" applyFont="1"/>
    <xf numFmtId="9" fontId="52" fillId="0" borderId="0" xfId="0" applyNumberFormat="1" applyFont="1"/>
    <xf numFmtId="176" fontId="52" fillId="0" borderId="0" xfId="0" applyNumberFormat="1" applyFont="1"/>
    <xf numFmtId="173" fontId="52" fillId="0" borderId="0" xfId="0" applyNumberFormat="1" applyFont="1"/>
    <xf numFmtId="170" fontId="18" fillId="3" borderId="0" xfId="0" applyNumberFormat="1" applyFont="1" applyFill="1"/>
    <xf numFmtId="168" fontId="18" fillId="3" borderId="0" xfId="0" applyNumberFormat="1" applyFont="1" applyFill="1"/>
    <xf numFmtId="0" fontId="12" fillId="3" borderId="1" xfId="0" applyFont="1" applyFill="1" applyBorder="1" applyAlignment="1">
      <alignment horizontal="center" vertical="top" wrapText="1"/>
    </xf>
    <xf numFmtId="168" fontId="12" fillId="3" borderId="1" xfId="6" applyNumberFormat="1" applyFont="1" applyFill="1" applyBorder="1" applyAlignment="1">
      <alignment horizontal="center" vertical="center"/>
    </xf>
    <xf numFmtId="0" fontId="12" fillId="3" borderId="1" xfId="11" applyFont="1" applyFill="1" applyBorder="1" applyAlignment="1">
      <alignment horizontal="center" vertical="center" wrapText="1"/>
    </xf>
    <xf numFmtId="0" fontId="13" fillId="0" borderId="1" xfId="0" applyFont="1" applyBorder="1" applyAlignment="1">
      <alignment horizontal="center"/>
    </xf>
    <xf numFmtId="168" fontId="13" fillId="3" borderId="1" xfId="6" applyNumberFormat="1" applyFont="1" applyFill="1" applyBorder="1" applyAlignment="1">
      <alignment horizontal="center" vertical="center"/>
    </xf>
    <xf numFmtId="0" fontId="53" fillId="0" borderId="1" xfId="0" applyFont="1" applyBorder="1" applyAlignment="1">
      <alignment horizontal="center" vertical="top" wrapText="1"/>
    </xf>
    <xf numFmtId="0" fontId="13" fillId="3" borderId="1" xfId="0" applyFont="1" applyFill="1" applyBorder="1" applyAlignment="1">
      <alignment horizontal="center"/>
    </xf>
    <xf numFmtId="9" fontId="12" fillId="3" borderId="1" xfId="3" applyFont="1" applyFill="1" applyBorder="1" applyAlignment="1">
      <alignment horizontal="center" vertical="center"/>
    </xf>
    <xf numFmtId="20" fontId="16" fillId="2" borderId="1" xfId="0" applyNumberFormat="1" applyFont="1" applyFill="1" applyBorder="1" applyAlignment="1">
      <alignment vertical="center"/>
    </xf>
    <xf numFmtId="1" fontId="12" fillId="3" borderId="1" xfId="11" applyNumberFormat="1" applyFont="1" applyFill="1" applyBorder="1" applyAlignment="1">
      <alignment horizontal="center"/>
    </xf>
    <xf numFmtId="0" fontId="53" fillId="3" borderId="1" xfId="0" applyFont="1" applyFill="1" applyBorder="1" applyAlignment="1">
      <alignment horizontal="center" vertical="top" wrapText="1"/>
    </xf>
    <xf numFmtId="169" fontId="54" fillId="3" borderId="0" xfId="5" applyNumberFormat="1" applyFont="1" applyFill="1" applyBorder="1" applyAlignment="1">
      <alignment horizontal="center" vertical="center" wrapText="1"/>
    </xf>
    <xf numFmtId="0" fontId="13" fillId="3" borderId="0" xfId="0" applyFont="1" applyFill="1"/>
    <xf numFmtId="0" fontId="13" fillId="3" borderId="0" xfId="0" applyFont="1" applyFill="1" applyAlignment="1">
      <alignment vertical="center"/>
    </xf>
    <xf numFmtId="173" fontId="13" fillId="3" borderId="0" xfId="0" applyNumberFormat="1" applyFont="1" applyFill="1" applyAlignment="1">
      <alignment vertical="center"/>
    </xf>
    <xf numFmtId="0" fontId="13" fillId="3" borderId="0" xfId="0" applyFont="1" applyFill="1" applyAlignment="1">
      <alignment horizontal="center"/>
    </xf>
    <xf numFmtId="169" fontId="54" fillId="3" borderId="1" xfId="5" applyNumberFormat="1" applyFont="1" applyFill="1" applyBorder="1" applyAlignment="1">
      <alignment horizontal="center" vertical="center" wrapText="1"/>
    </xf>
    <xf numFmtId="173" fontId="54" fillId="3" borderId="1" xfId="5" applyNumberFormat="1" applyFont="1" applyFill="1" applyBorder="1" applyAlignment="1">
      <alignment horizontal="center" vertical="center" wrapText="1"/>
    </xf>
    <xf numFmtId="0" fontId="13" fillId="3" borderId="1" xfId="0" applyFont="1" applyFill="1" applyBorder="1" applyAlignment="1">
      <alignment vertical="center"/>
    </xf>
    <xf numFmtId="173" fontId="13" fillId="3" borderId="1" xfId="0" applyNumberFormat="1" applyFont="1" applyFill="1" applyBorder="1" applyAlignment="1">
      <alignment vertical="center"/>
    </xf>
    <xf numFmtId="173" fontId="13" fillId="3" borderId="1" xfId="0" applyNumberFormat="1" applyFont="1" applyFill="1" applyBorder="1" applyAlignment="1">
      <alignment horizontal="right" vertical="center"/>
    </xf>
    <xf numFmtId="173" fontId="12" fillId="3" borderId="1" xfId="5" applyNumberFormat="1" applyFont="1" applyFill="1" applyBorder="1" applyAlignment="1">
      <alignment horizontal="right" vertical="center" wrapText="1"/>
    </xf>
    <xf numFmtId="169" fontId="17" fillId="2" borderId="7" xfId="5" applyNumberFormat="1" applyFont="1" applyFill="1" applyBorder="1" applyAlignment="1">
      <alignment horizontal="center" vertical="center" wrapText="1"/>
    </xf>
    <xf numFmtId="173" fontId="17" fillId="2" borderId="7" xfId="5" applyNumberFormat="1" applyFont="1" applyFill="1" applyBorder="1" applyAlignment="1">
      <alignment horizontal="center" vertical="center" wrapText="1"/>
    </xf>
    <xf numFmtId="6" fontId="14" fillId="0" borderId="1" xfId="0" applyNumberFormat="1" applyFont="1" applyBorder="1" applyAlignment="1">
      <alignment horizontal="center" vertical="center"/>
    </xf>
    <xf numFmtId="0" fontId="52" fillId="9" borderId="1" xfId="0" applyFont="1" applyFill="1" applyBorder="1"/>
    <xf numFmtId="49" fontId="13" fillId="3" borderId="1" xfId="0" applyNumberFormat="1" applyFont="1" applyFill="1" applyBorder="1" applyAlignment="1">
      <alignment horizontal="center" vertical="center"/>
    </xf>
    <xf numFmtId="9" fontId="13" fillId="0" borderId="1" xfId="3" applyFont="1" applyBorder="1" applyAlignment="1">
      <alignment horizontal="center"/>
    </xf>
    <xf numFmtId="174" fontId="13" fillId="0" borderId="1" xfId="7" applyNumberFormat="1" applyFont="1" applyBorder="1"/>
    <xf numFmtId="174" fontId="13" fillId="0" borderId="1" xfId="0" applyNumberFormat="1" applyFont="1" applyBorder="1"/>
    <xf numFmtId="0" fontId="13" fillId="0" borderId="1" xfId="0" applyFont="1" applyBorder="1"/>
    <xf numFmtId="0" fontId="39" fillId="0" borderId="1" xfId="0" applyFont="1" applyBorder="1" applyAlignment="1">
      <alignment horizontal="center"/>
    </xf>
    <xf numFmtId="0" fontId="53" fillId="3" borderId="1" xfId="0" applyFont="1" applyFill="1" applyBorder="1" applyAlignment="1">
      <alignment horizontal="center" vertical="center" wrapText="1"/>
    </xf>
    <xf numFmtId="0" fontId="53" fillId="0" borderId="1" xfId="0" applyFont="1" applyBorder="1" applyAlignment="1">
      <alignment horizontal="center" vertical="center" wrapText="1"/>
    </xf>
    <xf numFmtId="0" fontId="13" fillId="0" borderId="1" xfId="0" applyFont="1" applyBorder="1" applyAlignment="1">
      <alignment wrapText="1"/>
    </xf>
    <xf numFmtId="0" fontId="39" fillId="0" borderId="1" xfId="0" applyFont="1" applyBorder="1" applyAlignment="1">
      <alignment horizontal="center" vertical="center"/>
    </xf>
    <xf numFmtId="9" fontId="13" fillId="0" borderId="1" xfId="3" applyFont="1" applyBorder="1" applyAlignment="1">
      <alignment horizontal="center" vertical="center"/>
    </xf>
    <xf numFmtId="174" fontId="13" fillId="0" borderId="1" xfId="0" applyNumberFormat="1" applyFont="1" applyBorder="1" applyAlignment="1">
      <alignment vertical="center"/>
    </xf>
    <xf numFmtId="174" fontId="13" fillId="0" borderId="4" xfId="0" applyNumberFormat="1" applyFont="1" applyBorder="1"/>
    <xf numFmtId="0" fontId="13" fillId="0" borderId="0" xfId="0" applyFont="1" applyAlignment="1">
      <alignment horizontal="center"/>
    </xf>
    <xf numFmtId="0" fontId="13" fillId="0" borderId="0" xfId="0" applyFont="1"/>
    <xf numFmtId="174" fontId="55" fillId="0" borderId="0" xfId="0" applyNumberFormat="1" applyFont="1"/>
    <xf numFmtId="179" fontId="13" fillId="0" borderId="1" xfId="7" applyNumberFormat="1" applyFont="1" applyBorder="1"/>
    <xf numFmtId="179" fontId="13" fillId="0" borderId="1" xfId="7" applyNumberFormat="1" applyFont="1" applyBorder="1" applyAlignment="1">
      <alignment vertical="center"/>
    </xf>
    <xf numFmtId="179" fontId="13" fillId="0" borderId="1" xfId="7" applyNumberFormat="1" applyFont="1" applyFill="1" applyBorder="1" applyAlignment="1">
      <alignment vertical="center"/>
    </xf>
    <xf numFmtId="179" fontId="13" fillId="0" borderId="0" xfId="0" applyNumberFormat="1" applyFont="1"/>
    <xf numFmtId="173" fontId="13" fillId="0" borderId="1" xfId="7" applyNumberFormat="1" applyFont="1" applyBorder="1"/>
    <xf numFmtId="173" fontId="13" fillId="0" borderId="1" xfId="7" applyNumberFormat="1" applyFont="1" applyBorder="1" applyAlignment="1">
      <alignment vertical="center"/>
    </xf>
    <xf numFmtId="173" fontId="13" fillId="0" borderId="1" xfId="7" applyNumberFormat="1" applyFont="1" applyFill="1" applyBorder="1" applyAlignment="1">
      <alignment vertical="center"/>
    </xf>
    <xf numFmtId="173" fontId="13" fillId="0" borderId="0" xfId="0" applyNumberFormat="1" applyFont="1"/>
    <xf numFmtId="173" fontId="13" fillId="0" borderId="3" xfId="0" applyNumberFormat="1" applyFont="1" applyBorder="1"/>
    <xf numFmtId="173" fontId="55" fillId="0" borderId="0" xfId="0" applyNumberFormat="1" applyFont="1"/>
    <xf numFmtId="173" fontId="0" fillId="0" borderId="1" xfId="7" applyNumberFormat="1" applyFont="1" applyBorder="1"/>
    <xf numFmtId="170" fontId="0" fillId="0" borderId="8" xfId="0" applyNumberFormat="1" applyBorder="1"/>
    <xf numFmtId="170" fontId="0" fillId="0" borderId="1" xfId="0" applyNumberFormat="1" applyBorder="1" applyAlignment="1">
      <alignment vertical="center" wrapText="1"/>
    </xf>
    <xf numFmtId="0" fontId="0" fillId="0" borderId="1" xfId="0" applyBorder="1" applyAlignment="1">
      <alignment vertical="center" wrapText="1"/>
    </xf>
    <xf numFmtId="170" fontId="0" fillId="11" borderId="7" xfId="0" applyNumberFormat="1" applyFill="1" applyBorder="1"/>
    <xf numFmtId="170" fontId="0" fillId="11" borderId="8" xfId="0" applyNumberFormat="1" applyFill="1" applyBorder="1"/>
    <xf numFmtId="170" fontId="0" fillId="11" borderId="1" xfId="0" applyNumberFormat="1" applyFill="1" applyBorder="1" applyAlignment="1">
      <alignment vertical="center"/>
    </xf>
    <xf numFmtId="0" fontId="4" fillId="0" borderId="1" xfId="0" applyFont="1" applyBorder="1" applyAlignment="1">
      <alignment vertical="center" wrapText="1"/>
    </xf>
    <xf numFmtId="0" fontId="0" fillId="0" borderId="1" xfId="0" applyBorder="1" applyAlignment="1">
      <alignment horizontal="right"/>
    </xf>
    <xf numFmtId="0" fontId="4" fillId="0" borderId="1" xfId="0" applyFont="1" applyBorder="1" applyAlignment="1">
      <alignment horizontal="right"/>
    </xf>
    <xf numFmtId="0" fontId="0" fillId="0" borderId="1" xfId="0" applyBorder="1" applyAlignment="1">
      <alignment horizontal="left"/>
    </xf>
    <xf numFmtId="0" fontId="33" fillId="3" borderId="1" xfId="0" applyFont="1" applyFill="1" applyBorder="1"/>
    <xf numFmtId="0" fontId="4" fillId="0" borderId="1" xfId="0" applyFont="1" applyBorder="1"/>
    <xf numFmtId="0" fontId="1" fillId="9" borderId="1" xfId="0" applyFont="1" applyFill="1" applyBorder="1"/>
    <xf numFmtId="169" fontId="13" fillId="3" borderId="1" xfId="0" applyNumberFormat="1" applyFont="1" applyFill="1" applyBorder="1" applyAlignment="1">
      <alignment vertical="center"/>
    </xf>
    <xf numFmtId="0" fontId="17" fillId="2" borderId="8" xfId="0" applyFont="1" applyFill="1" applyBorder="1" applyAlignment="1">
      <alignment horizontal="center" vertical="top" wrapText="1"/>
    </xf>
    <xf numFmtId="0" fontId="15" fillId="2" borderId="1" xfId="0" applyFont="1" applyFill="1" applyBorder="1" applyAlignment="1">
      <alignment horizontal="center" vertical="center" wrapText="1"/>
    </xf>
    <xf numFmtId="0" fontId="16" fillId="2" borderId="5" xfId="0" applyFont="1" applyFill="1" applyBorder="1"/>
    <xf numFmtId="0" fontId="16" fillId="2" borderId="6" xfId="0" applyFont="1" applyFill="1" applyBorder="1"/>
    <xf numFmtId="20" fontId="16" fillId="2" borderId="2" xfId="0" applyNumberFormat="1" applyFont="1" applyFill="1" applyBorder="1" applyAlignment="1">
      <alignment vertical="top"/>
    </xf>
    <xf numFmtId="20" fontId="16" fillId="2" borderId="3" xfId="0" applyNumberFormat="1" applyFont="1" applyFill="1" applyBorder="1" applyAlignment="1">
      <alignment vertical="top"/>
    </xf>
    <xf numFmtId="20" fontId="16" fillId="2" borderId="4" xfId="0" applyNumberFormat="1" applyFont="1" applyFill="1" applyBorder="1" applyAlignment="1">
      <alignment vertical="top"/>
    </xf>
    <xf numFmtId="20" fontId="16" fillId="2" borderId="1" xfId="0" applyNumberFormat="1" applyFont="1" applyFill="1" applyBorder="1" applyAlignment="1">
      <alignment vertical="top" wrapText="1"/>
    </xf>
    <xf numFmtId="20" fontId="16" fillId="2" borderId="1" xfId="0" applyNumberFormat="1" applyFont="1" applyFill="1" applyBorder="1" applyAlignment="1">
      <alignment vertical="top"/>
    </xf>
    <xf numFmtId="0" fontId="17" fillId="2" borderId="7" xfId="0" applyFont="1" applyFill="1" applyBorder="1" applyAlignment="1">
      <alignment horizontal="center" vertical="top" wrapText="1"/>
    </xf>
    <xf numFmtId="0" fontId="17" fillId="2" borderId="9" xfId="0" applyFont="1" applyFill="1" applyBorder="1" applyAlignment="1">
      <alignment horizontal="center" vertical="top" wrapText="1"/>
    </xf>
    <xf numFmtId="20" fontId="16" fillId="2" borderId="24" xfId="0" applyNumberFormat="1" applyFont="1" applyFill="1" applyBorder="1" applyAlignment="1">
      <alignment vertical="center"/>
    </xf>
    <xf numFmtId="20" fontId="16" fillId="2" borderId="25" xfId="0" applyNumberFormat="1" applyFont="1" applyFill="1" applyBorder="1" applyAlignment="1">
      <alignment vertical="center"/>
    </xf>
    <xf numFmtId="20" fontId="16" fillId="2" borderId="35" xfId="0" applyNumberFormat="1" applyFont="1" applyFill="1" applyBorder="1" applyAlignment="1">
      <alignment vertical="center"/>
    </xf>
    <xf numFmtId="20" fontId="16" fillId="2" borderId="5" xfId="0" applyNumberFormat="1" applyFont="1" applyFill="1" applyBorder="1" applyAlignment="1">
      <alignment vertical="center"/>
    </xf>
    <xf numFmtId="20" fontId="16" fillId="2" borderId="6" xfId="0" applyNumberFormat="1" applyFont="1" applyFill="1" applyBorder="1" applyAlignment="1">
      <alignment vertical="center"/>
    </xf>
    <xf numFmtId="20" fontId="16" fillId="2" borderId="36" xfId="0" applyNumberFormat="1" applyFont="1" applyFill="1" applyBorder="1" applyAlignment="1">
      <alignment vertical="center"/>
    </xf>
    <xf numFmtId="0" fontId="0" fillId="0" borderId="1" xfId="0" applyBorder="1" applyAlignment="1">
      <alignment horizontal="center" wrapText="1"/>
    </xf>
    <xf numFmtId="9" fontId="31" fillId="0" borderId="1" xfId="0" applyNumberFormat="1" applyFont="1" applyBorder="1" applyAlignment="1">
      <alignment horizontal="center" vertical="center"/>
    </xf>
    <xf numFmtId="0" fontId="31" fillId="0" borderId="1" xfId="0" applyFont="1" applyBorder="1" applyAlignment="1">
      <alignment horizontal="left" vertical="top" wrapText="1"/>
    </xf>
    <xf numFmtId="0" fontId="33" fillId="0" borderId="1" xfId="0" applyFont="1" applyBorder="1" applyAlignment="1">
      <alignment horizontal="left" wrapText="1"/>
    </xf>
    <xf numFmtId="0" fontId="33" fillId="0" borderId="1" xfId="0" applyFont="1" applyBorder="1" applyAlignment="1">
      <alignment vertical="center" wrapText="1"/>
    </xf>
    <xf numFmtId="0" fontId="4" fillId="0" borderId="1" xfId="0" applyFont="1" applyBorder="1" applyAlignment="1">
      <alignment horizontal="center" vertical="center" wrapText="1"/>
    </xf>
    <xf numFmtId="0" fontId="31" fillId="9" borderId="1" xfId="0" applyFont="1" applyFill="1" applyBorder="1" applyAlignment="1">
      <alignment horizontal="left" vertical="center" wrapText="1"/>
    </xf>
    <xf numFmtId="173" fontId="3" fillId="2" borderId="1" xfId="0" applyNumberFormat="1" applyFont="1" applyFill="1" applyBorder="1" applyAlignment="1">
      <alignment horizontal="center"/>
    </xf>
    <xf numFmtId="0" fontId="3" fillId="2" borderId="1" xfId="0" applyFont="1" applyFill="1" applyBorder="1"/>
    <xf numFmtId="173" fontId="51" fillId="0" borderId="1" xfId="0" applyNumberFormat="1" applyFont="1" applyBorder="1" applyAlignment="1">
      <alignment vertical="center"/>
    </xf>
    <xf numFmtId="0" fontId="56" fillId="0" borderId="40" xfId="0" applyFont="1" applyBorder="1" applyAlignment="1">
      <alignment horizontal="center" vertical="center" wrapText="1"/>
    </xf>
    <xf numFmtId="0" fontId="56" fillId="0" borderId="41" xfId="0" applyFont="1" applyBorder="1" applyAlignment="1">
      <alignment horizontal="center" vertical="center" wrapText="1"/>
    </xf>
    <xf numFmtId="0" fontId="45" fillId="0" borderId="40" xfId="0" applyFont="1" applyBorder="1" applyAlignment="1">
      <alignment horizontal="center" vertical="center" wrapText="1"/>
    </xf>
    <xf numFmtId="0" fontId="45" fillId="0" borderId="41" xfId="0" applyFont="1" applyBorder="1" applyAlignment="1">
      <alignment vertical="center" wrapText="1"/>
    </xf>
    <xf numFmtId="0" fontId="45" fillId="0" borderId="41" xfId="0" applyFont="1" applyBorder="1" applyAlignment="1">
      <alignment horizontal="right" vertical="center" wrapText="1"/>
    </xf>
    <xf numFmtId="0" fontId="56"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1" xfId="0" applyFont="1" applyBorder="1" applyAlignment="1">
      <alignment vertical="center" wrapText="1"/>
    </xf>
    <xf numFmtId="0" fontId="45" fillId="0" borderId="1" xfId="0" applyFont="1" applyBorder="1" applyAlignment="1">
      <alignment horizontal="right" vertical="center" wrapText="1"/>
    </xf>
    <xf numFmtId="0" fontId="35" fillId="0" borderId="1" xfId="0" applyFont="1" applyBorder="1"/>
    <xf numFmtId="0" fontId="0" fillId="8" borderId="1" xfId="0" applyFill="1" applyBorder="1"/>
    <xf numFmtId="20" fontId="0" fillId="8" borderId="1" xfId="0" applyNumberFormat="1" applyFill="1" applyBorder="1"/>
    <xf numFmtId="172" fontId="0" fillId="0" borderId="0" xfId="0" applyNumberFormat="1"/>
    <xf numFmtId="170" fontId="0" fillId="0" borderId="0" xfId="0" applyNumberFormat="1"/>
    <xf numFmtId="0" fontId="0" fillId="3" borderId="0" xfId="0" applyFill="1" applyProtection="1">
      <protection locked="0"/>
    </xf>
    <xf numFmtId="0" fontId="0" fillId="0" borderId="0" xfId="0" applyProtection="1">
      <protection locked="0"/>
    </xf>
    <xf numFmtId="0" fontId="15" fillId="14" borderId="1" xfId="0" applyFont="1" applyFill="1" applyBorder="1" applyAlignment="1" applyProtection="1">
      <alignment horizontal="center" vertical="center" wrapText="1"/>
      <protection locked="0"/>
    </xf>
    <xf numFmtId="168" fontId="17" fillId="14" borderId="1" xfId="4" applyNumberFormat="1" applyFont="1" applyFill="1" applyBorder="1" applyAlignment="1" applyProtection="1">
      <alignment horizontal="center" vertical="center" wrapText="1"/>
      <protection locked="0"/>
    </xf>
    <xf numFmtId="0" fontId="18" fillId="3" borderId="0" xfId="0" applyFont="1" applyFill="1" applyProtection="1">
      <protection locked="0"/>
    </xf>
    <xf numFmtId="0" fontId="18" fillId="0" borderId="0" xfId="0" applyFont="1" applyProtection="1">
      <protection locked="0"/>
    </xf>
    <xf numFmtId="0" fontId="21" fillId="0" borderId="1" xfId="0" applyFont="1" applyBorder="1" applyAlignment="1" applyProtection="1">
      <alignment horizontal="center" vertical="center"/>
      <protection locked="0"/>
    </xf>
    <xf numFmtId="0" fontId="58" fillId="3" borderId="1" xfId="0" applyFont="1" applyFill="1" applyBorder="1" applyAlignment="1" applyProtection="1">
      <alignment horizontal="center" vertical="center"/>
      <protection locked="0"/>
    </xf>
    <xf numFmtId="1" fontId="18" fillId="0" borderId="1" xfId="0" applyNumberFormat="1" applyFont="1" applyBorder="1" applyAlignment="1" applyProtection="1">
      <alignment horizontal="center" vertical="center"/>
      <protection locked="0"/>
    </xf>
    <xf numFmtId="180" fontId="20" fillId="0" borderId="1" xfId="0" applyNumberFormat="1" applyFont="1" applyBorder="1" applyAlignment="1" applyProtection="1">
      <alignment horizontal="center" vertical="center" shrinkToFit="1"/>
      <protection locked="0"/>
    </xf>
    <xf numFmtId="180" fontId="60" fillId="14" borderId="1" xfId="0" applyNumberFormat="1" applyFont="1" applyFill="1" applyBorder="1" applyAlignment="1" applyProtection="1">
      <alignment horizontal="center" vertical="center" shrinkToFit="1"/>
      <protection locked="0"/>
    </xf>
    <xf numFmtId="0" fontId="0" fillId="0" borderId="0" xfId="0" applyAlignment="1" applyProtection="1">
      <alignment vertical="top"/>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0" fontId="36" fillId="0" borderId="0" xfId="0" applyFont="1" applyAlignment="1" applyProtection="1">
      <alignment horizontal="center" vertical="center"/>
      <protection locked="0"/>
    </xf>
    <xf numFmtId="0" fontId="0" fillId="0" borderId="0" xfId="0" applyAlignment="1" applyProtection="1">
      <alignment vertical="center"/>
      <protection locked="0"/>
    </xf>
    <xf numFmtId="168" fontId="17" fillId="14" borderId="1" xfId="4" applyNumberFormat="1" applyFont="1" applyFill="1" applyBorder="1" applyAlignment="1" applyProtection="1">
      <alignment horizontal="center" vertical="center" wrapText="1"/>
    </xf>
    <xf numFmtId="180" fontId="20" fillId="11" borderId="1" xfId="0" applyNumberFormat="1" applyFont="1" applyFill="1" applyBorder="1" applyAlignment="1">
      <alignment horizontal="center" vertical="center" shrinkToFit="1"/>
    </xf>
    <xf numFmtId="180" fontId="60" fillId="14" borderId="1" xfId="0" applyNumberFormat="1" applyFont="1" applyFill="1" applyBorder="1" applyAlignment="1">
      <alignment horizontal="center" vertical="center" shrinkToFit="1"/>
    </xf>
    <xf numFmtId="0" fontId="15" fillId="14" borderId="1" xfId="0" applyFont="1" applyFill="1" applyBorder="1" applyAlignment="1" applyProtection="1">
      <alignment horizontal="center" vertical="center" wrapText="1"/>
      <protection locked="0"/>
    </xf>
    <xf numFmtId="0" fontId="59" fillId="0" borderId="1" xfId="0" applyFont="1" applyBorder="1" applyAlignment="1" applyProtection="1">
      <alignment horizontal="center" vertical="center" wrapText="1"/>
      <protection locked="0"/>
    </xf>
    <xf numFmtId="0" fontId="59" fillId="0" borderId="1" xfId="0" applyFont="1" applyBorder="1" applyAlignment="1" applyProtection="1">
      <alignment horizontal="center" vertical="center"/>
      <protection locked="0"/>
    </xf>
    <xf numFmtId="0" fontId="0" fillId="0" borderId="0" xfId="0" applyAlignment="1" applyProtection="1">
      <alignment horizontal="center" vertical="top" wrapText="1"/>
      <protection locked="0"/>
    </xf>
    <xf numFmtId="0" fontId="0" fillId="0" borderId="0" xfId="0" applyAlignment="1" applyProtection="1">
      <alignment horizontal="center" vertical="top"/>
      <protection locked="0"/>
    </xf>
    <xf numFmtId="0" fontId="59" fillId="14" borderId="1" xfId="0" applyFont="1" applyFill="1" applyBorder="1" applyAlignment="1" applyProtection="1">
      <alignment horizontal="center" vertical="center"/>
      <protection locked="0"/>
    </xf>
    <xf numFmtId="0" fontId="11" fillId="2" borderId="1" xfId="0" applyFont="1" applyFill="1" applyBorder="1" applyAlignment="1">
      <alignment horizontal="center"/>
    </xf>
    <xf numFmtId="173" fontId="0" fillId="0" borderId="1" xfId="0" applyNumberFormat="1" applyBorder="1" applyAlignment="1">
      <alignment horizontal="center" vertical="center"/>
    </xf>
    <xf numFmtId="0" fontId="0" fillId="0" borderId="1" xfId="0" applyBorder="1" applyAlignment="1">
      <alignment horizontal="center" vertical="center"/>
    </xf>
    <xf numFmtId="170" fontId="0" fillId="0" borderId="1" xfId="0" applyNumberFormat="1" applyBorder="1" applyAlignment="1">
      <alignment horizontal="center" vertical="center"/>
    </xf>
    <xf numFmtId="173" fontId="41" fillId="0" borderId="1" xfId="0" applyNumberFormat="1" applyFont="1" applyBorder="1" applyAlignment="1">
      <alignment horizontal="center" vertical="center"/>
    </xf>
    <xf numFmtId="0" fontId="41" fillId="0" borderId="1" xfId="0" applyFont="1" applyBorder="1" applyAlignment="1">
      <alignment horizontal="center" vertical="center"/>
    </xf>
    <xf numFmtId="0" fontId="56" fillId="0" borderId="1" xfId="0" applyFont="1" applyBorder="1" applyAlignment="1">
      <alignment horizontal="center" vertical="center" wrapText="1"/>
    </xf>
    <xf numFmtId="20" fontId="27" fillId="2" borderId="1" xfId="0" applyNumberFormat="1" applyFont="1" applyFill="1" applyBorder="1" applyAlignment="1">
      <alignment horizontal="center"/>
    </xf>
    <xf numFmtId="0" fontId="3" fillId="2" borderId="1" xfId="0" applyFont="1" applyFill="1" applyBorder="1" applyAlignment="1">
      <alignment horizontal="center" vertical="center"/>
    </xf>
    <xf numFmtId="20" fontId="3" fillId="2" borderId="1" xfId="0" applyNumberFormat="1" applyFont="1" applyFill="1" applyBorder="1" applyAlignment="1">
      <alignment horizontal="center"/>
    </xf>
    <xf numFmtId="0" fontId="3" fillId="2" borderId="1" xfId="0" applyFont="1" applyFill="1" applyBorder="1" applyAlignment="1">
      <alignment horizontal="center"/>
    </xf>
    <xf numFmtId="20" fontId="3" fillId="2" borderId="0" xfId="0" applyNumberFormat="1" applyFont="1" applyFill="1" applyAlignment="1">
      <alignment horizontal="center"/>
    </xf>
    <xf numFmtId="20" fontId="3" fillId="2" borderId="1" xfId="0" applyNumberFormat="1" applyFont="1" applyFill="1" applyBorder="1" applyAlignment="1">
      <alignment horizontal="center" wrapText="1"/>
    </xf>
    <xf numFmtId="170" fontId="3" fillId="2" borderId="1" xfId="0" applyNumberFormat="1" applyFont="1" applyFill="1" applyBorder="1" applyAlignment="1">
      <alignment horizontal="center"/>
    </xf>
    <xf numFmtId="170" fontId="3" fillId="2" borderId="7" xfId="0" applyNumberFormat="1" applyFont="1" applyFill="1" applyBorder="1" applyAlignment="1">
      <alignment horizontal="center"/>
    </xf>
    <xf numFmtId="0" fontId="3" fillId="2" borderId="29" xfId="0" applyFont="1" applyFill="1" applyBorder="1" applyAlignment="1">
      <alignment horizontal="center"/>
    </xf>
    <xf numFmtId="0" fontId="3" fillId="2" borderId="30" xfId="0" applyFont="1" applyFill="1" applyBorder="1" applyAlignment="1">
      <alignment horizontal="center"/>
    </xf>
    <xf numFmtId="0" fontId="3" fillId="2" borderId="31" xfId="0" applyFont="1" applyFill="1" applyBorder="1" applyAlignment="1">
      <alignment horizontal="center"/>
    </xf>
    <xf numFmtId="170" fontId="3" fillId="2" borderId="27" xfId="0" applyNumberFormat="1" applyFont="1" applyFill="1" applyBorder="1" applyAlignment="1">
      <alignment horizontal="center"/>
    </xf>
    <xf numFmtId="170" fontId="3" fillId="2" borderId="32" xfId="0" applyNumberFormat="1" applyFont="1" applyFill="1" applyBorder="1" applyAlignment="1">
      <alignment horizontal="center"/>
    </xf>
    <xf numFmtId="170" fontId="0" fillId="0" borderId="7" xfId="0" applyNumberFormat="1" applyBorder="1" applyAlignment="1">
      <alignment horizontal="center" vertical="center"/>
    </xf>
    <xf numFmtId="170" fontId="0" fillId="0" borderId="9" xfId="0" applyNumberFormat="1" applyBorder="1" applyAlignment="1">
      <alignment horizontal="center" vertical="center"/>
    </xf>
    <xf numFmtId="170" fontId="0" fillId="0" borderId="8" xfId="0" applyNumberFormat="1" applyBorder="1" applyAlignment="1">
      <alignment horizontal="center" vertical="center"/>
    </xf>
    <xf numFmtId="170" fontId="41" fillId="0" borderId="7" xfId="0" applyNumberFormat="1" applyFont="1" applyBorder="1" applyAlignment="1">
      <alignment horizontal="center" vertical="center"/>
    </xf>
    <xf numFmtId="170" fontId="41" fillId="0" borderId="9" xfId="0" applyNumberFormat="1" applyFont="1" applyBorder="1" applyAlignment="1">
      <alignment horizontal="center" vertical="center"/>
    </xf>
    <xf numFmtId="170" fontId="41" fillId="0" borderId="8" xfId="0" applyNumberFormat="1" applyFont="1" applyBorder="1" applyAlignment="1">
      <alignment horizontal="center" vertical="center"/>
    </xf>
    <xf numFmtId="0" fontId="0" fillId="0" borderId="26" xfId="0" applyBorder="1" applyAlignment="1">
      <alignment horizontal="center"/>
    </xf>
    <xf numFmtId="172" fontId="0" fillId="11" borderId="1" xfId="0" applyNumberFormat="1" applyFill="1" applyBorder="1" applyAlignment="1">
      <alignment horizontal="center" vertical="center"/>
    </xf>
    <xf numFmtId="0" fontId="0" fillId="11" borderId="1" xfId="0" applyFill="1" applyBorder="1" applyAlignment="1">
      <alignment horizontal="center" vertical="center"/>
    </xf>
    <xf numFmtId="173" fontId="0" fillId="11" borderId="7" xfId="0" applyNumberFormat="1" applyFill="1" applyBorder="1" applyAlignment="1">
      <alignment horizontal="center"/>
    </xf>
    <xf numFmtId="0" fontId="0" fillId="11" borderId="8" xfId="0" applyFill="1" applyBorder="1" applyAlignment="1">
      <alignment horizontal="center"/>
    </xf>
    <xf numFmtId="0" fontId="0" fillId="0" borderId="24" xfId="0" applyBorder="1" applyAlignment="1">
      <alignment horizontal="center"/>
    </xf>
    <xf numFmtId="170" fontId="0" fillId="11" borderId="1" xfId="0" applyNumberFormat="1" applyFill="1" applyBorder="1" applyAlignment="1">
      <alignment horizontal="center" vertical="center"/>
    </xf>
    <xf numFmtId="20" fontId="16" fillId="2" borderId="2" xfId="0" applyNumberFormat="1" applyFont="1" applyFill="1" applyBorder="1" applyAlignment="1">
      <alignment horizontal="center" vertical="center"/>
    </xf>
    <xf numFmtId="20" fontId="16" fillId="2" borderId="3" xfId="0" applyNumberFormat="1" applyFont="1" applyFill="1" applyBorder="1" applyAlignment="1">
      <alignment horizontal="center" vertical="center"/>
    </xf>
    <xf numFmtId="20" fontId="16" fillId="2" borderId="4" xfId="0" applyNumberFormat="1" applyFont="1" applyFill="1" applyBorder="1" applyAlignment="1">
      <alignment horizontal="center" vertical="center"/>
    </xf>
    <xf numFmtId="0" fontId="17" fillId="2" borderId="7" xfId="0" applyFont="1" applyFill="1" applyBorder="1" applyAlignment="1">
      <alignment horizontal="center" vertical="center" wrapText="1"/>
    </xf>
    <xf numFmtId="0" fontId="17" fillId="2" borderId="8" xfId="0" applyFont="1" applyFill="1" applyBorder="1" applyAlignment="1">
      <alignment horizontal="center" vertical="center" wrapText="1"/>
    </xf>
    <xf numFmtId="0" fontId="28" fillId="2" borderId="1" xfId="0" applyFont="1" applyFill="1" applyBorder="1" applyAlignment="1">
      <alignment horizontal="center" vertical="center"/>
    </xf>
    <xf numFmtId="169" fontId="17" fillId="2" borderId="1" xfId="5" applyNumberFormat="1" applyFont="1" applyFill="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7"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49" fontId="17" fillId="2" borderId="1" xfId="0" applyNumberFormat="1" applyFont="1" applyFill="1" applyBorder="1" applyAlignment="1">
      <alignment horizontal="center" vertical="center" wrapText="1"/>
    </xf>
    <xf numFmtId="20" fontId="16" fillId="2" borderId="1" xfId="0" applyNumberFormat="1" applyFont="1" applyFill="1" applyBorder="1" applyAlignment="1">
      <alignment horizontal="center"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1" xfId="0" applyBorder="1" applyAlignment="1">
      <alignment horizontal="center"/>
    </xf>
    <xf numFmtId="0" fontId="13" fillId="3" borderId="2" xfId="0" applyFont="1" applyFill="1" applyBorder="1" applyAlignment="1">
      <alignment horizontal="center"/>
    </xf>
    <xf numFmtId="0" fontId="13" fillId="3" borderId="3" xfId="0" applyFont="1" applyFill="1" applyBorder="1" applyAlignment="1">
      <alignment horizontal="center"/>
    </xf>
    <xf numFmtId="0" fontId="13" fillId="3" borderId="4" xfId="0" applyFont="1" applyFill="1" applyBorder="1" applyAlignment="1">
      <alignment horizontal="center"/>
    </xf>
    <xf numFmtId="0" fontId="0" fillId="0" borderId="25" xfId="0" applyBorder="1" applyAlignment="1">
      <alignment horizontal="center" vertical="center"/>
    </xf>
    <xf numFmtId="20" fontId="16" fillId="2" borderId="1" xfId="0" applyNumberFormat="1" applyFont="1" applyFill="1" applyBorder="1" applyAlignment="1">
      <alignment horizontal="center" vertical="center"/>
    </xf>
    <xf numFmtId="0" fontId="32" fillId="2" borderId="1" xfId="0" applyFont="1" applyFill="1" applyBorder="1" applyAlignment="1">
      <alignment horizontal="center" vertical="center" wrapText="1"/>
    </xf>
    <xf numFmtId="0" fontId="32" fillId="2" borderId="1" xfId="0" applyFont="1" applyFill="1" applyBorder="1" applyAlignment="1">
      <alignment horizontal="center" vertical="center"/>
    </xf>
    <xf numFmtId="0" fontId="0" fillId="3" borderId="1" xfId="0" applyFill="1" applyBorder="1" applyAlignment="1">
      <alignment horizontal="center"/>
    </xf>
    <xf numFmtId="0" fontId="0" fillId="3" borderId="1" xfId="0" applyFill="1" applyBorder="1" applyAlignment="1">
      <alignment horizontal="center" vertical="center"/>
    </xf>
    <xf numFmtId="20" fontId="16" fillId="2" borderId="2" xfId="0" applyNumberFormat="1" applyFont="1" applyFill="1" applyBorder="1" applyAlignment="1">
      <alignment horizontal="center" vertical="top"/>
    </xf>
    <xf numFmtId="20" fontId="16" fillId="2" borderId="3" xfId="0" applyNumberFormat="1" applyFont="1" applyFill="1" applyBorder="1" applyAlignment="1">
      <alignment horizontal="center" vertical="top"/>
    </xf>
    <xf numFmtId="20" fontId="16" fillId="2" borderId="4" xfId="0" applyNumberFormat="1" applyFont="1" applyFill="1" applyBorder="1" applyAlignment="1">
      <alignment horizontal="center" vertical="top"/>
    </xf>
    <xf numFmtId="0" fontId="32" fillId="2" borderId="1" xfId="0" applyFont="1" applyFill="1" applyBorder="1" applyAlignment="1">
      <alignment horizontal="center" wrapText="1"/>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32" fillId="2" borderId="2" xfId="0" applyFont="1" applyFill="1" applyBorder="1" applyAlignment="1">
      <alignment horizontal="center" wrapText="1"/>
    </xf>
    <xf numFmtId="0" fontId="32" fillId="2" borderId="3" xfId="0" applyFont="1" applyFill="1" applyBorder="1" applyAlignment="1">
      <alignment horizontal="center" wrapText="1"/>
    </xf>
    <xf numFmtId="0" fontId="32" fillId="2" borderId="4" xfId="0" applyFont="1" applyFill="1" applyBorder="1" applyAlignment="1">
      <alignment horizontal="center" wrapText="1"/>
    </xf>
    <xf numFmtId="169" fontId="17" fillId="2" borderId="1" xfId="5" applyNumberFormat="1" applyFont="1" applyFill="1" applyBorder="1" applyAlignment="1">
      <alignment horizontal="center" vertical="top" wrapText="1"/>
    </xf>
    <xf numFmtId="0" fontId="21" fillId="3" borderId="1" xfId="0" applyFont="1" applyFill="1" applyBorder="1" applyAlignment="1">
      <alignment horizontal="center" vertical="center"/>
    </xf>
    <xf numFmtId="175" fontId="0" fillId="0" borderId="24" xfId="0" applyNumberFormat="1" applyBorder="1" applyAlignment="1">
      <alignment horizontal="center"/>
    </xf>
    <xf numFmtId="175" fontId="0" fillId="0" borderId="25" xfId="0" applyNumberFormat="1" applyBorder="1" applyAlignment="1">
      <alignment horizontal="center"/>
    </xf>
    <xf numFmtId="0" fontId="17" fillId="2" borderId="1" xfId="0" applyFont="1" applyFill="1" applyBorder="1" applyAlignment="1">
      <alignment horizontal="center" vertical="top" wrapText="1"/>
    </xf>
    <xf numFmtId="49" fontId="17" fillId="2" borderId="1" xfId="0" applyNumberFormat="1" applyFont="1" applyFill="1" applyBorder="1" applyAlignment="1">
      <alignment horizontal="center" vertical="top" wrapText="1"/>
    </xf>
    <xf numFmtId="169" fontId="17" fillId="2" borderId="15" xfId="5" applyNumberFormat="1" applyFont="1" applyFill="1" applyBorder="1" applyAlignment="1">
      <alignment horizontal="center" vertical="center" wrapText="1"/>
    </xf>
    <xf numFmtId="169" fontId="17" fillId="2" borderId="16" xfId="5" applyNumberFormat="1" applyFont="1" applyFill="1" applyBorder="1" applyAlignment="1">
      <alignment horizontal="center" vertical="center" wrapText="1"/>
    </xf>
    <xf numFmtId="169" fontId="17" fillId="2" borderId="17" xfId="5" applyNumberFormat="1" applyFont="1" applyFill="1" applyBorder="1" applyAlignment="1">
      <alignment horizontal="center" vertical="center" wrapText="1"/>
    </xf>
    <xf numFmtId="169" fontId="17" fillId="2" borderId="15" xfId="5" applyNumberFormat="1" applyFont="1" applyFill="1" applyBorder="1" applyAlignment="1">
      <alignment horizontal="center" vertical="top" wrapText="1"/>
    </xf>
    <xf numFmtId="169" fontId="17" fillId="2" borderId="16" xfId="5" applyNumberFormat="1" applyFont="1" applyFill="1" applyBorder="1" applyAlignment="1">
      <alignment horizontal="center" vertical="top" wrapText="1"/>
    </xf>
    <xf numFmtId="0" fontId="15" fillId="4" borderId="12" xfId="0" applyFont="1" applyFill="1" applyBorder="1" applyAlignment="1">
      <alignment horizontal="center" vertical="center" wrapText="1"/>
    </xf>
    <xf numFmtId="0" fontId="21" fillId="0" borderId="10" xfId="0" applyFont="1" applyBorder="1"/>
    <xf numFmtId="0" fontId="21" fillId="0" borderId="11" xfId="0" applyFont="1" applyBorder="1"/>
    <xf numFmtId="0" fontId="15" fillId="13" borderId="12" xfId="0" applyFont="1" applyFill="1" applyBorder="1" applyAlignment="1">
      <alignment horizontal="center" vertical="center" wrapText="1"/>
    </xf>
    <xf numFmtId="0" fontId="21" fillId="3" borderId="10" xfId="0" applyFont="1" applyFill="1" applyBorder="1"/>
    <xf numFmtId="0" fontId="21" fillId="3" borderId="11" xfId="0" applyFont="1" applyFill="1" applyBorder="1"/>
    <xf numFmtId="0" fontId="21" fillId="3" borderId="22" xfId="0" applyFont="1" applyFill="1" applyBorder="1"/>
    <xf numFmtId="0" fontId="21" fillId="0" borderId="10" xfId="0" applyFont="1" applyBorder="1" applyAlignment="1">
      <alignment vertical="center"/>
    </xf>
    <xf numFmtId="0" fontId="21" fillId="0" borderId="11" xfId="0" applyFont="1" applyBorder="1" applyAlignment="1">
      <alignment vertical="center"/>
    </xf>
    <xf numFmtId="0" fontId="17" fillId="2" borderId="8" xfId="0" applyFont="1" applyFill="1" applyBorder="1" applyAlignment="1">
      <alignment horizontal="center" vertical="top" wrapText="1"/>
    </xf>
    <xf numFmtId="169" fontId="17" fillId="2" borderId="8" xfId="5" applyNumberFormat="1" applyFont="1" applyFill="1" applyBorder="1" applyAlignment="1">
      <alignment horizontal="center" vertical="top" wrapText="1"/>
    </xf>
    <xf numFmtId="169" fontId="17" fillId="2" borderId="7" xfId="5" applyNumberFormat="1" applyFont="1" applyFill="1" applyBorder="1" applyAlignment="1">
      <alignment horizontal="center" vertical="top" wrapText="1"/>
    </xf>
    <xf numFmtId="169" fontId="17" fillId="2" borderId="18" xfId="5" applyNumberFormat="1" applyFont="1" applyFill="1" applyBorder="1" applyAlignment="1">
      <alignment horizontal="center" vertical="top" wrapText="1"/>
    </xf>
    <xf numFmtId="169" fontId="17" fillId="2" borderId="17" xfId="5" applyNumberFormat="1" applyFont="1" applyFill="1" applyBorder="1" applyAlignment="1">
      <alignment horizontal="center" vertical="top" wrapText="1"/>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8" fillId="3" borderId="7" xfId="0" applyFont="1" applyFill="1" applyBorder="1" applyAlignment="1">
      <alignment horizontal="center" wrapText="1"/>
    </xf>
    <xf numFmtId="0" fontId="18" fillId="3" borderId="9" xfId="0" applyFont="1" applyFill="1" applyBorder="1" applyAlignment="1">
      <alignment horizontal="center" wrapText="1"/>
    </xf>
    <xf numFmtId="0" fontId="18" fillId="3" borderId="8" xfId="0" applyFont="1" applyFill="1" applyBorder="1" applyAlignment="1">
      <alignment horizontal="center" wrapText="1"/>
    </xf>
    <xf numFmtId="0" fontId="15" fillId="0" borderId="2"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49" fontId="17" fillId="2" borderId="8" xfId="0" applyNumberFormat="1" applyFont="1" applyFill="1" applyBorder="1" applyAlignment="1">
      <alignment horizontal="center" vertical="top" wrapText="1"/>
    </xf>
    <xf numFmtId="0" fontId="15" fillId="2" borderId="1" xfId="0" applyFont="1" applyFill="1" applyBorder="1" applyAlignment="1">
      <alignment horizontal="center" vertical="center" wrapText="1"/>
    </xf>
    <xf numFmtId="20" fontId="16" fillId="2" borderId="1" xfId="0" applyNumberFormat="1" applyFont="1" applyFill="1" applyBorder="1" applyAlignment="1">
      <alignment horizontal="center" vertical="top"/>
    </xf>
    <xf numFmtId="0" fontId="24" fillId="2" borderId="1" xfId="0" applyFont="1" applyFill="1" applyBorder="1" applyAlignment="1">
      <alignment horizontal="center" vertical="center"/>
    </xf>
    <xf numFmtId="0" fontId="16" fillId="2" borderId="1" xfId="0" applyFont="1" applyFill="1" applyBorder="1" applyAlignment="1">
      <alignment horizontal="center"/>
    </xf>
    <xf numFmtId="0" fontId="45" fillId="0" borderId="1" xfId="0" applyFont="1" applyBorder="1" applyAlignment="1">
      <alignment horizontal="center" wrapText="1"/>
    </xf>
    <xf numFmtId="0" fontId="0" fillId="0" borderId="1" xfId="0" applyBorder="1" applyAlignment="1">
      <alignment horizontal="center" wrapText="1"/>
    </xf>
    <xf numFmtId="0" fontId="56" fillId="0" borderId="37" xfId="0" applyFont="1" applyBorder="1" applyAlignment="1">
      <alignment horizontal="center" vertical="center" wrapText="1"/>
    </xf>
    <xf numFmtId="0" fontId="56" fillId="0" borderId="38" xfId="0" applyFont="1" applyBorder="1" applyAlignment="1">
      <alignment horizontal="center" vertical="center" wrapText="1"/>
    </xf>
    <xf numFmtId="0" fontId="56" fillId="0" borderId="39" xfId="0" applyFont="1" applyBorder="1" applyAlignment="1">
      <alignment horizontal="center" vertical="center" wrapText="1"/>
    </xf>
  </cellXfs>
  <cellStyles count="14">
    <cellStyle name="Millares" xfId="13" builtinId="3"/>
    <cellStyle name="Millares 2" xfId="5" xr:uid="{00000000-0005-0000-0000-000000000000}"/>
    <cellStyle name="Moneda" xfId="7" builtinId="4"/>
    <cellStyle name="Moneda [0]" xfId="2" builtinId="7"/>
    <cellStyle name="Moneda 2" xfId="4" xr:uid="{00000000-0005-0000-0000-000003000000}"/>
    <cellStyle name="Moneda 2 2" xfId="6" xr:uid="{00000000-0005-0000-0000-000004000000}"/>
    <cellStyle name="Normal" xfId="0" builtinId="0"/>
    <cellStyle name="Normal 10" xfId="1" xr:uid="{00000000-0005-0000-0000-000006000000}"/>
    <cellStyle name="Normal 11" xfId="10" xr:uid="{AA2E3FAE-194B-4288-8CF7-B9210F3A047B}"/>
    <cellStyle name="Normal 12" xfId="12" xr:uid="{6B4AF562-C3B3-4E41-81BA-D96DA16A3CEA}"/>
    <cellStyle name="Normal 2" xfId="11" xr:uid="{18312C8A-83CB-4760-AEF4-57D3B4785C18}"/>
    <cellStyle name="Normal 4" xfId="9" xr:uid="{5CEDC20C-0CB3-42B5-AB9F-3E105F57510F}"/>
    <cellStyle name="Normal 9" xfId="8" xr:uid="{7732AD4F-4BB1-46E3-8D39-6845111375E2}"/>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png"/><Relationship Id="rId7" Type="http://schemas.openxmlformats.org/officeDocument/2006/relationships/image" Target="../media/image8.jpeg"/><Relationship Id="rId2" Type="http://schemas.openxmlformats.org/officeDocument/2006/relationships/image" Target="../media/image3.jpg"/><Relationship Id="rId1" Type="http://schemas.openxmlformats.org/officeDocument/2006/relationships/image" Target="../media/image2.jpeg"/><Relationship Id="rId6" Type="http://schemas.openxmlformats.org/officeDocument/2006/relationships/image" Target="../media/image7.gif"/><Relationship Id="rId5" Type="http://schemas.openxmlformats.org/officeDocument/2006/relationships/image" Target="../media/image6.png"/><Relationship Id="rId4" Type="http://schemas.openxmlformats.org/officeDocument/2006/relationships/image" Target="../media/image5.jpeg"/><Relationship Id="rId9"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editAs="oneCell">
    <xdr:from>
      <xdr:col>0</xdr:col>
      <xdr:colOff>76201</xdr:colOff>
      <xdr:row>0</xdr:row>
      <xdr:rowOff>142875</xdr:rowOff>
    </xdr:from>
    <xdr:to>
      <xdr:col>0</xdr:col>
      <xdr:colOff>533401</xdr:colOff>
      <xdr:row>0</xdr:row>
      <xdr:rowOff>552450</xdr:rowOff>
    </xdr:to>
    <xdr:pic>
      <xdr:nvPicPr>
        <xdr:cNvPr id="2" name="Imagen 1">
          <a:extLst>
            <a:ext uri="{FF2B5EF4-FFF2-40B4-BE49-F238E27FC236}">
              <a16:creationId xmlns:a16="http://schemas.microsoft.com/office/drawing/2014/main" id="{D34917B8-2DCE-4480-BC95-A65CA23490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1" y="142875"/>
          <a:ext cx="457200" cy="40957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217715</xdr:colOff>
      <xdr:row>228</xdr:row>
      <xdr:rowOff>1428750</xdr:rowOff>
    </xdr:from>
    <xdr:to>
      <xdr:col>7</xdr:col>
      <xdr:colOff>516800</xdr:colOff>
      <xdr:row>233</xdr:row>
      <xdr:rowOff>171751</xdr:rowOff>
    </xdr:to>
    <xdr:sp macro="" textlink="">
      <xdr:nvSpPr>
        <xdr:cNvPr id="2" name="AutoShape 5" descr="casco para trabajo en alturas singing rock certificado.">
          <a:extLst>
            <a:ext uri="{FF2B5EF4-FFF2-40B4-BE49-F238E27FC236}">
              <a16:creationId xmlns:a16="http://schemas.microsoft.com/office/drawing/2014/main" id="{695FFBE7-2E48-4BD9-881B-5B00AA8D6E10}"/>
            </a:ext>
          </a:extLst>
        </xdr:cNvPr>
        <xdr:cNvSpPr>
          <a:spLocks noChangeAspect="1" noChangeArrowheads="1"/>
        </xdr:cNvSpPr>
      </xdr:nvSpPr>
      <xdr:spPr bwMode="auto">
        <a:xfrm>
          <a:off x="7784375" y="97836990"/>
          <a:ext cx="1899285" cy="7521241"/>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CO"/>
        </a:p>
      </xdr:txBody>
    </xdr:sp>
    <xdr:clientData/>
  </xdr:twoCellAnchor>
  <xdr:twoCellAnchor editAs="oneCell">
    <xdr:from>
      <xdr:col>6</xdr:col>
      <xdr:colOff>0</xdr:colOff>
      <xdr:row>228</xdr:row>
      <xdr:rowOff>0</xdr:rowOff>
    </xdr:from>
    <xdr:to>
      <xdr:col>6</xdr:col>
      <xdr:colOff>1533525</xdr:colOff>
      <xdr:row>231</xdr:row>
      <xdr:rowOff>387652</xdr:rowOff>
    </xdr:to>
    <xdr:sp macro="" textlink="">
      <xdr:nvSpPr>
        <xdr:cNvPr id="3" name="MCO455095421-I" descr="Casco Para Trabajo En Alturas Singing Rock Certificado.">
          <a:extLst>
            <a:ext uri="{FF2B5EF4-FFF2-40B4-BE49-F238E27FC236}">
              <a16:creationId xmlns:a16="http://schemas.microsoft.com/office/drawing/2014/main" id="{2EEF9198-8E82-4036-BC21-D4BBA8AB3E3F}"/>
            </a:ext>
          </a:extLst>
        </xdr:cNvPr>
        <xdr:cNvSpPr>
          <a:spLocks noChangeAspect="1" noChangeArrowheads="1"/>
        </xdr:cNvSpPr>
      </xdr:nvSpPr>
      <xdr:spPr bwMode="auto">
        <a:xfrm>
          <a:off x="7566660" y="96408240"/>
          <a:ext cx="1533525" cy="686465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136072</xdr:colOff>
      <xdr:row>223</xdr:row>
      <xdr:rowOff>870857</xdr:rowOff>
    </xdr:from>
    <xdr:to>
      <xdr:col>6</xdr:col>
      <xdr:colOff>1469572</xdr:colOff>
      <xdr:row>223</xdr:row>
      <xdr:rowOff>2423772</xdr:rowOff>
    </xdr:to>
    <xdr:pic>
      <xdr:nvPicPr>
        <xdr:cNvPr id="4" name="Imagen 3">
          <a:extLst>
            <a:ext uri="{FF2B5EF4-FFF2-40B4-BE49-F238E27FC236}">
              <a16:creationId xmlns:a16="http://schemas.microsoft.com/office/drawing/2014/main" id="{98CDEE54-81D6-40A0-94E3-3C9C1A7E528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775" r="12903"/>
        <a:stretch/>
      </xdr:blipFill>
      <xdr:spPr bwMode="auto">
        <a:xfrm>
          <a:off x="7702732" y="74487677"/>
          <a:ext cx="1333500" cy="1552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54428</xdr:colOff>
      <xdr:row>224</xdr:row>
      <xdr:rowOff>489857</xdr:rowOff>
    </xdr:from>
    <xdr:to>
      <xdr:col>6</xdr:col>
      <xdr:colOff>1428750</xdr:colOff>
      <xdr:row>224</xdr:row>
      <xdr:rowOff>1867057</xdr:rowOff>
    </xdr:to>
    <xdr:pic>
      <xdr:nvPicPr>
        <xdr:cNvPr id="5" name="Imagen 4">
          <a:extLst>
            <a:ext uri="{FF2B5EF4-FFF2-40B4-BE49-F238E27FC236}">
              <a16:creationId xmlns:a16="http://schemas.microsoft.com/office/drawing/2014/main" id="{6AC4C12D-1519-4C1B-857C-7CE81C8159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621088" y="79311137"/>
          <a:ext cx="1374322" cy="1377200"/>
        </a:xfrm>
        <a:prstGeom prst="rect">
          <a:avLst/>
        </a:prstGeom>
      </xdr:spPr>
    </xdr:pic>
    <xdr:clientData/>
  </xdr:twoCellAnchor>
  <xdr:twoCellAnchor editAs="oneCell">
    <xdr:from>
      <xdr:col>6</xdr:col>
      <xdr:colOff>312964</xdr:colOff>
      <xdr:row>225</xdr:row>
      <xdr:rowOff>381000</xdr:rowOff>
    </xdr:from>
    <xdr:to>
      <xdr:col>6</xdr:col>
      <xdr:colOff>1289277</xdr:colOff>
      <xdr:row>225</xdr:row>
      <xdr:rowOff>1465829</xdr:rowOff>
    </xdr:to>
    <xdr:pic>
      <xdr:nvPicPr>
        <xdr:cNvPr id="6" name="Imagen 5">
          <a:extLst>
            <a:ext uri="{FF2B5EF4-FFF2-40B4-BE49-F238E27FC236}">
              <a16:creationId xmlns:a16="http://schemas.microsoft.com/office/drawing/2014/main" id="{07E20E96-601F-4909-8BEC-F4193DA829F6}"/>
            </a:ext>
          </a:extLst>
        </xdr:cNvPr>
        <xdr:cNvPicPr/>
      </xdr:nvPicPr>
      <xdr:blipFill rotWithShape="1">
        <a:blip xmlns:r="http://schemas.openxmlformats.org/officeDocument/2006/relationships" r:embed="rId3"/>
        <a:srcRect l="26477" t="33796" r="48133" b="8991"/>
        <a:stretch/>
      </xdr:blipFill>
      <xdr:spPr bwMode="auto">
        <a:xfrm>
          <a:off x="7879624" y="84406740"/>
          <a:ext cx="976313" cy="1084829"/>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xdr:colOff>
      <xdr:row>226</xdr:row>
      <xdr:rowOff>0</xdr:rowOff>
    </xdr:from>
    <xdr:to>
      <xdr:col>6</xdr:col>
      <xdr:colOff>1510393</xdr:colOff>
      <xdr:row>226</xdr:row>
      <xdr:rowOff>707574</xdr:rowOff>
    </xdr:to>
    <xdr:pic>
      <xdr:nvPicPr>
        <xdr:cNvPr id="7" name="Imagen 6">
          <a:extLst>
            <a:ext uri="{FF2B5EF4-FFF2-40B4-BE49-F238E27FC236}">
              <a16:creationId xmlns:a16="http://schemas.microsoft.com/office/drawing/2014/main" id="{7BC9EA87-58E2-4367-8F65-613D3D0E8FDD}"/>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3110" r="15496"/>
        <a:stretch/>
      </xdr:blipFill>
      <xdr:spPr>
        <a:xfrm rot="5400000">
          <a:off x="7968070" y="87624831"/>
          <a:ext cx="707574" cy="1510392"/>
        </a:xfrm>
        <a:prstGeom prst="rect">
          <a:avLst/>
        </a:prstGeom>
      </xdr:spPr>
    </xdr:pic>
    <xdr:clientData/>
  </xdr:twoCellAnchor>
  <xdr:twoCellAnchor editAs="oneCell">
    <xdr:from>
      <xdr:col>6</xdr:col>
      <xdr:colOff>299357</xdr:colOff>
      <xdr:row>227</xdr:row>
      <xdr:rowOff>27216</xdr:rowOff>
    </xdr:from>
    <xdr:to>
      <xdr:col>6</xdr:col>
      <xdr:colOff>1317171</xdr:colOff>
      <xdr:row>227</xdr:row>
      <xdr:rowOff>836841</xdr:rowOff>
    </xdr:to>
    <xdr:pic>
      <xdr:nvPicPr>
        <xdr:cNvPr id="8" name="Imagen 7">
          <a:extLst>
            <a:ext uri="{FF2B5EF4-FFF2-40B4-BE49-F238E27FC236}">
              <a16:creationId xmlns:a16="http://schemas.microsoft.com/office/drawing/2014/main" id="{10DFA584-22DB-4810-897B-A6155F9D2EDB}"/>
            </a:ext>
          </a:extLst>
        </xdr:cNvPr>
        <xdr:cNvPicPr/>
      </xdr:nvPicPr>
      <xdr:blipFill rotWithShape="1">
        <a:blip xmlns:r="http://schemas.openxmlformats.org/officeDocument/2006/relationships" r:embed="rId5"/>
        <a:srcRect l="23218" t="35968" r="51527" b="8268"/>
        <a:stretch/>
      </xdr:blipFill>
      <xdr:spPr bwMode="auto">
        <a:xfrm rot="5400000">
          <a:off x="7970111" y="92521362"/>
          <a:ext cx="809625" cy="1017814"/>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163286</xdr:colOff>
      <xdr:row>228</xdr:row>
      <xdr:rowOff>680357</xdr:rowOff>
    </xdr:from>
    <xdr:to>
      <xdr:col>6</xdr:col>
      <xdr:colOff>1226925</xdr:colOff>
      <xdr:row>228</xdr:row>
      <xdr:rowOff>1442358</xdr:rowOff>
    </xdr:to>
    <xdr:pic>
      <xdr:nvPicPr>
        <xdr:cNvPr id="9" name="Imagen 8">
          <a:extLst>
            <a:ext uri="{FF2B5EF4-FFF2-40B4-BE49-F238E27FC236}">
              <a16:creationId xmlns:a16="http://schemas.microsoft.com/office/drawing/2014/main" id="{85933D62-9724-4F42-8D64-440FBF61070F}"/>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23152" r="18052"/>
        <a:stretch/>
      </xdr:blipFill>
      <xdr:spPr>
        <a:xfrm rot="16200000">
          <a:off x="7880765" y="96937778"/>
          <a:ext cx="762001" cy="1063639"/>
        </a:xfrm>
        <a:prstGeom prst="rect">
          <a:avLst/>
        </a:prstGeom>
      </xdr:spPr>
    </xdr:pic>
    <xdr:clientData/>
  </xdr:twoCellAnchor>
  <xdr:twoCellAnchor editAs="oneCell">
    <xdr:from>
      <xdr:col>6</xdr:col>
      <xdr:colOff>209550</xdr:colOff>
      <xdr:row>229</xdr:row>
      <xdr:rowOff>285750</xdr:rowOff>
    </xdr:from>
    <xdr:to>
      <xdr:col>6</xdr:col>
      <xdr:colOff>1387379</xdr:colOff>
      <xdr:row>229</xdr:row>
      <xdr:rowOff>1019439</xdr:rowOff>
    </xdr:to>
    <xdr:pic>
      <xdr:nvPicPr>
        <xdr:cNvPr id="10" name="Imagen 9">
          <a:extLst>
            <a:ext uri="{FF2B5EF4-FFF2-40B4-BE49-F238E27FC236}">
              <a16:creationId xmlns:a16="http://schemas.microsoft.com/office/drawing/2014/main" id="{0E7C084F-4200-48B5-AF4A-E23BD307542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7776210" y="100122990"/>
          <a:ext cx="1177829" cy="733689"/>
        </a:xfrm>
        <a:prstGeom prst="rect">
          <a:avLst/>
        </a:prstGeom>
      </xdr:spPr>
    </xdr:pic>
    <xdr:clientData/>
  </xdr:twoCellAnchor>
  <xdr:twoCellAnchor editAs="oneCell">
    <xdr:from>
      <xdr:col>6</xdr:col>
      <xdr:colOff>190500</xdr:colOff>
      <xdr:row>230</xdr:row>
      <xdr:rowOff>228600</xdr:rowOff>
    </xdr:from>
    <xdr:to>
      <xdr:col>6</xdr:col>
      <xdr:colOff>1313268</xdr:colOff>
      <xdr:row>230</xdr:row>
      <xdr:rowOff>840922</xdr:rowOff>
    </xdr:to>
    <xdr:pic>
      <xdr:nvPicPr>
        <xdr:cNvPr id="11" name="Imagen 10" descr="CORDINO TENDON 5, 6, 7 Y 8MM">
          <a:extLst>
            <a:ext uri="{FF2B5EF4-FFF2-40B4-BE49-F238E27FC236}">
              <a16:creationId xmlns:a16="http://schemas.microsoft.com/office/drawing/2014/main" id="{5ED46D7D-FF66-40B0-A72D-16AEBF4C97B8}"/>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rot="5400000">
          <a:off x="8012383" y="101525117"/>
          <a:ext cx="612322" cy="1122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133350</xdr:colOff>
      <xdr:row>231</xdr:row>
      <xdr:rowOff>304800</xdr:rowOff>
    </xdr:from>
    <xdr:to>
      <xdr:col>6</xdr:col>
      <xdr:colOff>1300678</xdr:colOff>
      <xdr:row>231</xdr:row>
      <xdr:rowOff>1031948</xdr:rowOff>
    </xdr:to>
    <xdr:pic>
      <xdr:nvPicPr>
        <xdr:cNvPr id="12" name="Imagen 11">
          <a:extLst>
            <a:ext uri="{FF2B5EF4-FFF2-40B4-BE49-F238E27FC236}">
              <a16:creationId xmlns:a16="http://schemas.microsoft.com/office/drawing/2014/main" id="{103A6A7B-35D1-4756-B63C-7F51D93D552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700010" y="103190040"/>
          <a:ext cx="1167328" cy="72714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hernandez@sena.edu.co" id="{F9B47471-94BA-44D6-9720-B15E2DF1C7FF}" userId="mhernandez@sena.edu.co" providerId="None"/>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533" dT="2022-02-24T11:33:19.19" personId="{F9B47471-94BA-44D6-9720-B15E2DF1C7FF}" id="{497F9A62-BB79-49C9-9978-7EB07F02DEEA}">
    <text>Emsure no es marca significa nivel de pureza del reactivo, si se pusiera marca seria Merck</text>
  </threadedComment>
  <threadedComment ref="F554" dT="2022-02-24T11:34:30.28" personId="{F9B47471-94BA-44D6-9720-B15E2DF1C7FF}" id="{85346E62-F962-4749-9BFC-89BD505A1797}">
    <text>winkler no es marca es nombre del procedimiento y el frasco toma el nombre</text>
  </threadedComment>
  <threadedComment ref="F716" dT="2022-02-24T11:20:19.92" personId="{F9B47471-94BA-44D6-9720-B15E2DF1C7FF}" id="{16A06A25-F253-4559-B4E9-D1DD070BFB31}">
    <text>genamin no es marca es el nombre comun con que se conoce, como decir blanqueador  en vez de hipoclorito de sodio</text>
  </threadedComment>
  <threadedComment ref="F739" dT="2022-02-24T11:20:19.92" personId="{F9B47471-94BA-44D6-9720-B15E2DF1C7FF}" id="{7AE09A76-686B-4630-98E8-CE621519B56F}">
    <text>genamin no es marca es el nombre comun con que se conoce, como decir blanqueador  en vez de hipoclorito de sodio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73"/>
  <sheetViews>
    <sheetView showGridLines="0" tabSelected="1" zoomScale="80" zoomScaleNormal="80" zoomScaleSheetLayoutView="20" workbookViewId="0">
      <selection activeCell="G2" sqref="G2"/>
    </sheetView>
  </sheetViews>
  <sheetFormatPr baseColWidth="10" defaultColWidth="11.44140625" defaultRowHeight="15.6" x14ac:dyDescent="0.3"/>
  <cols>
    <col min="1" max="1" width="17.109375" style="653" customWidth="1"/>
    <col min="2" max="2" width="11.6640625" style="654" bestFit="1" customWidth="1"/>
    <col min="3" max="3" width="20.6640625" style="653" customWidth="1"/>
    <col min="4" max="4" width="29.88671875" style="653" customWidth="1"/>
    <col min="5" max="5" width="26.77734375" style="653" customWidth="1"/>
    <col min="6" max="6" width="17.33203125" style="653" customWidth="1"/>
    <col min="7" max="7" width="21.21875" style="654" customWidth="1"/>
    <col min="8" max="8" width="19.77734375" style="655" customWidth="1"/>
    <col min="9" max="9" width="24.109375" style="656" customWidth="1"/>
    <col min="10" max="10" width="18.77734375" style="641" customWidth="1"/>
    <col min="11" max="11" width="29.44140625" style="641" bestFit="1" customWidth="1"/>
    <col min="12" max="29" width="11.44140625" style="641"/>
    <col min="30" max="16384" width="11.44140625" style="642"/>
  </cols>
  <sheetData>
    <row r="1" spans="1:29" ht="124.2" customHeight="1" x14ac:dyDescent="0.3">
      <c r="A1" s="661" t="s">
        <v>2077</v>
      </c>
      <c r="B1" s="662"/>
      <c r="C1" s="662"/>
      <c r="D1" s="662"/>
      <c r="E1" s="662"/>
      <c r="F1" s="662"/>
      <c r="G1" s="662"/>
      <c r="H1" s="662"/>
      <c r="I1" s="662"/>
    </row>
    <row r="2" spans="1:29" s="646" customFormat="1" ht="61.2" customHeight="1" x14ac:dyDescent="0.25">
      <c r="A2" s="643" t="s">
        <v>2045</v>
      </c>
      <c r="B2" s="643" t="s">
        <v>6</v>
      </c>
      <c r="C2" s="660" t="s">
        <v>2046</v>
      </c>
      <c r="D2" s="660"/>
      <c r="E2" s="660" t="s">
        <v>2047</v>
      </c>
      <c r="F2" s="660"/>
      <c r="G2" s="643" t="s">
        <v>2082</v>
      </c>
      <c r="H2" s="657" t="s">
        <v>2080</v>
      </c>
      <c r="I2" s="644" t="s">
        <v>2081</v>
      </c>
      <c r="J2" s="645"/>
      <c r="K2" s="645"/>
      <c r="L2" s="645"/>
      <c r="M2" s="645"/>
      <c r="N2" s="645"/>
      <c r="O2" s="645"/>
      <c r="P2" s="645"/>
      <c r="Q2" s="645"/>
      <c r="R2" s="645"/>
      <c r="S2" s="645"/>
      <c r="T2" s="645"/>
      <c r="U2" s="645"/>
      <c r="V2" s="645"/>
      <c r="W2" s="645"/>
      <c r="X2" s="645"/>
      <c r="Y2" s="645"/>
      <c r="Z2" s="645"/>
      <c r="AA2" s="645"/>
      <c r="AB2" s="645"/>
      <c r="AC2" s="645"/>
    </row>
    <row r="3" spans="1:29" s="646" customFormat="1" ht="22.05" customHeight="1" x14ac:dyDescent="0.25">
      <c r="A3" s="647">
        <v>78111803</v>
      </c>
      <c r="B3" s="647">
        <v>1</v>
      </c>
      <c r="C3" s="648" t="s">
        <v>2048</v>
      </c>
      <c r="D3" s="648" t="s">
        <v>2049</v>
      </c>
      <c r="E3" s="648" t="s">
        <v>2049</v>
      </c>
      <c r="F3" s="648" t="s">
        <v>2048</v>
      </c>
      <c r="G3" s="649">
        <v>20</v>
      </c>
      <c r="H3" s="658">
        <v>1026587</v>
      </c>
      <c r="I3" s="650">
        <v>0</v>
      </c>
      <c r="J3" s="645"/>
      <c r="K3" s="645"/>
      <c r="L3" s="645"/>
      <c r="M3" s="645"/>
      <c r="N3" s="645"/>
      <c r="O3" s="645"/>
      <c r="P3" s="645"/>
      <c r="Q3" s="645"/>
      <c r="R3" s="645"/>
      <c r="S3" s="645"/>
      <c r="T3" s="645"/>
      <c r="U3" s="645"/>
      <c r="V3" s="645"/>
      <c r="W3" s="645"/>
      <c r="X3" s="645"/>
      <c r="Y3" s="645"/>
      <c r="Z3" s="645"/>
      <c r="AA3" s="645"/>
      <c r="AB3" s="645"/>
      <c r="AC3" s="645"/>
    </row>
    <row r="4" spans="1:29" s="646" customFormat="1" ht="22.05" customHeight="1" x14ac:dyDescent="0.25">
      <c r="A4" s="647">
        <v>78111803</v>
      </c>
      <c r="B4" s="647">
        <v>2</v>
      </c>
      <c r="C4" s="648" t="s">
        <v>2048</v>
      </c>
      <c r="D4" s="648" t="s">
        <v>2049</v>
      </c>
      <c r="E4" s="648" t="s">
        <v>2049</v>
      </c>
      <c r="F4" s="648" t="s">
        <v>2048</v>
      </c>
      <c r="G4" s="649">
        <v>40</v>
      </c>
      <c r="H4" s="658">
        <v>1192042.3333333333</v>
      </c>
      <c r="I4" s="650">
        <v>0</v>
      </c>
      <c r="J4" s="645"/>
      <c r="K4" s="645"/>
      <c r="L4" s="645"/>
      <c r="M4" s="645"/>
      <c r="N4" s="645"/>
      <c r="O4" s="645"/>
      <c r="P4" s="645"/>
      <c r="Q4" s="645"/>
      <c r="R4" s="645"/>
      <c r="S4" s="645"/>
      <c r="T4" s="645"/>
      <c r="U4" s="645"/>
      <c r="V4" s="645"/>
      <c r="W4" s="645"/>
      <c r="X4" s="645"/>
      <c r="Y4" s="645"/>
      <c r="Z4" s="645"/>
      <c r="AA4" s="645"/>
      <c r="AB4" s="645"/>
      <c r="AC4" s="645"/>
    </row>
    <row r="5" spans="1:29" s="646" customFormat="1" ht="22.05" customHeight="1" x14ac:dyDescent="0.25">
      <c r="A5" s="647">
        <v>78111803</v>
      </c>
      <c r="B5" s="647">
        <v>3</v>
      </c>
      <c r="C5" s="648" t="s">
        <v>2048</v>
      </c>
      <c r="D5" s="648" t="s">
        <v>2050</v>
      </c>
      <c r="E5" s="648" t="s">
        <v>2050</v>
      </c>
      <c r="F5" s="648" t="s">
        <v>2048</v>
      </c>
      <c r="G5" s="649">
        <v>20</v>
      </c>
      <c r="H5" s="658">
        <v>1072568.3333333333</v>
      </c>
      <c r="I5" s="650">
        <v>0</v>
      </c>
      <c r="J5" s="645"/>
      <c r="K5" s="645"/>
      <c r="L5" s="645"/>
      <c r="M5" s="645"/>
      <c r="N5" s="645"/>
      <c r="O5" s="645"/>
      <c r="P5" s="645"/>
      <c r="Q5" s="645"/>
      <c r="R5" s="645"/>
      <c r="S5" s="645"/>
      <c r="T5" s="645"/>
      <c r="U5" s="645"/>
      <c r="V5" s="645"/>
      <c r="W5" s="645"/>
      <c r="X5" s="645"/>
      <c r="Y5" s="645"/>
      <c r="Z5" s="645"/>
      <c r="AA5" s="645"/>
      <c r="AB5" s="645"/>
      <c r="AC5" s="645"/>
    </row>
    <row r="6" spans="1:29" s="646" customFormat="1" ht="22.05" customHeight="1" x14ac:dyDescent="0.25">
      <c r="A6" s="647">
        <v>78111803</v>
      </c>
      <c r="B6" s="647">
        <v>4</v>
      </c>
      <c r="C6" s="648" t="s">
        <v>2048</v>
      </c>
      <c r="D6" s="648" t="s">
        <v>2050</v>
      </c>
      <c r="E6" s="648" t="s">
        <v>2050</v>
      </c>
      <c r="F6" s="648" t="s">
        <v>2048</v>
      </c>
      <c r="G6" s="649">
        <v>40</v>
      </c>
      <c r="H6" s="658">
        <v>1257754.6666666667</v>
      </c>
      <c r="I6" s="650">
        <v>0</v>
      </c>
      <c r="J6" s="645"/>
      <c r="K6" s="645"/>
      <c r="L6" s="645"/>
      <c r="M6" s="645"/>
      <c r="N6" s="645"/>
      <c r="O6" s="645"/>
      <c r="P6" s="645"/>
      <c r="Q6" s="645"/>
      <c r="R6" s="645"/>
      <c r="S6" s="645"/>
      <c r="T6" s="645"/>
      <c r="U6" s="645"/>
      <c r="V6" s="645"/>
      <c r="W6" s="645"/>
      <c r="X6" s="645"/>
      <c r="Y6" s="645"/>
      <c r="Z6" s="645"/>
      <c r="AA6" s="645"/>
      <c r="AB6" s="645"/>
      <c r="AC6" s="645"/>
    </row>
    <row r="7" spans="1:29" s="646" customFormat="1" ht="22.05" customHeight="1" x14ac:dyDescent="0.25">
      <c r="A7" s="647">
        <v>78111803</v>
      </c>
      <c r="B7" s="647">
        <v>5</v>
      </c>
      <c r="C7" s="648" t="s">
        <v>2048</v>
      </c>
      <c r="D7" s="648" t="s">
        <v>2051</v>
      </c>
      <c r="E7" s="648" t="s">
        <v>2051</v>
      </c>
      <c r="F7" s="648" t="s">
        <v>2048</v>
      </c>
      <c r="G7" s="649">
        <v>20</v>
      </c>
      <c r="H7" s="658">
        <v>740499</v>
      </c>
      <c r="I7" s="650">
        <v>0</v>
      </c>
      <c r="J7" s="645"/>
      <c r="K7" s="645"/>
      <c r="L7" s="645"/>
      <c r="M7" s="645"/>
      <c r="N7" s="645"/>
      <c r="O7" s="645"/>
      <c r="P7" s="645"/>
      <c r="Q7" s="645"/>
      <c r="R7" s="645"/>
      <c r="S7" s="645"/>
      <c r="T7" s="645"/>
      <c r="U7" s="645"/>
      <c r="V7" s="645"/>
      <c r="W7" s="645"/>
      <c r="X7" s="645"/>
      <c r="Y7" s="645"/>
      <c r="Z7" s="645"/>
      <c r="AA7" s="645"/>
      <c r="AB7" s="645"/>
      <c r="AC7" s="645"/>
    </row>
    <row r="8" spans="1:29" s="646" customFormat="1" ht="22.05" customHeight="1" x14ac:dyDescent="0.25">
      <c r="A8" s="647">
        <v>78111803</v>
      </c>
      <c r="B8" s="647">
        <v>6</v>
      </c>
      <c r="C8" s="648" t="s">
        <v>2048</v>
      </c>
      <c r="D8" s="648" t="s">
        <v>2051</v>
      </c>
      <c r="E8" s="648" t="s">
        <v>2051</v>
      </c>
      <c r="F8" s="648" t="s">
        <v>2048</v>
      </c>
      <c r="G8" s="649">
        <v>40</v>
      </c>
      <c r="H8" s="658">
        <v>862933</v>
      </c>
      <c r="I8" s="650">
        <v>0</v>
      </c>
      <c r="J8" s="645"/>
      <c r="K8" s="645"/>
      <c r="L8" s="645"/>
      <c r="M8" s="645"/>
      <c r="N8" s="645"/>
      <c r="O8" s="645"/>
      <c r="P8" s="645"/>
      <c r="Q8" s="645"/>
      <c r="R8" s="645"/>
      <c r="S8" s="645"/>
      <c r="T8" s="645"/>
      <c r="U8" s="645"/>
      <c r="V8" s="645"/>
      <c r="W8" s="645"/>
      <c r="X8" s="645"/>
      <c r="Y8" s="645"/>
      <c r="Z8" s="645"/>
      <c r="AA8" s="645"/>
      <c r="AB8" s="645"/>
      <c r="AC8" s="645"/>
    </row>
    <row r="9" spans="1:29" s="646" customFormat="1" ht="22.05" customHeight="1" x14ac:dyDescent="0.25">
      <c r="A9" s="647">
        <v>78111803</v>
      </c>
      <c r="B9" s="647">
        <v>7</v>
      </c>
      <c r="C9" s="648" t="s">
        <v>2048</v>
      </c>
      <c r="D9" s="648" t="s">
        <v>2052</v>
      </c>
      <c r="E9" s="648" t="s">
        <v>2052</v>
      </c>
      <c r="F9" s="648" t="s">
        <v>2048</v>
      </c>
      <c r="G9" s="649">
        <v>20</v>
      </c>
      <c r="H9" s="658">
        <v>731688.33333333337</v>
      </c>
      <c r="I9" s="650">
        <v>0</v>
      </c>
      <c r="J9" s="645"/>
      <c r="K9" s="645"/>
      <c r="L9" s="645"/>
      <c r="M9" s="645"/>
      <c r="N9" s="645"/>
      <c r="O9" s="645"/>
      <c r="P9" s="645"/>
      <c r="Q9" s="645"/>
      <c r="R9" s="645"/>
      <c r="S9" s="645"/>
      <c r="T9" s="645"/>
      <c r="U9" s="645"/>
      <c r="V9" s="645"/>
      <c r="W9" s="645"/>
      <c r="X9" s="645"/>
      <c r="Y9" s="645"/>
      <c r="Z9" s="645"/>
      <c r="AA9" s="645"/>
      <c r="AB9" s="645"/>
      <c r="AC9" s="645"/>
    </row>
    <row r="10" spans="1:29" s="646" customFormat="1" ht="22.05" customHeight="1" x14ac:dyDescent="0.25">
      <c r="A10" s="647">
        <v>78111803</v>
      </c>
      <c r="B10" s="647">
        <v>8</v>
      </c>
      <c r="C10" s="648" t="s">
        <v>2048</v>
      </c>
      <c r="D10" s="648" t="s">
        <v>2052</v>
      </c>
      <c r="E10" s="648" t="s">
        <v>2052</v>
      </c>
      <c r="F10" s="648" t="s">
        <v>2048</v>
      </c>
      <c r="G10" s="649">
        <v>40</v>
      </c>
      <c r="H10" s="658">
        <v>860548</v>
      </c>
      <c r="I10" s="650">
        <v>0</v>
      </c>
      <c r="J10" s="645"/>
      <c r="K10" s="645"/>
      <c r="L10" s="645"/>
      <c r="M10" s="645"/>
      <c r="N10" s="645"/>
      <c r="O10" s="645"/>
      <c r="P10" s="645"/>
      <c r="Q10" s="645"/>
      <c r="R10" s="645"/>
      <c r="S10" s="645"/>
      <c r="T10" s="645"/>
      <c r="U10" s="645"/>
      <c r="V10" s="645"/>
      <c r="W10" s="645"/>
      <c r="X10" s="645"/>
      <c r="Y10" s="645"/>
      <c r="Z10" s="645"/>
      <c r="AA10" s="645"/>
      <c r="AB10" s="645"/>
      <c r="AC10" s="645"/>
    </row>
    <row r="11" spans="1:29" s="646" customFormat="1" ht="22.05" customHeight="1" x14ac:dyDescent="0.25">
      <c r="A11" s="647">
        <v>78111803</v>
      </c>
      <c r="B11" s="647">
        <v>9</v>
      </c>
      <c r="C11" s="648" t="s">
        <v>2048</v>
      </c>
      <c r="D11" s="648" t="s">
        <v>2053</v>
      </c>
      <c r="E11" s="648" t="s">
        <v>2053</v>
      </c>
      <c r="F11" s="648" t="s">
        <v>2048</v>
      </c>
      <c r="G11" s="649">
        <v>20</v>
      </c>
      <c r="H11" s="658">
        <v>1557430.3333333333</v>
      </c>
      <c r="I11" s="650">
        <v>0</v>
      </c>
      <c r="J11" s="645"/>
      <c r="K11" s="645"/>
      <c r="L11" s="645"/>
      <c r="M11" s="645"/>
      <c r="N11" s="645"/>
      <c r="O11" s="645"/>
      <c r="P11" s="645"/>
      <c r="Q11" s="645"/>
      <c r="R11" s="645"/>
      <c r="S11" s="645"/>
      <c r="T11" s="645"/>
      <c r="U11" s="645"/>
      <c r="V11" s="645"/>
      <c r="W11" s="645"/>
      <c r="X11" s="645"/>
      <c r="Y11" s="645"/>
      <c r="Z11" s="645"/>
      <c r="AA11" s="645"/>
      <c r="AB11" s="645"/>
      <c r="AC11" s="645"/>
    </row>
    <row r="12" spans="1:29" s="646" customFormat="1" ht="22.05" customHeight="1" x14ac:dyDescent="0.25">
      <c r="A12" s="647">
        <v>78111803</v>
      </c>
      <c r="B12" s="647">
        <v>10</v>
      </c>
      <c r="C12" s="648" t="s">
        <v>2048</v>
      </c>
      <c r="D12" s="648" t="s">
        <v>2053</v>
      </c>
      <c r="E12" s="648" t="s">
        <v>2053</v>
      </c>
      <c r="F12" s="648" t="s">
        <v>2048</v>
      </c>
      <c r="G12" s="649">
        <v>40</v>
      </c>
      <c r="H12" s="658">
        <v>1714989</v>
      </c>
      <c r="I12" s="650">
        <v>0</v>
      </c>
      <c r="J12" s="645"/>
      <c r="K12" s="645"/>
      <c r="L12" s="645"/>
      <c r="M12" s="645"/>
      <c r="N12" s="645"/>
      <c r="O12" s="645"/>
      <c r="P12" s="645"/>
      <c r="Q12" s="645"/>
      <c r="R12" s="645"/>
      <c r="S12" s="645"/>
      <c r="T12" s="645"/>
      <c r="U12" s="645"/>
      <c r="V12" s="645"/>
      <c r="W12" s="645"/>
      <c r="X12" s="645"/>
      <c r="Y12" s="645"/>
      <c r="Z12" s="645"/>
      <c r="AA12" s="645"/>
      <c r="AB12" s="645"/>
      <c r="AC12" s="645"/>
    </row>
    <row r="13" spans="1:29" s="646" customFormat="1" ht="22.05" customHeight="1" x14ac:dyDescent="0.25">
      <c r="A13" s="647">
        <v>78111803</v>
      </c>
      <c r="B13" s="647">
        <v>11</v>
      </c>
      <c r="C13" s="648" t="s">
        <v>2048</v>
      </c>
      <c r="D13" s="648" t="s">
        <v>2054</v>
      </c>
      <c r="E13" s="648" t="s">
        <v>2054</v>
      </c>
      <c r="F13" s="648" t="s">
        <v>2048</v>
      </c>
      <c r="G13" s="649">
        <v>20</v>
      </c>
      <c r="H13" s="658">
        <v>1593638</v>
      </c>
      <c r="I13" s="650">
        <v>0</v>
      </c>
      <c r="J13" s="645"/>
      <c r="K13" s="645"/>
      <c r="L13" s="645"/>
      <c r="M13" s="645"/>
      <c r="N13" s="645"/>
      <c r="O13" s="645"/>
      <c r="P13" s="645"/>
      <c r="Q13" s="645"/>
      <c r="R13" s="645"/>
      <c r="S13" s="645"/>
      <c r="T13" s="645"/>
      <c r="U13" s="645"/>
      <c r="V13" s="645"/>
      <c r="W13" s="645"/>
      <c r="X13" s="645"/>
      <c r="Y13" s="645"/>
      <c r="Z13" s="645"/>
      <c r="AA13" s="645"/>
      <c r="AB13" s="645"/>
      <c r="AC13" s="645"/>
    </row>
    <row r="14" spans="1:29" s="646" customFormat="1" ht="22.05" customHeight="1" x14ac:dyDescent="0.25">
      <c r="A14" s="647">
        <v>78111803</v>
      </c>
      <c r="B14" s="647">
        <v>12</v>
      </c>
      <c r="C14" s="648" t="s">
        <v>2048</v>
      </c>
      <c r="D14" s="648" t="s">
        <v>2054</v>
      </c>
      <c r="E14" s="648" t="s">
        <v>2054</v>
      </c>
      <c r="F14" s="648" t="s">
        <v>2048</v>
      </c>
      <c r="G14" s="649">
        <v>40</v>
      </c>
      <c r="H14" s="658">
        <v>1924165.3333333333</v>
      </c>
      <c r="I14" s="650">
        <v>0</v>
      </c>
      <c r="J14" s="645"/>
      <c r="K14" s="645"/>
      <c r="L14" s="645"/>
      <c r="M14" s="645"/>
      <c r="N14" s="645"/>
      <c r="O14" s="645"/>
      <c r="P14" s="645"/>
      <c r="Q14" s="645"/>
      <c r="R14" s="645"/>
      <c r="S14" s="645"/>
      <c r="T14" s="645"/>
      <c r="U14" s="645"/>
      <c r="V14" s="645"/>
      <c r="W14" s="645"/>
      <c r="X14" s="645"/>
      <c r="Y14" s="645"/>
      <c r="Z14" s="645"/>
      <c r="AA14" s="645"/>
      <c r="AB14" s="645"/>
      <c r="AC14" s="645"/>
    </row>
    <row r="15" spans="1:29" s="646" customFormat="1" ht="22.05" customHeight="1" x14ac:dyDescent="0.25">
      <c r="A15" s="647">
        <v>78111803</v>
      </c>
      <c r="B15" s="647">
        <v>13</v>
      </c>
      <c r="C15" s="648" t="s">
        <v>2048</v>
      </c>
      <c r="D15" s="648" t="s">
        <v>2055</v>
      </c>
      <c r="E15" s="648" t="s">
        <v>2055</v>
      </c>
      <c r="F15" s="648" t="s">
        <v>2048</v>
      </c>
      <c r="G15" s="649">
        <v>20</v>
      </c>
      <c r="H15" s="658">
        <v>858716.66666666663</v>
      </c>
      <c r="I15" s="650">
        <v>0</v>
      </c>
      <c r="J15" s="645"/>
      <c r="K15" s="645"/>
      <c r="L15" s="645"/>
      <c r="M15" s="645"/>
      <c r="N15" s="645"/>
      <c r="O15" s="645"/>
      <c r="P15" s="645"/>
      <c r="Q15" s="645"/>
      <c r="R15" s="645"/>
      <c r="S15" s="645"/>
      <c r="T15" s="645"/>
      <c r="U15" s="645"/>
      <c r="V15" s="645"/>
      <c r="W15" s="645"/>
      <c r="X15" s="645"/>
      <c r="Y15" s="645"/>
      <c r="Z15" s="645"/>
      <c r="AA15" s="645"/>
      <c r="AB15" s="645"/>
      <c r="AC15" s="645"/>
    </row>
    <row r="16" spans="1:29" s="646" customFormat="1" ht="22.05" customHeight="1" x14ac:dyDescent="0.25">
      <c r="A16" s="647">
        <v>78111803</v>
      </c>
      <c r="B16" s="647">
        <v>14</v>
      </c>
      <c r="C16" s="648" t="s">
        <v>2048</v>
      </c>
      <c r="D16" s="648" t="s">
        <v>2055</v>
      </c>
      <c r="E16" s="648" t="s">
        <v>2055</v>
      </c>
      <c r="F16" s="648" t="s">
        <v>2048</v>
      </c>
      <c r="G16" s="649">
        <v>40</v>
      </c>
      <c r="H16" s="658">
        <v>1016545.6666666666</v>
      </c>
      <c r="I16" s="650">
        <v>0</v>
      </c>
      <c r="J16" s="645"/>
      <c r="K16" s="645"/>
      <c r="L16" s="645"/>
      <c r="M16" s="645"/>
      <c r="N16" s="645"/>
      <c r="O16" s="645"/>
      <c r="P16" s="645"/>
      <c r="Q16" s="645"/>
      <c r="R16" s="645"/>
      <c r="S16" s="645"/>
      <c r="T16" s="645"/>
      <c r="U16" s="645"/>
      <c r="V16" s="645"/>
      <c r="W16" s="645"/>
      <c r="X16" s="645"/>
      <c r="Y16" s="645"/>
      <c r="Z16" s="645"/>
      <c r="AA16" s="645"/>
      <c r="AB16" s="645"/>
      <c r="AC16" s="645"/>
    </row>
    <row r="17" spans="1:29" s="646" customFormat="1" ht="22.05" customHeight="1" x14ac:dyDescent="0.25">
      <c r="A17" s="647">
        <v>78111803</v>
      </c>
      <c r="B17" s="647">
        <v>15</v>
      </c>
      <c r="C17" s="648" t="s">
        <v>2048</v>
      </c>
      <c r="D17" s="648" t="s">
        <v>2056</v>
      </c>
      <c r="E17" s="648" t="s">
        <v>2056</v>
      </c>
      <c r="F17" s="648" t="s">
        <v>2048</v>
      </c>
      <c r="G17" s="649">
        <v>20</v>
      </c>
      <c r="H17" s="658">
        <v>615296</v>
      </c>
      <c r="I17" s="650">
        <v>0</v>
      </c>
      <c r="J17" s="645"/>
      <c r="K17" s="645"/>
      <c r="L17" s="645"/>
      <c r="M17" s="645"/>
      <c r="N17" s="645"/>
      <c r="O17" s="645"/>
      <c r="P17" s="645"/>
      <c r="Q17" s="645"/>
      <c r="R17" s="645"/>
      <c r="S17" s="645"/>
      <c r="T17" s="645"/>
      <c r="U17" s="645"/>
      <c r="V17" s="645"/>
      <c r="W17" s="645"/>
      <c r="X17" s="645"/>
      <c r="Y17" s="645"/>
      <c r="Z17" s="645"/>
      <c r="AA17" s="645"/>
      <c r="AB17" s="645"/>
      <c r="AC17" s="645"/>
    </row>
    <row r="18" spans="1:29" s="646" customFormat="1" ht="22.05" customHeight="1" x14ac:dyDescent="0.25">
      <c r="A18" s="647">
        <v>78111803</v>
      </c>
      <c r="B18" s="647">
        <v>16</v>
      </c>
      <c r="C18" s="648" t="s">
        <v>2048</v>
      </c>
      <c r="D18" s="648" t="s">
        <v>2056</v>
      </c>
      <c r="E18" s="648" t="s">
        <v>2056</v>
      </c>
      <c r="F18" s="648" t="s">
        <v>2048</v>
      </c>
      <c r="G18" s="649">
        <v>40</v>
      </c>
      <c r="H18" s="658">
        <v>743750.33333333337</v>
      </c>
      <c r="I18" s="650">
        <v>0</v>
      </c>
      <c r="J18" s="645"/>
      <c r="K18" s="645"/>
      <c r="L18" s="645"/>
      <c r="M18" s="645"/>
      <c r="N18" s="645"/>
      <c r="O18" s="645"/>
      <c r="P18" s="645"/>
      <c r="Q18" s="645"/>
      <c r="R18" s="645"/>
      <c r="S18" s="645"/>
      <c r="T18" s="645"/>
      <c r="U18" s="645"/>
      <c r="V18" s="645"/>
      <c r="W18" s="645"/>
      <c r="X18" s="645"/>
      <c r="Y18" s="645"/>
      <c r="Z18" s="645"/>
      <c r="AA18" s="645"/>
      <c r="AB18" s="645"/>
      <c r="AC18" s="645"/>
    </row>
    <row r="19" spans="1:29" s="646" customFormat="1" ht="22.05" customHeight="1" x14ac:dyDescent="0.25">
      <c r="A19" s="647">
        <v>78111803</v>
      </c>
      <c r="B19" s="647">
        <v>17</v>
      </c>
      <c r="C19" s="648" t="s">
        <v>2048</v>
      </c>
      <c r="D19" s="648" t="s">
        <v>2057</v>
      </c>
      <c r="E19" s="648" t="s">
        <v>2057</v>
      </c>
      <c r="F19" s="648" t="s">
        <v>2048</v>
      </c>
      <c r="G19" s="649">
        <v>20</v>
      </c>
      <c r="H19" s="658">
        <v>1332069.3333333333</v>
      </c>
      <c r="I19" s="650">
        <v>0</v>
      </c>
      <c r="J19" s="645"/>
      <c r="K19" s="645"/>
      <c r="L19" s="645"/>
      <c r="M19" s="645"/>
      <c r="N19" s="645"/>
      <c r="O19" s="645"/>
      <c r="P19" s="645"/>
      <c r="Q19" s="645"/>
      <c r="R19" s="645"/>
      <c r="S19" s="645"/>
      <c r="T19" s="645"/>
      <c r="U19" s="645"/>
      <c r="V19" s="645"/>
      <c r="W19" s="645"/>
      <c r="X19" s="645"/>
      <c r="Y19" s="645"/>
      <c r="Z19" s="645"/>
      <c r="AA19" s="645"/>
      <c r="AB19" s="645"/>
      <c r="AC19" s="645"/>
    </row>
    <row r="20" spans="1:29" s="646" customFormat="1" ht="22.05" customHeight="1" x14ac:dyDescent="0.25">
      <c r="A20" s="647">
        <v>78111803</v>
      </c>
      <c r="B20" s="647">
        <v>18</v>
      </c>
      <c r="C20" s="648" t="s">
        <v>2048</v>
      </c>
      <c r="D20" s="648" t="s">
        <v>2057</v>
      </c>
      <c r="E20" s="648" t="s">
        <v>2057</v>
      </c>
      <c r="F20" s="648" t="s">
        <v>2048</v>
      </c>
      <c r="G20" s="649">
        <v>40</v>
      </c>
      <c r="H20" s="658">
        <v>1481795</v>
      </c>
      <c r="I20" s="650">
        <v>0</v>
      </c>
      <c r="J20" s="645"/>
      <c r="K20" s="645"/>
      <c r="L20" s="645"/>
      <c r="M20" s="645"/>
      <c r="N20" s="645"/>
      <c r="O20" s="645"/>
      <c r="P20" s="645"/>
      <c r="Q20" s="645"/>
      <c r="R20" s="645"/>
      <c r="S20" s="645"/>
      <c r="T20" s="645"/>
      <c r="U20" s="645"/>
      <c r="V20" s="645"/>
      <c r="W20" s="645"/>
      <c r="X20" s="645"/>
      <c r="Y20" s="645"/>
      <c r="Z20" s="645"/>
      <c r="AA20" s="645"/>
      <c r="AB20" s="645"/>
      <c r="AC20" s="645"/>
    </row>
    <row r="21" spans="1:29" s="646" customFormat="1" ht="22.05" customHeight="1" x14ac:dyDescent="0.25">
      <c r="A21" s="647">
        <v>78111803</v>
      </c>
      <c r="B21" s="647">
        <v>19</v>
      </c>
      <c r="C21" s="648" t="s">
        <v>2048</v>
      </c>
      <c r="D21" s="648" t="s">
        <v>2058</v>
      </c>
      <c r="E21" s="648" t="s">
        <v>2058</v>
      </c>
      <c r="F21" s="648" t="s">
        <v>2048</v>
      </c>
      <c r="G21" s="649">
        <v>20</v>
      </c>
      <c r="H21" s="658">
        <v>1006720.3333333334</v>
      </c>
      <c r="I21" s="650">
        <v>0</v>
      </c>
      <c r="J21" s="645"/>
      <c r="K21" s="645"/>
      <c r="L21" s="645"/>
      <c r="M21" s="645"/>
      <c r="N21" s="645"/>
      <c r="O21" s="645"/>
      <c r="P21" s="645"/>
      <c r="Q21" s="645"/>
      <c r="R21" s="645"/>
      <c r="S21" s="645"/>
      <c r="T21" s="645"/>
      <c r="U21" s="645"/>
      <c r="V21" s="645"/>
      <c r="W21" s="645"/>
      <c r="X21" s="645"/>
      <c r="Y21" s="645"/>
      <c r="Z21" s="645"/>
      <c r="AA21" s="645"/>
      <c r="AB21" s="645"/>
      <c r="AC21" s="645"/>
    </row>
    <row r="22" spans="1:29" s="646" customFormat="1" ht="22.05" customHeight="1" x14ac:dyDescent="0.25">
      <c r="A22" s="647">
        <v>78111803</v>
      </c>
      <c r="B22" s="647">
        <v>20</v>
      </c>
      <c r="C22" s="648" t="s">
        <v>2048</v>
      </c>
      <c r="D22" s="648" t="s">
        <v>2058</v>
      </c>
      <c r="E22" s="648" t="s">
        <v>2058</v>
      </c>
      <c r="F22" s="648" t="s">
        <v>2048</v>
      </c>
      <c r="G22" s="649">
        <v>40</v>
      </c>
      <c r="H22" s="658">
        <v>1123627.6666666667</v>
      </c>
      <c r="I22" s="650">
        <v>0</v>
      </c>
      <c r="J22" s="645"/>
      <c r="K22" s="645"/>
      <c r="L22" s="645"/>
      <c r="M22" s="645"/>
      <c r="N22" s="645"/>
      <c r="O22" s="645"/>
      <c r="P22" s="645"/>
      <c r="Q22" s="645"/>
      <c r="R22" s="645"/>
      <c r="S22" s="645"/>
      <c r="T22" s="645"/>
      <c r="U22" s="645"/>
      <c r="V22" s="645"/>
      <c r="W22" s="645"/>
      <c r="X22" s="645"/>
      <c r="Y22" s="645"/>
      <c r="Z22" s="645"/>
      <c r="AA22" s="645"/>
      <c r="AB22" s="645"/>
      <c r="AC22" s="645"/>
    </row>
    <row r="23" spans="1:29" s="646" customFormat="1" ht="22.05" customHeight="1" x14ac:dyDescent="0.25">
      <c r="A23" s="647">
        <v>78111803</v>
      </c>
      <c r="B23" s="647">
        <v>21</v>
      </c>
      <c r="C23" s="648" t="s">
        <v>2048</v>
      </c>
      <c r="D23" s="648" t="s">
        <v>2059</v>
      </c>
      <c r="E23" s="648" t="s">
        <v>2059</v>
      </c>
      <c r="F23" s="648" t="s">
        <v>2048</v>
      </c>
      <c r="G23" s="649">
        <v>20</v>
      </c>
      <c r="H23" s="658">
        <v>999537</v>
      </c>
      <c r="I23" s="650">
        <v>0</v>
      </c>
      <c r="J23" s="645"/>
      <c r="K23" s="645"/>
      <c r="L23" s="645"/>
      <c r="M23" s="645"/>
      <c r="N23" s="645"/>
      <c r="O23" s="645"/>
      <c r="P23" s="645"/>
      <c r="Q23" s="645"/>
      <c r="R23" s="645"/>
      <c r="S23" s="645"/>
      <c r="T23" s="645"/>
      <c r="U23" s="645"/>
      <c r="V23" s="645"/>
      <c r="W23" s="645"/>
      <c r="X23" s="645"/>
      <c r="Y23" s="645"/>
      <c r="Z23" s="645"/>
      <c r="AA23" s="645"/>
      <c r="AB23" s="645"/>
      <c r="AC23" s="645"/>
    </row>
    <row r="24" spans="1:29" s="646" customFormat="1" ht="22.05" customHeight="1" x14ac:dyDescent="0.25">
      <c r="A24" s="647">
        <v>78111803</v>
      </c>
      <c r="B24" s="647">
        <v>22</v>
      </c>
      <c r="C24" s="648" t="s">
        <v>2048</v>
      </c>
      <c r="D24" s="648" t="s">
        <v>2059</v>
      </c>
      <c r="E24" s="648" t="s">
        <v>2059</v>
      </c>
      <c r="F24" s="648" t="s">
        <v>2048</v>
      </c>
      <c r="G24" s="649">
        <v>40</v>
      </c>
      <c r="H24" s="658">
        <v>1151905</v>
      </c>
      <c r="I24" s="650">
        <v>0</v>
      </c>
      <c r="J24" s="645"/>
      <c r="K24" s="645"/>
      <c r="L24" s="645"/>
      <c r="M24" s="645"/>
      <c r="N24" s="645"/>
      <c r="O24" s="645"/>
      <c r="P24" s="645"/>
      <c r="Q24" s="645"/>
      <c r="R24" s="645"/>
      <c r="S24" s="645"/>
      <c r="T24" s="645"/>
      <c r="U24" s="645"/>
      <c r="V24" s="645"/>
      <c r="W24" s="645"/>
      <c r="X24" s="645"/>
      <c r="Y24" s="645"/>
      <c r="Z24" s="645"/>
      <c r="AA24" s="645"/>
      <c r="AB24" s="645"/>
      <c r="AC24" s="645"/>
    </row>
    <row r="25" spans="1:29" s="646" customFormat="1" ht="22.05" customHeight="1" x14ac:dyDescent="0.25">
      <c r="A25" s="647">
        <v>78111803</v>
      </c>
      <c r="B25" s="647">
        <v>23</v>
      </c>
      <c r="C25" s="648" t="s">
        <v>2048</v>
      </c>
      <c r="D25" s="648" t="s">
        <v>2060</v>
      </c>
      <c r="E25" s="648" t="s">
        <v>2060</v>
      </c>
      <c r="F25" s="648" t="s">
        <v>2048</v>
      </c>
      <c r="G25" s="649">
        <v>20</v>
      </c>
      <c r="H25" s="658">
        <v>1608301.3333333333</v>
      </c>
      <c r="I25" s="650">
        <v>0</v>
      </c>
      <c r="J25" s="645"/>
      <c r="K25" s="645"/>
      <c r="L25" s="645"/>
      <c r="M25" s="645"/>
      <c r="N25" s="645"/>
      <c r="O25" s="645"/>
      <c r="P25" s="645"/>
      <c r="Q25" s="645"/>
      <c r="R25" s="645"/>
      <c r="S25" s="645"/>
      <c r="T25" s="645"/>
      <c r="U25" s="645"/>
      <c r="V25" s="645"/>
      <c r="W25" s="645"/>
      <c r="X25" s="645"/>
      <c r="Y25" s="645"/>
      <c r="Z25" s="645"/>
      <c r="AA25" s="645"/>
      <c r="AB25" s="645"/>
      <c r="AC25" s="645"/>
    </row>
    <row r="26" spans="1:29" s="646" customFormat="1" ht="22.05" customHeight="1" x14ac:dyDescent="0.25">
      <c r="A26" s="647">
        <v>78111803</v>
      </c>
      <c r="B26" s="647">
        <v>24</v>
      </c>
      <c r="C26" s="648" t="s">
        <v>2048</v>
      </c>
      <c r="D26" s="648" t="s">
        <v>2060</v>
      </c>
      <c r="E26" s="648" t="s">
        <v>2060</v>
      </c>
      <c r="F26" s="648" t="s">
        <v>2048</v>
      </c>
      <c r="G26" s="649">
        <v>40</v>
      </c>
      <c r="H26" s="658">
        <v>1846109.6666666667</v>
      </c>
      <c r="I26" s="650">
        <v>0</v>
      </c>
      <c r="J26" s="645"/>
      <c r="K26" s="645"/>
      <c r="L26" s="645"/>
      <c r="M26" s="645"/>
      <c r="N26" s="645"/>
      <c r="O26" s="645"/>
      <c r="P26" s="645"/>
      <c r="Q26" s="645"/>
      <c r="R26" s="645"/>
      <c r="S26" s="645"/>
      <c r="T26" s="645"/>
      <c r="U26" s="645"/>
      <c r="V26" s="645"/>
      <c r="W26" s="645"/>
      <c r="X26" s="645"/>
      <c r="Y26" s="645"/>
      <c r="Z26" s="645"/>
      <c r="AA26" s="645"/>
      <c r="AB26" s="645"/>
      <c r="AC26" s="645"/>
    </row>
    <row r="27" spans="1:29" s="646" customFormat="1" ht="22.05" customHeight="1" x14ac:dyDescent="0.25">
      <c r="A27" s="647">
        <v>78111803</v>
      </c>
      <c r="B27" s="647">
        <v>25</v>
      </c>
      <c r="C27" s="648" t="s">
        <v>2048</v>
      </c>
      <c r="D27" s="648" t="s">
        <v>2048</v>
      </c>
      <c r="E27" s="648" t="s">
        <v>2048</v>
      </c>
      <c r="F27" s="648" t="s">
        <v>2048</v>
      </c>
      <c r="G27" s="649">
        <v>20</v>
      </c>
      <c r="H27" s="658">
        <v>569199.66666666663</v>
      </c>
      <c r="I27" s="650">
        <v>0</v>
      </c>
      <c r="J27" s="645"/>
      <c r="K27" s="645"/>
      <c r="L27" s="645"/>
      <c r="M27" s="645"/>
      <c r="N27" s="645"/>
      <c r="O27" s="645"/>
      <c r="P27" s="645"/>
      <c r="Q27" s="645"/>
      <c r="R27" s="645"/>
      <c r="S27" s="645"/>
      <c r="T27" s="645"/>
      <c r="U27" s="645"/>
      <c r="V27" s="645"/>
      <c r="W27" s="645"/>
      <c r="X27" s="645"/>
      <c r="Y27" s="645"/>
      <c r="Z27" s="645"/>
      <c r="AA27" s="645"/>
      <c r="AB27" s="645"/>
      <c r="AC27" s="645"/>
    </row>
    <row r="28" spans="1:29" s="646" customFormat="1" ht="22.05" customHeight="1" x14ac:dyDescent="0.25">
      <c r="A28" s="647">
        <v>78111803</v>
      </c>
      <c r="B28" s="647">
        <v>26</v>
      </c>
      <c r="C28" s="648" t="s">
        <v>2048</v>
      </c>
      <c r="D28" s="648" t="s">
        <v>2048</v>
      </c>
      <c r="E28" s="648" t="s">
        <v>2048</v>
      </c>
      <c r="F28" s="648" t="s">
        <v>2048</v>
      </c>
      <c r="G28" s="649">
        <v>40</v>
      </c>
      <c r="H28" s="658">
        <v>635554.33333333337</v>
      </c>
      <c r="I28" s="650">
        <v>0</v>
      </c>
      <c r="J28" s="645"/>
      <c r="K28" s="645"/>
      <c r="L28" s="645"/>
      <c r="M28" s="645"/>
      <c r="N28" s="645"/>
      <c r="O28" s="645"/>
      <c r="P28" s="645"/>
      <c r="Q28" s="645"/>
      <c r="R28" s="645"/>
      <c r="S28" s="645"/>
      <c r="T28" s="645"/>
      <c r="U28" s="645"/>
      <c r="V28" s="645"/>
      <c r="W28" s="645"/>
      <c r="X28" s="645"/>
      <c r="Y28" s="645"/>
      <c r="Z28" s="645"/>
      <c r="AA28" s="645"/>
      <c r="AB28" s="645"/>
      <c r="AC28" s="645"/>
    </row>
    <row r="29" spans="1:29" s="646" customFormat="1" ht="22.05" customHeight="1" x14ac:dyDescent="0.25">
      <c r="A29" s="647">
        <v>78111803</v>
      </c>
      <c r="B29" s="647">
        <v>27</v>
      </c>
      <c r="C29" s="648" t="s">
        <v>2048</v>
      </c>
      <c r="D29" s="648" t="s">
        <v>2061</v>
      </c>
      <c r="E29" s="648" t="s">
        <v>2061</v>
      </c>
      <c r="F29" s="648" t="s">
        <v>2048</v>
      </c>
      <c r="G29" s="649">
        <v>20</v>
      </c>
      <c r="H29" s="658">
        <v>1746978.6666666667</v>
      </c>
      <c r="I29" s="650">
        <v>0</v>
      </c>
      <c r="J29" s="645"/>
      <c r="K29" s="645"/>
      <c r="L29" s="645"/>
      <c r="M29" s="645"/>
      <c r="N29" s="645"/>
      <c r="O29" s="645"/>
      <c r="P29" s="645"/>
      <c r="Q29" s="645"/>
      <c r="R29" s="645"/>
      <c r="S29" s="645"/>
      <c r="T29" s="645"/>
      <c r="U29" s="645"/>
      <c r="V29" s="645"/>
      <c r="W29" s="645"/>
      <c r="X29" s="645"/>
      <c r="Y29" s="645"/>
      <c r="Z29" s="645"/>
      <c r="AA29" s="645"/>
      <c r="AB29" s="645"/>
      <c r="AC29" s="645"/>
    </row>
    <row r="30" spans="1:29" s="646" customFormat="1" ht="22.05" customHeight="1" x14ac:dyDescent="0.25">
      <c r="A30" s="647">
        <v>78111803</v>
      </c>
      <c r="B30" s="647">
        <v>28</v>
      </c>
      <c r="C30" s="648" t="s">
        <v>2048</v>
      </c>
      <c r="D30" s="648" t="s">
        <v>2061</v>
      </c>
      <c r="E30" s="648" t="s">
        <v>2061</v>
      </c>
      <c r="F30" s="648" t="s">
        <v>2048</v>
      </c>
      <c r="G30" s="649">
        <v>40</v>
      </c>
      <c r="H30" s="658">
        <v>1991609.3333333333</v>
      </c>
      <c r="I30" s="650">
        <v>0</v>
      </c>
      <c r="J30" s="645"/>
      <c r="K30" s="645"/>
      <c r="L30" s="645"/>
      <c r="M30" s="645"/>
      <c r="N30" s="645"/>
      <c r="O30" s="645"/>
      <c r="P30" s="645"/>
      <c r="Q30" s="645"/>
      <c r="R30" s="645"/>
      <c r="S30" s="645"/>
      <c r="T30" s="645"/>
      <c r="U30" s="645"/>
      <c r="V30" s="645"/>
      <c r="W30" s="645"/>
      <c r="X30" s="645"/>
      <c r="Y30" s="645"/>
      <c r="Z30" s="645"/>
      <c r="AA30" s="645"/>
      <c r="AB30" s="645"/>
      <c r="AC30" s="645"/>
    </row>
    <row r="31" spans="1:29" s="646" customFormat="1" ht="22.05" customHeight="1" x14ac:dyDescent="0.25">
      <c r="A31" s="647">
        <v>78111803</v>
      </c>
      <c r="B31" s="647">
        <v>29</v>
      </c>
      <c r="C31" s="648" t="s">
        <v>2048</v>
      </c>
      <c r="D31" s="648" t="s">
        <v>2062</v>
      </c>
      <c r="E31" s="648" t="s">
        <v>2062</v>
      </c>
      <c r="F31" s="648" t="s">
        <v>2048</v>
      </c>
      <c r="G31" s="649">
        <v>20</v>
      </c>
      <c r="H31" s="658">
        <v>723180</v>
      </c>
      <c r="I31" s="650">
        <v>0</v>
      </c>
      <c r="J31" s="645"/>
      <c r="K31" s="645"/>
      <c r="L31" s="645"/>
      <c r="M31" s="645"/>
      <c r="N31" s="645"/>
      <c r="O31" s="645"/>
      <c r="P31" s="645"/>
      <c r="Q31" s="645"/>
      <c r="R31" s="645"/>
      <c r="S31" s="645"/>
      <c r="T31" s="645"/>
      <c r="U31" s="645"/>
      <c r="V31" s="645"/>
      <c r="W31" s="645"/>
      <c r="X31" s="645"/>
      <c r="Y31" s="645"/>
      <c r="Z31" s="645"/>
      <c r="AA31" s="645"/>
      <c r="AB31" s="645"/>
      <c r="AC31" s="645"/>
    </row>
    <row r="32" spans="1:29" s="646" customFormat="1" ht="22.05" customHeight="1" x14ac:dyDescent="0.25">
      <c r="A32" s="647">
        <v>78111803</v>
      </c>
      <c r="B32" s="647">
        <v>30</v>
      </c>
      <c r="C32" s="648" t="s">
        <v>2048</v>
      </c>
      <c r="D32" s="648" t="s">
        <v>2062</v>
      </c>
      <c r="E32" s="648" t="s">
        <v>2062</v>
      </c>
      <c r="F32" s="648" t="s">
        <v>2048</v>
      </c>
      <c r="G32" s="649">
        <v>40</v>
      </c>
      <c r="H32" s="658">
        <v>839884.66666666663</v>
      </c>
      <c r="I32" s="650">
        <v>0</v>
      </c>
      <c r="J32" s="645"/>
      <c r="K32" s="645"/>
      <c r="L32" s="645"/>
      <c r="M32" s="645"/>
      <c r="N32" s="645"/>
      <c r="O32" s="645"/>
      <c r="P32" s="645"/>
      <c r="Q32" s="645"/>
      <c r="R32" s="645"/>
      <c r="S32" s="645"/>
      <c r="T32" s="645"/>
      <c r="U32" s="645"/>
      <c r="V32" s="645"/>
      <c r="W32" s="645"/>
      <c r="X32" s="645"/>
      <c r="Y32" s="645"/>
      <c r="Z32" s="645"/>
      <c r="AA32" s="645"/>
      <c r="AB32" s="645"/>
      <c r="AC32" s="645"/>
    </row>
    <row r="33" spans="1:29" s="646" customFormat="1" ht="22.05" customHeight="1" x14ac:dyDescent="0.25">
      <c r="A33" s="647">
        <v>78111803</v>
      </c>
      <c r="B33" s="647">
        <v>31</v>
      </c>
      <c r="C33" s="648" t="s">
        <v>2048</v>
      </c>
      <c r="D33" s="648" t="s">
        <v>2063</v>
      </c>
      <c r="E33" s="648" t="s">
        <v>2063</v>
      </c>
      <c r="F33" s="648" t="s">
        <v>2048</v>
      </c>
      <c r="G33" s="649">
        <v>20</v>
      </c>
      <c r="H33" s="658">
        <v>1160462.3333333333</v>
      </c>
      <c r="I33" s="650">
        <v>0</v>
      </c>
      <c r="J33" s="645"/>
      <c r="K33" s="645"/>
      <c r="L33" s="645"/>
      <c r="M33" s="645"/>
      <c r="N33" s="645"/>
      <c r="O33" s="645"/>
      <c r="P33" s="645"/>
      <c r="Q33" s="645"/>
      <c r="R33" s="645"/>
      <c r="S33" s="645"/>
      <c r="T33" s="645"/>
      <c r="U33" s="645"/>
      <c r="V33" s="645"/>
      <c r="W33" s="645"/>
      <c r="X33" s="645"/>
      <c r="Y33" s="645"/>
      <c r="Z33" s="645"/>
      <c r="AA33" s="645"/>
      <c r="AB33" s="645"/>
      <c r="AC33" s="645"/>
    </row>
    <row r="34" spans="1:29" s="646" customFormat="1" ht="22.05" customHeight="1" x14ac:dyDescent="0.25">
      <c r="A34" s="647">
        <v>78111803</v>
      </c>
      <c r="B34" s="647">
        <v>32</v>
      </c>
      <c r="C34" s="648" t="s">
        <v>2048</v>
      </c>
      <c r="D34" s="648" t="s">
        <v>2063</v>
      </c>
      <c r="E34" s="648" t="s">
        <v>2063</v>
      </c>
      <c r="F34" s="648" t="s">
        <v>2048</v>
      </c>
      <c r="G34" s="649">
        <v>40</v>
      </c>
      <c r="H34" s="658">
        <v>1404939</v>
      </c>
      <c r="I34" s="650">
        <v>0</v>
      </c>
      <c r="J34" s="645"/>
      <c r="K34" s="645"/>
      <c r="L34" s="645"/>
      <c r="M34" s="645"/>
      <c r="N34" s="645"/>
      <c r="O34" s="645"/>
      <c r="P34" s="645"/>
      <c r="Q34" s="645"/>
      <c r="R34" s="645"/>
      <c r="S34" s="645"/>
      <c r="T34" s="645"/>
      <c r="U34" s="645"/>
      <c r="V34" s="645"/>
      <c r="W34" s="645"/>
      <c r="X34" s="645"/>
      <c r="Y34" s="645"/>
      <c r="Z34" s="645"/>
      <c r="AA34" s="645"/>
      <c r="AB34" s="645"/>
      <c r="AC34" s="645"/>
    </row>
    <row r="35" spans="1:29" s="646" customFormat="1" ht="22.05" customHeight="1" x14ac:dyDescent="0.25">
      <c r="A35" s="647">
        <v>78111803</v>
      </c>
      <c r="B35" s="647">
        <v>33</v>
      </c>
      <c r="C35" s="648" t="s">
        <v>2048</v>
      </c>
      <c r="D35" s="648" t="s">
        <v>2064</v>
      </c>
      <c r="E35" s="648" t="s">
        <v>2064</v>
      </c>
      <c r="F35" s="648" t="s">
        <v>2048</v>
      </c>
      <c r="G35" s="649">
        <v>20</v>
      </c>
      <c r="H35" s="658">
        <v>635554.33333333337</v>
      </c>
      <c r="I35" s="650">
        <v>0</v>
      </c>
      <c r="J35" s="645"/>
      <c r="K35" s="645"/>
      <c r="L35" s="645"/>
      <c r="M35" s="645"/>
      <c r="N35" s="645"/>
      <c r="O35" s="645"/>
      <c r="P35" s="645"/>
      <c r="Q35" s="645"/>
      <c r="R35" s="645"/>
      <c r="S35" s="645"/>
      <c r="T35" s="645"/>
      <c r="U35" s="645"/>
      <c r="V35" s="645"/>
      <c r="W35" s="645"/>
      <c r="X35" s="645"/>
      <c r="Y35" s="645"/>
      <c r="Z35" s="645"/>
      <c r="AA35" s="645"/>
      <c r="AB35" s="645"/>
      <c r="AC35" s="645"/>
    </row>
    <row r="36" spans="1:29" s="646" customFormat="1" ht="22.05" customHeight="1" x14ac:dyDescent="0.25">
      <c r="A36" s="647">
        <v>78111803</v>
      </c>
      <c r="B36" s="647">
        <v>34</v>
      </c>
      <c r="C36" s="648" t="s">
        <v>2048</v>
      </c>
      <c r="D36" s="648" t="s">
        <v>2064</v>
      </c>
      <c r="E36" s="648" t="s">
        <v>2064</v>
      </c>
      <c r="F36" s="648" t="s">
        <v>2048</v>
      </c>
      <c r="G36" s="649">
        <v>40</v>
      </c>
      <c r="H36" s="658">
        <v>717819.66666666663</v>
      </c>
      <c r="I36" s="650">
        <v>0</v>
      </c>
      <c r="J36" s="645"/>
      <c r="K36" s="645"/>
      <c r="L36" s="645"/>
      <c r="M36" s="645"/>
      <c r="N36" s="645"/>
      <c r="O36" s="645"/>
      <c r="P36" s="645"/>
      <c r="Q36" s="645"/>
      <c r="R36" s="645"/>
      <c r="S36" s="645"/>
      <c r="T36" s="645"/>
      <c r="U36" s="645"/>
      <c r="V36" s="645"/>
      <c r="W36" s="645"/>
      <c r="X36" s="645"/>
      <c r="Y36" s="645"/>
      <c r="Z36" s="645"/>
      <c r="AA36" s="645"/>
      <c r="AB36" s="645"/>
      <c r="AC36" s="645"/>
    </row>
    <row r="37" spans="1:29" s="646" customFormat="1" ht="22.05" customHeight="1" x14ac:dyDescent="0.25">
      <c r="A37" s="647">
        <v>78111803</v>
      </c>
      <c r="B37" s="647">
        <v>35</v>
      </c>
      <c r="C37" s="648" t="s">
        <v>2048</v>
      </c>
      <c r="D37" s="648" t="s">
        <v>2065</v>
      </c>
      <c r="E37" s="648" t="s">
        <v>2065</v>
      </c>
      <c r="F37" s="648" t="s">
        <v>2048</v>
      </c>
      <c r="G37" s="649">
        <v>20</v>
      </c>
      <c r="H37" s="658">
        <v>1441218.3333333333</v>
      </c>
      <c r="I37" s="650">
        <v>0</v>
      </c>
      <c r="J37" s="645"/>
      <c r="K37" s="645"/>
      <c r="L37" s="645"/>
      <c r="M37" s="645"/>
      <c r="N37" s="645"/>
      <c r="O37" s="645"/>
      <c r="P37" s="645"/>
      <c r="Q37" s="645"/>
      <c r="R37" s="645"/>
      <c r="S37" s="645"/>
      <c r="T37" s="645"/>
      <c r="U37" s="645"/>
      <c r="V37" s="645"/>
      <c r="W37" s="645"/>
      <c r="X37" s="645"/>
      <c r="Y37" s="645"/>
      <c r="Z37" s="645"/>
      <c r="AA37" s="645"/>
      <c r="AB37" s="645"/>
      <c r="AC37" s="645"/>
    </row>
    <row r="38" spans="1:29" s="646" customFormat="1" ht="22.05" customHeight="1" x14ac:dyDescent="0.25">
      <c r="A38" s="647">
        <v>78111803</v>
      </c>
      <c r="B38" s="647">
        <v>36</v>
      </c>
      <c r="C38" s="648" t="s">
        <v>2048</v>
      </c>
      <c r="D38" s="648" t="s">
        <v>2065</v>
      </c>
      <c r="E38" s="648" t="s">
        <v>2065</v>
      </c>
      <c r="F38" s="648" t="s">
        <v>2048</v>
      </c>
      <c r="G38" s="649">
        <v>40</v>
      </c>
      <c r="H38" s="658">
        <v>1680126.3333333333</v>
      </c>
      <c r="I38" s="650">
        <v>0</v>
      </c>
      <c r="J38" s="645"/>
      <c r="K38" s="645"/>
      <c r="L38" s="645"/>
      <c r="M38" s="645"/>
      <c r="N38" s="645"/>
      <c r="O38" s="645"/>
      <c r="P38" s="645"/>
      <c r="Q38" s="645"/>
      <c r="R38" s="645"/>
      <c r="S38" s="645"/>
      <c r="T38" s="645"/>
      <c r="U38" s="645"/>
      <c r="V38" s="645"/>
      <c r="W38" s="645"/>
      <c r="X38" s="645"/>
      <c r="Y38" s="645"/>
      <c r="Z38" s="645"/>
      <c r="AA38" s="645"/>
      <c r="AB38" s="645"/>
      <c r="AC38" s="645"/>
    </row>
    <row r="39" spans="1:29" s="646" customFormat="1" ht="22.05" customHeight="1" x14ac:dyDescent="0.25">
      <c r="A39" s="647">
        <v>78111803</v>
      </c>
      <c r="B39" s="647">
        <v>37</v>
      </c>
      <c r="C39" s="648" t="s">
        <v>2048</v>
      </c>
      <c r="D39" s="648" t="s">
        <v>2066</v>
      </c>
      <c r="E39" s="648" t="s">
        <v>2066</v>
      </c>
      <c r="F39" s="648" t="s">
        <v>2048</v>
      </c>
      <c r="G39" s="649">
        <v>20</v>
      </c>
      <c r="H39" s="658">
        <v>1038323.3333333334</v>
      </c>
      <c r="I39" s="650">
        <v>0</v>
      </c>
      <c r="J39" s="645"/>
      <c r="K39" s="645"/>
      <c r="L39" s="645"/>
      <c r="M39" s="645"/>
      <c r="N39" s="645"/>
      <c r="O39" s="645"/>
      <c r="P39" s="645"/>
      <c r="Q39" s="645"/>
      <c r="R39" s="645"/>
      <c r="S39" s="645"/>
      <c r="T39" s="645"/>
      <c r="U39" s="645"/>
      <c r="V39" s="645"/>
      <c r="W39" s="645"/>
      <c r="X39" s="645"/>
      <c r="Y39" s="645"/>
      <c r="Z39" s="645"/>
      <c r="AA39" s="645"/>
      <c r="AB39" s="645"/>
      <c r="AC39" s="645"/>
    </row>
    <row r="40" spans="1:29" ht="22.05" customHeight="1" x14ac:dyDescent="0.3">
      <c r="A40" s="647">
        <v>78111803</v>
      </c>
      <c r="B40" s="647">
        <v>38</v>
      </c>
      <c r="C40" s="648" t="s">
        <v>2048</v>
      </c>
      <c r="D40" s="648" t="s">
        <v>2066</v>
      </c>
      <c r="E40" s="648" t="s">
        <v>2066</v>
      </c>
      <c r="F40" s="648" t="s">
        <v>2048</v>
      </c>
      <c r="G40" s="649">
        <v>40</v>
      </c>
      <c r="H40" s="658">
        <v>1288049.3333333333</v>
      </c>
      <c r="I40" s="650">
        <v>0</v>
      </c>
    </row>
    <row r="41" spans="1:29" ht="22.05" customHeight="1" x14ac:dyDescent="0.3">
      <c r="A41" s="647">
        <v>78111803</v>
      </c>
      <c r="B41" s="647">
        <v>39</v>
      </c>
      <c r="C41" s="648" t="s">
        <v>2048</v>
      </c>
      <c r="D41" s="648" t="s">
        <v>2067</v>
      </c>
      <c r="E41" s="648" t="s">
        <v>2067</v>
      </c>
      <c r="F41" s="648" t="s">
        <v>2048</v>
      </c>
      <c r="G41" s="649">
        <v>20</v>
      </c>
      <c r="H41" s="658">
        <v>1021103.6666666666</v>
      </c>
      <c r="I41" s="650">
        <v>0</v>
      </c>
    </row>
    <row r="42" spans="1:29" ht="22.05" customHeight="1" x14ac:dyDescent="0.3">
      <c r="A42" s="647">
        <v>78111803</v>
      </c>
      <c r="B42" s="647">
        <v>40</v>
      </c>
      <c r="C42" s="648" t="s">
        <v>2048</v>
      </c>
      <c r="D42" s="648" t="s">
        <v>2067</v>
      </c>
      <c r="E42" s="648" t="s">
        <v>2067</v>
      </c>
      <c r="F42" s="648" t="s">
        <v>2048</v>
      </c>
      <c r="G42" s="649">
        <v>40</v>
      </c>
      <c r="H42" s="658">
        <v>1225434.3333333333</v>
      </c>
      <c r="I42" s="650">
        <v>0</v>
      </c>
    </row>
    <row r="43" spans="1:29" ht="22.05" customHeight="1" x14ac:dyDescent="0.3">
      <c r="A43" s="647">
        <v>78111803</v>
      </c>
      <c r="B43" s="647">
        <v>41</v>
      </c>
      <c r="C43" s="648" t="s">
        <v>2048</v>
      </c>
      <c r="D43" s="648" t="s">
        <v>2068</v>
      </c>
      <c r="E43" s="648" t="s">
        <v>2068</v>
      </c>
      <c r="F43" s="648" t="s">
        <v>2048</v>
      </c>
      <c r="G43" s="649">
        <v>20</v>
      </c>
      <c r="H43" s="658">
        <v>679613.33333333337</v>
      </c>
      <c r="I43" s="650">
        <v>0</v>
      </c>
    </row>
    <row r="44" spans="1:29" ht="22.05" customHeight="1" x14ac:dyDescent="0.3">
      <c r="A44" s="647">
        <v>78111803</v>
      </c>
      <c r="B44" s="647">
        <v>42</v>
      </c>
      <c r="C44" s="648" t="s">
        <v>2048</v>
      </c>
      <c r="D44" s="648" t="s">
        <v>2068</v>
      </c>
      <c r="E44" s="648" t="s">
        <v>2068</v>
      </c>
      <c r="F44" s="648" t="s">
        <v>2048</v>
      </c>
      <c r="G44" s="649">
        <v>40</v>
      </c>
      <c r="H44" s="658">
        <v>814684</v>
      </c>
      <c r="I44" s="650">
        <v>0</v>
      </c>
    </row>
    <row r="45" spans="1:29" ht="22.05" customHeight="1" x14ac:dyDescent="0.3">
      <c r="A45" s="647">
        <v>78111803</v>
      </c>
      <c r="B45" s="647">
        <v>43</v>
      </c>
      <c r="C45" s="648" t="s">
        <v>2048</v>
      </c>
      <c r="D45" s="648" t="s">
        <v>2069</v>
      </c>
      <c r="E45" s="648" t="s">
        <v>2069</v>
      </c>
      <c r="F45" s="648" t="s">
        <v>2048</v>
      </c>
      <c r="G45" s="649">
        <v>20</v>
      </c>
      <c r="H45" s="658">
        <v>774231</v>
      </c>
      <c r="I45" s="650">
        <v>0</v>
      </c>
    </row>
    <row r="46" spans="1:29" ht="22.05" customHeight="1" x14ac:dyDescent="0.3">
      <c r="A46" s="647">
        <v>78111803</v>
      </c>
      <c r="B46" s="647">
        <v>44</v>
      </c>
      <c r="C46" s="648" t="s">
        <v>2048</v>
      </c>
      <c r="D46" s="648" t="s">
        <v>2069</v>
      </c>
      <c r="E46" s="648" t="s">
        <v>2069</v>
      </c>
      <c r="F46" s="648" t="s">
        <v>2048</v>
      </c>
      <c r="G46" s="649">
        <v>40</v>
      </c>
      <c r="H46" s="658">
        <v>905724.33333333337</v>
      </c>
      <c r="I46" s="650">
        <v>0</v>
      </c>
    </row>
    <row r="47" spans="1:29" ht="22.05" customHeight="1" x14ac:dyDescent="0.3">
      <c r="A47" s="647">
        <v>78111803</v>
      </c>
      <c r="B47" s="647">
        <v>45</v>
      </c>
      <c r="C47" s="648" t="s">
        <v>2048</v>
      </c>
      <c r="D47" s="648" t="s">
        <v>2070</v>
      </c>
      <c r="E47" s="648" t="s">
        <v>2070</v>
      </c>
      <c r="F47" s="648" t="s">
        <v>2048</v>
      </c>
      <c r="G47" s="649">
        <v>20</v>
      </c>
      <c r="H47" s="658">
        <v>832076.66666666663</v>
      </c>
      <c r="I47" s="650">
        <v>0</v>
      </c>
    </row>
    <row r="48" spans="1:29" ht="22.05" customHeight="1" x14ac:dyDescent="0.3">
      <c r="A48" s="647">
        <v>78111803</v>
      </c>
      <c r="B48" s="647">
        <v>46</v>
      </c>
      <c r="C48" s="648" t="s">
        <v>2048</v>
      </c>
      <c r="D48" s="648" t="s">
        <v>2070</v>
      </c>
      <c r="E48" s="648" t="s">
        <v>2070</v>
      </c>
      <c r="F48" s="648" t="s">
        <v>2048</v>
      </c>
      <c r="G48" s="649">
        <v>40</v>
      </c>
      <c r="H48" s="658">
        <v>964785.66666666663</v>
      </c>
      <c r="I48" s="650">
        <v>0</v>
      </c>
    </row>
    <row r="49" spans="1:9" ht="22.05" customHeight="1" x14ac:dyDescent="0.3">
      <c r="A49" s="647">
        <v>78111803</v>
      </c>
      <c r="B49" s="647">
        <v>47</v>
      </c>
      <c r="C49" s="648" t="s">
        <v>2048</v>
      </c>
      <c r="D49" s="648" t="s">
        <v>2071</v>
      </c>
      <c r="E49" s="648" t="s">
        <v>2071</v>
      </c>
      <c r="F49" s="648" t="s">
        <v>2048</v>
      </c>
      <c r="G49" s="649">
        <v>20</v>
      </c>
      <c r="H49" s="658">
        <v>1337775</v>
      </c>
      <c r="I49" s="650">
        <v>0</v>
      </c>
    </row>
    <row r="50" spans="1:9" ht="22.05" customHeight="1" x14ac:dyDescent="0.3">
      <c r="A50" s="647">
        <v>78111803</v>
      </c>
      <c r="B50" s="647">
        <v>48</v>
      </c>
      <c r="C50" s="648" t="s">
        <v>2048</v>
      </c>
      <c r="D50" s="648" t="s">
        <v>2071</v>
      </c>
      <c r="E50" s="648" t="s">
        <v>2071</v>
      </c>
      <c r="F50" s="648" t="s">
        <v>2048</v>
      </c>
      <c r="G50" s="649">
        <v>40</v>
      </c>
      <c r="H50" s="658">
        <v>1521535</v>
      </c>
      <c r="I50" s="650">
        <v>0</v>
      </c>
    </row>
    <row r="51" spans="1:9" ht="22.05" customHeight="1" x14ac:dyDescent="0.3">
      <c r="A51" s="647">
        <v>78111803</v>
      </c>
      <c r="B51" s="647">
        <v>49</v>
      </c>
      <c r="C51" s="648" t="s">
        <v>2048</v>
      </c>
      <c r="D51" s="648" t="s">
        <v>2072</v>
      </c>
      <c r="E51" s="648" t="s">
        <v>2072</v>
      </c>
      <c r="F51" s="648" t="s">
        <v>2048</v>
      </c>
      <c r="G51" s="649">
        <v>20</v>
      </c>
      <c r="H51" s="658">
        <v>1355612.6666666667</v>
      </c>
      <c r="I51" s="650">
        <v>0</v>
      </c>
    </row>
    <row r="52" spans="1:9" ht="22.05" customHeight="1" x14ac:dyDescent="0.3">
      <c r="A52" s="647">
        <v>78111803</v>
      </c>
      <c r="B52" s="647">
        <v>50</v>
      </c>
      <c r="C52" s="648" t="s">
        <v>2048</v>
      </c>
      <c r="D52" s="648" t="s">
        <v>2072</v>
      </c>
      <c r="E52" s="648" t="s">
        <v>2072</v>
      </c>
      <c r="F52" s="648" t="s">
        <v>2048</v>
      </c>
      <c r="G52" s="649">
        <v>40</v>
      </c>
      <c r="H52" s="658">
        <v>1609549.3333333333</v>
      </c>
      <c r="I52" s="650">
        <v>0</v>
      </c>
    </row>
    <row r="53" spans="1:9" ht="22.05" customHeight="1" x14ac:dyDescent="0.3">
      <c r="A53" s="647">
        <v>78111803</v>
      </c>
      <c r="B53" s="647">
        <v>51</v>
      </c>
      <c r="C53" s="648" t="s">
        <v>2048</v>
      </c>
      <c r="D53" s="648" t="s">
        <v>2073</v>
      </c>
      <c r="E53" s="648" t="s">
        <v>2073</v>
      </c>
      <c r="F53" s="648" t="s">
        <v>2048</v>
      </c>
      <c r="G53" s="649">
        <v>20</v>
      </c>
      <c r="H53" s="658">
        <v>989610.33333333337</v>
      </c>
      <c r="I53" s="650">
        <v>0</v>
      </c>
    </row>
    <row r="54" spans="1:9" ht="22.05" customHeight="1" x14ac:dyDescent="0.3">
      <c r="A54" s="647">
        <v>78111803</v>
      </c>
      <c r="B54" s="647">
        <v>52</v>
      </c>
      <c r="C54" s="648" t="s">
        <v>2048</v>
      </c>
      <c r="D54" s="648" t="s">
        <v>2073</v>
      </c>
      <c r="E54" s="648" t="s">
        <v>2073</v>
      </c>
      <c r="F54" s="648" t="s">
        <v>2048</v>
      </c>
      <c r="G54" s="649">
        <v>40</v>
      </c>
      <c r="H54" s="658">
        <v>1193941</v>
      </c>
      <c r="I54" s="650">
        <v>0</v>
      </c>
    </row>
    <row r="55" spans="1:9" ht="22.05" customHeight="1" x14ac:dyDescent="0.3">
      <c r="A55" s="647">
        <v>78111803</v>
      </c>
      <c r="B55" s="647">
        <v>53</v>
      </c>
      <c r="C55" s="648" t="s">
        <v>2048</v>
      </c>
      <c r="D55" s="648" t="s">
        <v>2074</v>
      </c>
      <c r="E55" s="648" t="s">
        <v>2074</v>
      </c>
      <c r="F55" s="648" t="s">
        <v>2048</v>
      </c>
      <c r="G55" s="649">
        <v>20</v>
      </c>
      <c r="H55" s="658">
        <v>1487826</v>
      </c>
      <c r="I55" s="650">
        <v>0</v>
      </c>
    </row>
    <row r="56" spans="1:9" ht="22.05" customHeight="1" x14ac:dyDescent="0.3">
      <c r="A56" s="647">
        <v>78111803</v>
      </c>
      <c r="B56" s="647">
        <v>54</v>
      </c>
      <c r="C56" s="648" t="s">
        <v>2048</v>
      </c>
      <c r="D56" s="648" t="s">
        <v>2074</v>
      </c>
      <c r="E56" s="648" t="s">
        <v>2074</v>
      </c>
      <c r="F56" s="648" t="s">
        <v>2048</v>
      </c>
      <c r="G56" s="649">
        <v>40</v>
      </c>
      <c r="H56" s="658">
        <v>1687718.6666666667</v>
      </c>
      <c r="I56" s="650">
        <v>0</v>
      </c>
    </row>
    <row r="57" spans="1:9" ht="22.05" customHeight="1" x14ac:dyDescent="0.3">
      <c r="A57" s="647">
        <v>78111803</v>
      </c>
      <c r="B57" s="647">
        <v>55</v>
      </c>
      <c r="C57" s="648" t="s">
        <v>2048</v>
      </c>
      <c r="D57" s="648" t="s">
        <v>2075</v>
      </c>
      <c r="E57" s="648" t="s">
        <v>2075</v>
      </c>
      <c r="F57" s="648" t="s">
        <v>2048</v>
      </c>
      <c r="G57" s="649">
        <v>20</v>
      </c>
      <c r="H57" s="658">
        <v>1530043.3333333333</v>
      </c>
      <c r="I57" s="650">
        <v>0</v>
      </c>
    </row>
    <row r="58" spans="1:9" ht="22.05" customHeight="1" x14ac:dyDescent="0.3">
      <c r="A58" s="647">
        <v>78111803</v>
      </c>
      <c r="B58" s="647">
        <v>56</v>
      </c>
      <c r="C58" s="648" t="s">
        <v>2048</v>
      </c>
      <c r="D58" s="648" t="s">
        <v>2075</v>
      </c>
      <c r="E58" s="648" t="s">
        <v>2075</v>
      </c>
      <c r="F58" s="648" t="s">
        <v>2048</v>
      </c>
      <c r="G58" s="649">
        <v>40</v>
      </c>
      <c r="H58" s="658">
        <v>1713102.6666666667</v>
      </c>
      <c r="I58" s="650">
        <v>0</v>
      </c>
    </row>
    <row r="59" spans="1:9" ht="22.05" customHeight="1" x14ac:dyDescent="0.3">
      <c r="A59" s="647">
        <v>78111803</v>
      </c>
      <c r="B59" s="647">
        <v>57</v>
      </c>
      <c r="C59" s="648" t="s">
        <v>2048</v>
      </c>
      <c r="D59" s="648" t="s">
        <v>2076</v>
      </c>
      <c r="E59" s="648" t="s">
        <v>2076</v>
      </c>
      <c r="F59" s="648" t="s">
        <v>2048</v>
      </c>
      <c r="G59" s="649">
        <v>20</v>
      </c>
      <c r="H59" s="658">
        <v>1454451</v>
      </c>
      <c r="I59" s="650">
        <v>0</v>
      </c>
    </row>
    <row r="60" spans="1:9" ht="22.05" customHeight="1" x14ac:dyDescent="0.3">
      <c r="A60" s="647">
        <v>78111803</v>
      </c>
      <c r="B60" s="647">
        <v>58</v>
      </c>
      <c r="C60" s="648" t="s">
        <v>2048</v>
      </c>
      <c r="D60" s="648" t="s">
        <v>2076</v>
      </c>
      <c r="E60" s="648" t="s">
        <v>2076</v>
      </c>
      <c r="F60" s="648" t="s">
        <v>2048</v>
      </c>
      <c r="G60" s="649">
        <v>40</v>
      </c>
      <c r="H60" s="658">
        <v>1606958</v>
      </c>
      <c r="I60" s="650">
        <v>0</v>
      </c>
    </row>
    <row r="61" spans="1:9" ht="24.6" customHeight="1" x14ac:dyDescent="0.3">
      <c r="A61" s="665" t="s">
        <v>2078</v>
      </c>
      <c r="B61" s="665"/>
      <c r="C61" s="665"/>
      <c r="D61" s="665"/>
      <c r="E61" s="665"/>
      <c r="F61" s="665"/>
      <c r="G61" s="665"/>
      <c r="H61" s="659">
        <f>SUM(H3:H60)</f>
        <v>68897892.666666672</v>
      </c>
      <c r="I61" s="651">
        <f>SUM(I3:I60)</f>
        <v>0</v>
      </c>
    </row>
    <row r="62" spans="1:9" ht="15.6" customHeight="1" x14ac:dyDescent="0.3">
      <c r="A62" s="652"/>
      <c r="B62" s="652"/>
      <c r="C62" s="652"/>
      <c r="D62" s="652"/>
      <c r="E62" s="652"/>
      <c r="F62" s="652"/>
      <c r="G62" s="652"/>
      <c r="H62" s="652"/>
      <c r="I62" s="652"/>
    </row>
    <row r="63" spans="1:9" ht="15.6" customHeight="1" x14ac:dyDescent="0.3">
      <c r="A63" s="652"/>
      <c r="B63" s="652"/>
      <c r="C63" s="652"/>
      <c r="D63" s="652"/>
      <c r="E63" s="652"/>
      <c r="F63" s="652"/>
      <c r="G63" s="652"/>
      <c r="H63" s="652"/>
      <c r="I63" s="652"/>
    </row>
    <row r="64" spans="1:9" ht="15.6" customHeight="1" x14ac:dyDescent="0.3">
      <c r="A64" s="652"/>
      <c r="B64" s="652"/>
      <c r="C64" s="652"/>
      <c r="D64" s="652"/>
      <c r="E64" s="652"/>
      <c r="F64" s="652"/>
      <c r="G64" s="652"/>
      <c r="H64" s="652"/>
      <c r="I64" s="652"/>
    </row>
    <row r="65" spans="1:9" ht="15.6" customHeight="1" x14ac:dyDescent="0.3">
      <c r="A65" s="652"/>
      <c r="B65" s="663" t="s">
        <v>2079</v>
      </c>
      <c r="C65" s="664"/>
      <c r="D65" s="664"/>
      <c r="E65" s="664"/>
      <c r="F65" s="664"/>
      <c r="G65" s="652"/>
      <c r="H65" s="652"/>
      <c r="I65" s="652"/>
    </row>
    <row r="66" spans="1:9" x14ac:dyDescent="0.3">
      <c r="B66" s="664"/>
      <c r="C66" s="664"/>
      <c r="D66" s="664"/>
      <c r="E66" s="664"/>
      <c r="F66" s="664"/>
    </row>
    <row r="67" spans="1:9" x14ac:dyDescent="0.3">
      <c r="B67" s="664"/>
      <c r="C67" s="664"/>
      <c r="D67" s="664"/>
      <c r="E67" s="664"/>
      <c r="F67" s="664"/>
    </row>
    <row r="68" spans="1:9" x14ac:dyDescent="0.3">
      <c r="B68" s="664"/>
      <c r="C68" s="664"/>
      <c r="D68" s="664"/>
      <c r="E68" s="664"/>
      <c r="F68" s="664"/>
    </row>
    <row r="69" spans="1:9" x14ac:dyDescent="0.3">
      <c r="B69" s="664"/>
      <c r="C69" s="664"/>
      <c r="D69" s="664"/>
      <c r="E69" s="664"/>
      <c r="F69" s="664"/>
    </row>
    <row r="70" spans="1:9" x14ac:dyDescent="0.3">
      <c r="B70" s="664"/>
      <c r="C70" s="664"/>
      <c r="D70" s="664"/>
      <c r="E70" s="664"/>
      <c r="F70" s="664"/>
    </row>
    <row r="71" spans="1:9" x14ac:dyDescent="0.3">
      <c r="B71" s="664"/>
      <c r="C71" s="664"/>
      <c r="D71" s="664"/>
      <c r="E71" s="664"/>
      <c r="F71" s="664"/>
    </row>
    <row r="72" spans="1:9" x14ac:dyDescent="0.3">
      <c r="B72" s="664"/>
      <c r="C72" s="664"/>
      <c r="D72" s="664"/>
      <c r="E72" s="664"/>
      <c r="F72" s="664"/>
    </row>
    <row r="73" spans="1:9" x14ac:dyDescent="0.3">
      <c r="B73" s="664"/>
      <c r="C73" s="664"/>
      <c r="D73" s="664"/>
      <c r="E73" s="664"/>
      <c r="F73" s="664"/>
    </row>
  </sheetData>
  <sheetProtection algorithmName="SHA-512" hashValue="cAY5NeCinWMHiq8sp0+NvrMeOec1LdVADtN3IRBTAphYLiKYyS0mkiTO0Cv9+7uZeD8DaacKL4krdPvVoSVb2Q==" saltValue="k6z+/gTgApUVLbjs8fVKow==" spinCount="100000" sheet="1" objects="1" scenarios="1"/>
  <autoFilter ref="A2:I2" xr:uid="{00000000-0001-0000-0000-000000000000}"/>
  <mergeCells count="5">
    <mergeCell ref="C2:D2"/>
    <mergeCell ref="E2:F2"/>
    <mergeCell ref="A1:I1"/>
    <mergeCell ref="B65:F73"/>
    <mergeCell ref="A61:G61"/>
  </mergeCells>
  <phoneticPr fontId="57" type="noConversion"/>
  <printOptions horizontalCentered="1" verticalCentered="1"/>
  <pageMargins left="0.70866141732283472" right="0.70866141732283472" top="0.74803149606299213" bottom="0.74803149606299213" header="0.31496062992125984" footer="0.31496062992125984"/>
  <pageSetup paperSize="5" scale="31" fitToHeight="0" orientation="landscape" r:id="rId1"/>
  <colBreaks count="1" manualBreakCount="1">
    <brk id="10"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7"/>
  <sheetViews>
    <sheetView topLeftCell="A26" workbookViewId="0">
      <selection activeCell="G20" sqref="G20"/>
    </sheetView>
  </sheetViews>
  <sheetFormatPr baseColWidth="10" defaultColWidth="11.44140625" defaultRowHeight="14.4" x14ac:dyDescent="0.3"/>
  <cols>
    <col min="1" max="1" width="37.77734375" customWidth="1"/>
    <col min="2" max="2" width="16" style="5" customWidth="1"/>
    <col min="3" max="3" width="16.44140625" customWidth="1"/>
    <col min="4" max="4" width="12.44140625" bestFit="1" customWidth="1"/>
    <col min="5" max="5" width="13" bestFit="1" customWidth="1"/>
    <col min="6" max="6" width="12.33203125" bestFit="1" customWidth="1"/>
  </cols>
  <sheetData>
    <row r="1" spans="1:6" ht="21" x14ac:dyDescent="0.4">
      <c r="A1" s="666" t="s">
        <v>1949</v>
      </c>
      <c r="B1" s="666"/>
      <c r="C1" s="666"/>
      <c r="D1" s="666"/>
      <c r="E1" s="666"/>
    </row>
    <row r="2" spans="1:6" x14ac:dyDescent="0.3">
      <c r="A2" s="8" t="s">
        <v>1950</v>
      </c>
      <c r="B2" s="624" t="s">
        <v>1951</v>
      </c>
      <c r="C2" s="8" t="s">
        <v>1952</v>
      </c>
      <c r="D2" s="625" t="s">
        <v>1953</v>
      </c>
      <c r="E2" s="625" t="s">
        <v>1954</v>
      </c>
    </row>
    <row r="3" spans="1:6" x14ac:dyDescent="0.3">
      <c r="A3" s="637" t="e">
        <f>Necesidades!#REF!</f>
        <v>#REF!</v>
      </c>
      <c r="B3" s="6">
        <v>54281811</v>
      </c>
      <c r="C3" s="667">
        <v>246300000</v>
      </c>
      <c r="D3" s="667" t="e">
        <f>SUM(B3:B5)</f>
        <v>#REF!</v>
      </c>
      <c r="E3" s="667" t="e">
        <f>C3-D3</f>
        <v>#REF!</v>
      </c>
    </row>
    <row r="4" spans="1:6" x14ac:dyDescent="0.3">
      <c r="A4" s="638" t="e">
        <f>Necesidades!#REF!</f>
        <v>#REF!</v>
      </c>
      <c r="B4" s="6" t="e">
        <f>Necesidades!#REF!</f>
        <v>#REF!</v>
      </c>
      <c r="C4" s="667"/>
      <c r="D4" s="667"/>
      <c r="E4" s="667"/>
    </row>
    <row r="5" spans="1:6" x14ac:dyDescent="0.3">
      <c r="A5" s="638" t="e">
        <f>Necesidades!#REF!</f>
        <v>#REF!</v>
      </c>
      <c r="B5" s="6">
        <v>47999717</v>
      </c>
      <c r="C5" s="667"/>
      <c r="D5" s="667"/>
      <c r="E5" s="667"/>
    </row>
    <row r="6" spans="1:6" x14ac:dyDescent="0.3">
      <c r="A6" s="638" t="e">
        <f>Necesidades!#REF!</f>
        <v>#REF!</v>
      </c>
      <c r="B6" s="6" t="e">
        <f>Necesidades!#REF!</f>
        <v>#REF!</v>
      </c>
      <c r="C6" s="667">
        <v>124375329</v>
      </c>
      <c r="D6" s="667" t="e">
        <f>SUM(B6:B12)</f>
        <v>#REF!</v>
      </c>
      <c r="E6" s="670" t="e">
        <f>C6-D6</f>
        <v>#REF!</v>
      </c>
    </row>
    <row r="7" spans="1:6" x14ac:dyDescent="0.3">
      <c r="A7" s="638" t="e">
        <f>Necesidades!#REF!</f>
        <v>#REF!</v>
      </c>
      <c r="B7" s="6" t="e">
        <f>Necesidades!#REF!</f>
        <v>#REF!</v>
      </c>
      <c r="C7" s="667"/>
      <c r="D7" s="667"/>
      <c r="E7" s="670"/>
    </row>
    <row r="8" spans="1:6" x14ac:dyDescent="0.3">
      <c r="A8" s="638" t="e">
        <f>Necesidades!#REF!</f>
        <v>#REF!</v>
      </c>
      <c r="B8" s="6" t="e">
        <f>Necesidades!#REF!</f>
        <v>#REF!</v>
      </c>
      <c r="C8" s="667"/>
      <c r="D8" s="667"/>
      <c r="E8" s="670"/>
    </row>
    <row r="9" spans="1:6" x14ac:dyDescent="0.3">
      <c r="A9" s="638" t="e">
        <f>Necesidades!#REF!</f>
        <v>#REF!</v>
      </c>
      <c r="B9" s="6" t="e">
        <f>Necesidades!#REF!</f>
        <v>#REF!</v>
      </c>
      <c r="C9" s="667"/>
      <c r="D9" s="667"/>
      <c r="E9" s="670"/>
    </row>
    <row r="10" spans="1:6" x14ac:dyDescent="0.3">
      <c r="A10" s="638" t="e">
        <f>Necesidades!#REF!</f>
        <v>#REF!</v>
      </c>
      <c r="B10" s="6" t="e">
        <f>Necesidades!#REF!</f>
        <v>#REF!</v>
      </c>
      <c r="C10" s="667"/>
      <c r="D10" s="667"/>
      <c r="E10" s="670"/>
    </row>
    <row r="11" spans="1:6" x14ac:dyDescent="0.3">
      <c r="A11" s="638" t="e">
        <f>Necesidades!#REF!</f>
        <v>#REF!</v>
      </c>
      <c r="B11" s="6" t="e">
        <f>Necesidades!#REF!</f>
        <v>#REF!</v>
      </c>
      <c r="C11" s="667"/>
      <c r="D11" s="667"/>
      <c r="E11" s="670"/>
    </row>
    <row r="12" spans="1:6" x14ac:dyDescent="0.3">
      <c r="A12" s="638" t="e">
        <f>Necesidades!#REF!</f>
        <v>#REF!</v>
      </c>
      <c r="B12" s="6" t="e">
        <f>Necesidades!#REF!</f>
        <v>#REF!</v>
      </c>
      <c r="C12" s="667"/>
      <c r="D12" s="667"/>
      <c r="E12" s="670"/>
    </row>
    <row r="13" spans="1:6" x14ac:dyDescent="0.3">
      <c r="A13" s="638" t="e">
        <f>Necesidades!#REF!</f>
        <v>#REF!</v>
      </c>
      <c r="B13" s="6" t="e">
        <f>Necesidades!#REF!</f>
        <v>#REF!</v>
      </c>
      <c r="C13" s="669">
        <v>47014153</v>
      </c>
      <c r="D13" s="667" t="e">
        <f>SUM(B13:B15)</f>
        <v>#REF!</v>
      </c>
      <c r="E13" s="669" t="e">
        <f>C13-B13-B14-B15-B16-B17</f>
        <v>#REF!</v>
      </c>
    </row>
    <row r="14" spans="1:6" x14ac:dyDescent="0.3">
      <c r="A14" s="638" t="e">
        <f>Necesidades!#REF!</f>
        <v>#REF!</v>
      </c>
      <c r="B14" s="6" t="e">
        <f>Necesidades!#REF!</f>
        <v>#REF!</v>
      </c>
      <c r="C14" s="669"/>
      <c r="D14" s="667"/>
      <c r="E14" s="669"/>
    </row>
    <row r="15" spans="1:6" x14ac:dyDescent="0.3">
      <c r="A15" s="638" t="e">
        <f>Necesidades!#REF!</f>
        <v>#REF!</v>
      </c>
      <c r="B15" s="6" t="e">
        <f>Necesidades!#REF!</f>
        <v>#REF!</v>
      </c>
      <c r="C15" s="669"/>
      <c r="D15" s="667"/>
      <c r="E15" s="669"/>
    </row>
    <row r="16" spans="1:6" x14ac:dyDescent="0.3">
      <c r="A16" s="638" t="e">
        <f>Necesidades!#REF!</f>
        <v>#REF!</v>
      </c>
      <c r="B16" s="6" t="e">
        <f>Necesidades!#REF!</f>
        <v>#REF!</v>
      </c>
      <c r="C16" s="669"/>
      <c r="D16" s="667"/>
      <c r="E16" s="669"/>
      <c r="F16" s="5" t="e">
        <f>E13-E16</f>
        <v>#REF!</v>
      </c>
    </row>
    <row r="17" spans="1:6" x14ac:dyDescent="0.3">
      <c r="A17" s="638" t="e">
        <f>Necesidades!#REF!</f>
        <v>#REF!</v>
      </c>
      <c r="B17" s="6" t="e">
        <f>Necesidades!#REF!</f>
        <v>#REF!</v>
      </c>
      <c r="C17" s="669"/>
      <c r="D17" s="667"/>
      <c r="E17" s="669"/>
      <c r="F17" s="5"/>
    </row>
    <row r="18" spans="1:6" x14ac:dyDescent="0.3">
      <c r="A18" s="638" t="e">
        <f>Necesidades!#REF!</f>
        <v>#REF!</v>
      </c>
      <c r="B18" s="6" t="e">
        <f>Necesidades!#REF!</f>
        <v>#REF!</v>
      </c>
      <c r="C18" s="669">
        <v>157000000</v>
      </c>
      <c r="D18" s="667" t="e">
        <f>SUM(B18:B24)</f>
        <v>#REF!</v>
      </c>
      <c r="E18" s="670" t="e">
        <f>C18-D18</f>
        <v>#REF!</v>
      </c>
    </row>
    <row r="19" spans="1:6" x14ac:dyDescent="0.3">
      <c r="A19" s="638" t="e">
        <f>Necesidades!#REF!</f>
        <v>#REF!</v>
      </c>
      <c r="B19" s="6" t="e">
        <f>Necesidades!#REF!</f>
        <v>#REF!</v>
      </c>
      <c r="C19" s="669"/>
      <c r="D19" s="667"/>
      <c r="E19" s="670"/>
    </row>
    <row r="20" spans="1:6" x14ac:dyDescent="0.3">
      <c r="A20" s="638" t="e">
        <f>Necesidades!#REF!</f>
        <v>#REF!</v>
      </c>
      <c r="B20" s="6" t="e">
        <f>Necesidades!#REF!</f>
        <v>#REF!</v>
      </c>
      <c r="C20" s="669"/>
      <c r="D20" s="668"/>
      <c r="E20" s="671"/>
    </row>
    <row r="21" spans="1:6" x14ac:dyDescent="0.3">
      <c r="A21" s="638" t="e">
        <f>Necesidades!#REF!</f>
        <v>#REF!</v>
      </c>
      <c r="B21" s="6" t="e">
        <f>Necesidades!#REF!</f>
        <v>#REF!</v>
      </c>
      <c r="C21" s="669"/>
      <c r="D21" s="668"/>
      <c r="E21" s="671"/>
    </row>
    <row r="22" spans="1:6" x14ac:dyDescent="0.3">
      <c r="A22" s="638" t="e">
        <f>Necesidades!#REF!</f>
        <v>#REF!</v>
      </c>
      <c r="B22" s="6" t="e">
        <f>Necesidades!#REF!</f>
        <v>#REF!</v>
      </c>
      <c r="C22" s="669"/>
      <c r="D22" s="668"/>
      <c r="E22" s="671"/>
    </row>
    <row r="23" spans="1:6" x14ac:dyDescent="0.3">
      <c r="A23" s="638" t="e">
        <f>Necesidades!#REF!</f>
        <v>#REF!</v>
      </c>
      <c r="B23" s="6" t="e">
        <f>Necesidades!#REF!</f>
        <v>#REF!</v>
      </c>
      <c r="C23" s="669"/>
      <c r="D23" s="668"/>
      <c r="E23" s="671"/>
    </row>
    <row r="24" spans="1:6" x14ac:dyDescent="0.3">
      <c r="A24" s="7" t="e">
        <f>Necesidades!#REF!</f>
        <v>#REF!</v>
      </c>
      <c r="B24" s="6" t="e">
        <f>Necesidades!#REF!</f>
        <v>#REF!</v>
      </c>
      <c r="C24" s="669"/>
      <c r="D24" s="668"/>
      <c r="E24" s="671"/>
    </row>
    <row r="25" spans="1:6" x14ac:dyDescent="0.3">
      <c r="A25" s="638" t="e">
        <f>Necesidades!#REF!</f>
        <v>#REF!</v>
      </c>
      <c r="B25" s="6" t="e">
        <f>Necesidades!#REF!</f>
        <v>#REF!</v>
      </c>
      <c r="C25" s="204">
        <v>40000000</v>
      </c>
      <c r="D25" s="204" t="e">
        <f>B25</f>
        <v>#REF!</v>
      </c>
      <c r="E25" s="626" t="e">
        <f>C25-D25</f>
        <v>#REF!</v>
      </c>
    </row>
    <row r="26" spans="1:6" x14ac:dyDescent="0.3">
      <c r="C26" s="203"/>
      <c r="D26" s="203"/>
      <c r="E26" s="203"/>
    </row>
    <row r="27" spans="1:6" x14ac:dyDescent="0.3">
      <c r="B27" s="5" t="e">
        <f>SUM(B3:B25)</f>
        <v>#REF!</v>
      </c>
    </row>
  </sheetData>
  <mergeCells count="13">
    <mergeCell ref="A1:E1"/>
    <mergeCell ref="C6:C12"/>
    <mergeCell ref="D6:D12"/>
    <mergeCell ref="D3:D5"/>
    <mergeCell ref="D18:D24"/>
    <mergeCell ref="C18:C24"/>
    <mergeCell ref="E3:E5"/>
    <mergeCell ref="E6:E12"/>
    <mergeCell ref="C3:C5"/>
    <mergeCell ref="E18:E24"/>
    <mergeCell ref="C13:C17"/>
    <mergeCell ref="E13:E17"/>
    <mergeCell ref="D13:D1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9DF67-BEE1-4E0F-B9F4-500F65EA405A}">
  <dimension ref="A1:J204"/>
  <sheetViews>
    <sheetView topLeftCell="A176" zoomScale="80" zoomScaleNormal="80" workbookViewId="0">
      <selection activeCell="E198" sqref="E198:I204"/>
    </sheetView>
  </sheetViews>
  <sheetFormatPr baseColWidth="10" defaultColWidth="11.44140625" defaultRowHeight="14.4" x14ac:dyDescent="0.3"/>
  <cols>
    <col min="2" max="2" width="55" customWidth="1"/>
    <col min="5" max="5" width="9.6640625" customWidth="1"/>
    <col min="6" max="6" width="34.44140625" customWidth="1"/>
    <col min="7" max="7" width="14.6640625" customWidth="1"/>
    <col min="8" max="8" width="15" customWidth="1"/>
    <col min="9" max="9" width="19" customWidth="1"/>
  </cols>
  <sheetData>
    <row r="1" spans="1:9" x14ac:dyDescent="0.3">
      <c r="A1" s="674" t="e">
        <f>POD!A3</f>
        <v>#REF!</v>
      </c>
      <c r="B1" s="674"/>
    </row>
    <row r="2" spans="1:9" x14ac:dyDescent="0.3">
      <c r="A2" s="179">
        <v>42121506</v>
      </c>
      <c r="B2" s="179" t="s">
        <v>1855</v>
      </c>
      <c r="E2" s="672" t="s">
        <v>2030</v>
      </c>
      <c r="F2" s="672"/>
      <c r="G2" s="672"/>
      <c r="H2" s="672"/>
      <c r="I2" s="672"/>
    </row>
    <row r="3" spans="1:9" x14ac:dyDescent="0.3">
      <c r="A3" s="179">
        <v>42121801</v>
      </c>
      <c r="B3" s="179" t="s">
        <v>1856</v>
      </c>
      <c r="E3" s="632" t="s">
        <v>6</v>
      </c>
      <c r="F3" s="632" t="s">
        <v>2031</v>
      </c>
      <c r="G3" s="632" t="s">
        <v>2032</v>
      </c>
      <c r="H3" s="632" t="s">
        <v>2033</v>
      </c>
      <c r="I3" s="632" t="s">
        <v>2034</v>
      </c>
    </row>
    <row r="4" spans="1:9" x14ac:dyDescent="0.3">
      <c r="A4" s="179">
        <v>21102401</v>
      </c>
      <c r="B4" s="179" t="s">
        <v>1857</v>
      </c>
      <c r="E4" s="633">
        <v>1</v>
      </c>
      <c r="F4" s="634" t="s">
        <v>2042</v>
      </c>
      <c r="G4" s="635">
        <v>42000000</v>
      </c>
      <c r="H4" s="635">
        <v>42120000</v>
      </c>
      <c r="I4" s="635">
        <v>42121500</v>
      </c>
    </row>
    <row r="5" spans="1:9" ht="28.8" x14ac:dyDescent="0.3">
      <c r="A5" s="179">
        <v>42121604</v>
      </c>
      <c r="B5" s="592" t="s">
        <v>1858</v>
      </c>
      <c r="E5" s="633">
        <v>2</v>
      </c>
      <c r="F5" s="634" t="s">
        <v>2040</v>
      </c>
      <c r="G5" s="635">
        <v>21000000</v>
      </c>
      <c r="H5" s="635">
        <v>21100000</v>
      </c>
      <c r="I5" s="635">
        <v>21102400</v>
      </c>
    </row>
    <row r="6" spans="1:9" ht="28.8" x14ac:dyDescent="0.3">
      <c r="A6" s="179">
        <v>42121602</v>
      </c>
      <c r="B6" s="588" t="s">
        <v>1859</v>
      </c>
      <c r="E6" s="633">
        <v>3</v>
      </c>
      <c r="F6" s="634" t="s">
        <v>2042</v>
      </c>
      <c r="G6" s="635">
        <v>42000000</v>
      </c>
      <c r="H6" s="635">
        <v>42120000</v>
      </c>
      <c r="I6" s="635">
        <v>42121600</v>
      </c>
    </row>
    <row r="7" spans="1:9" x14ac:dyDescent="0.3">
      <c r="A7" s="179">
        <v>10101703</v>
      </c>
      <c r="B7" s="179" t="s">
        <v>1860</v>
      </c>
      <c r="E7" s="633">
        <v>4</v>
      </c>
      <c r="F7" s="634" t="s">
        <v>2041</v>
      </c>
      <c r="G7" s="635">
        <v>10000000</v>
      </c>
      <c r="H7" s="635">
        <v>10100000</v>
      </c>
      <c r="I7" s="635">
        <v>10101700</v>
      </c>
    </row>
    <row r="8" spans="1:9" x14ac:dyDescent="0.3">
      <c r="A8" s="179">
        <v>10121702</v>
      </c>
      <c r="B8" s="179" t="s">
        <v>1861</v>
      </c>
      <c r="E8" s="633">
        <v>5</v>
      </c>
      <c r="F8" s="634" t="s">
        <v>2041</v>
      </c>
      <c r="G8" s="635">
        <v>10000000</v>
      </c>
      <c r="H8" s="635">
        <v>10120000</v>
      </c>
      <c r="I8" s="635">
        <v>10121700</v>
      </c>
    </row>
    <row r="10" spans="1:9" x14ac:dyDescent="0.3">
      <c r="A10" s="675" t="e">
        <f>POD!A4</f>
        <v>#REF!</v>
      </c>
      <c r="B10" s="676"/>
      <c r="E10" s="672" t="s">
        <v>2030</v>
      </c>
      <c r="F10" s="672"/>
      <c r="G10" s="672"/>
      <c r="H10" s="672"/>
      <c r="I10" s="672"/>
    </row>
    <row r="11" spans="1:9" x14ac:dyDescent="0.3">
      <c r="A11" s="179">
        <v>10151502</v>
      </c>
      <c r="B11" s="1" t="s">
        <v>1862</v>
      </c>
      <c r="E11" s="632" t="s">
        <v>6</v>
      </c>
      <c r="F11" s="632" t="s">
        <v>2031</v>
      </c>
      <c r="G11" s="632" t="s">
        <v>2032</v>
      </c>
      <c r="H11" s="632" t="s">
        <v>2033</v>
      </c>
      <c r="I11" s="632" t="s">
        <v>2034</v>
      </c>
    </row>
    <row r="12" spans="1:9" x14ac:dyDescent="0.3">
      <c r="A12" s="179">
        <v>10171608</v>
      </c>
      <c r="B12" s="1" t="s">
        <v>1863</v>
      </c>
      <c r="E12" s="633">
        <v>1</v>
      </c>
      <c r="F12" s="634" t="s">
        <v>2041</v>
      </c>
      <c r="G12" s="635">
        <v>10000000</v>
      </c>
      <c r="H12" s="635">
        <v>10150000</v>
      </c>
      <c r="I12" s="635">
        <v>10151500</v>
      </c>
    </row>
    <row r="13" spans="1:9" x14ac:dyDescent="0.3">
      <c r="A13" s="1">
        <v>10191509</v>
      </c>
      <c r="B13" s="1" t="s">
        <v>1864</v>
      </c>
      <c r="E13" s="633">
        <v>2</v>
      </c>
      <c r="F13" s="634" t="s">
        <v>2041</v>
      </c>
      <c r="G13" s="635">
        <v>10000000</v>
      </c>
      <c r="H13" s="635">
        <v>10170000</v>
      </c>
      <c r="I13" s="635">
        <v>10171600</v>
      </c>
    </row>
    <row r="14" spans="1:9" x14ac:dyDescent="0.3">
      <c r="A14" s="1">
        <v>51211624</v>
      </c>
      <c r="B14" s="1" t="s">
        <v>1865</v>
      </c>
      <c r="E14" s="633">
        <v>3</v>
      </c>
      <c r="F14" s="634" t="s">
        <v>2042</v>
      </c>
      <c r="G14" s="635">
        <v>51000000</v>
      </c>
      <c r="H14" s="635">
        <v>51210000</v>
      </c>
      <c r="I14" s="635">
        <v>51211600</v>
      </c>
    </row>
    <row r="15" spans="1:9" ht="27.6" x14ac:dyDescent="0.3">
      <c r="A15" s="1">
        <v>21101700</v>
      </c>
      <c r="B15" s="1" t="s">
        <v>1866</v>
      </c>
      <c r="E15" s="633">
        <v>4</v>
      </c>
      <c r="F15" s="634" t="s">
        <v>2040</v>
      </c>
      <c r="G15" s="635">
        <v>21000000</v>
      </c>
      <c r="H15" s="635">
        <v>21100000</v>
      </c>
      <c r="I15" s="635">
        <v>21102300</v>
      </c>
    </row>
    <row r="16" spans="1:9" x14ac:dyDescent="0.3">
      <c r="A16" s="1">
        <v>21102305</v>
      </c>
      <c r="B16" s="1" t="s">
        <v>1867</v>
      </c>
      <c r="E16" s="633">
        <v>5</v>
      </c>
      <c r="F16" s="634" t="s">
        <v>2041</v>
      </c>
      <c r="G16" s="635">
        <v>10000000</v>
      </c>
      <c r="H16" s="635">
        <v>10170000</v>
      </c>
      <c r="I16" s="635">
        <v>10171700</v>
      </c>
    </row>
    <row r="17" spans="1:9" x14ac:dyDescent="0.3">
      <c r="A17" s="1">
        <v>10171702</v>
      </c>
      <c r="B17" s="1" t="s">
        <v>1868</v>
      </c>
    </row>
    <row r="19" spans="1:9" x14ac:dyDescent="0.3">
      <c r="A19" s="675" t="e">
        <f>Necesidades!#REF!</f>
        <v>#REF!</v>
      </c>
      <c r="B19" s="675"/>
      <c r="E19" s="672" t="s">
        <v>2030</v>
      </c>
      <c r="F19" s="672"/>
      <c r="G19" s="672"/>
      <c r="H19" s="672"/>
      <c r="I19" s="672"/>
    </row>
    <row r="20" spans="1:9" x14ac:dyDescent="0.3">
      <c r="A20" s="593">
        <v>12352207</v>
      </c>
      <c r="B20" s="595" t="s">
        <v>1869</v>
      </c>
      <c r="E20" s="632" t="s">
        <v>6</v>
      </c>
      <c r="F20" s="632" t="s">
        <v>2031</v>
      </c>
      <c r="G20" s="632" t="s">
        <v>2032</v>
      </c>
      <c r="H20" s="632" t="s">
        <v>2033</v>
      </c>
      <c r="I20" s="632" t="s">
        <v>2034</v>
      </c>
    </row>
    <row r="21" spans="1:9" x14ac:dyDescent="0.3">
      <c r="A21" s="593">
        <v>51102706</v>
      </c>
      <c r="B21" s="595" t="s">
        <v>1870</v>
      </c>
      <c r="E21" s="633">
        <v>1</v>
      </c>
      <c r="F21" s="634" t="s">
        <v>2035</v>
      </c>
      <c r="G21" s="635">
        <v>12000000</v>
      </c>
      <c r="H21" s="635">
        <v>12350000</v>
      </c>
      <c r="I21" s="635">
        <v>12352200</v>
      </c>
    </row>
    <row r="22" spans="1:9" x14ac:dyDescent="0.3">
      <c r="A22" s="593">
        <v>50131600</v>
      </c>
      <c r="B22" s="595" t="s">
        <v>1871</v>
      </c>
      <c r="E22" s="633">
        <v>2</v>
      </c>
      <c r="F22" s="634" t="s">
        <v>2042</v>
      </c>
      <c r="G22" s="635">
        <v>51000000</v>
      </c>
      <c r="H22" s="635">
        <v>51100000</v>
      </c>
      <c r="I22" s="635">
        <v>51102700</v>
      </c>
    </row>
    <row r="23" spans="1:9" x14ac:dyDescent="0.3">
      <c r="A23" s="593">
        <v>50111500</v>
      </c>
      <c r="B23" s="595" t="s">
        <v>1872</v>
      </c>
      <c r="E23" s="633">
        <v>3</v>
      </c>
      <c r="F23" s="634" t="s">
        <v>2042</v>
      </c>
      <c r="G23" s="635">
        <v>50000000</v>
      </c>
      <c r="H23" s="635">
        <v>50130000</v>
      </c>
      <c r="I23" s="635">
        <v>50131600</v>
      </c>
    </row>
    <row r="24" spans="1:9" x14ac:dyDescent="0.3">
      <c r="A24" s="594" t="s">
        <v>1873</v>
      </c>
      <c r="B24" s="595" t="s">
        <v>1874</v>
      </c>
      <c r="E24" s="633">
        <v>4</v>
      </c>
      <c r="F24" s="634" t="s">
        <v>2035</v>
      </c>
      <c r="G24" s="635">
        <v>12000000</v>
      </c>
      <c r="H24" s="635">
        <v>12350000</v>
      </c>
      <c r="I24" s="635">
        <v>12352200</v>
      </c>
    </row>
    <row r="25" spans="1:9" x14ac:dyDescent="0.3">
      <c r="A25" s="593">
        <v>12352207</v>
      </c>
      <c r="B25" s="595" t="s">
        <v>1869</v>
      </c>
      <c r="E25" s="633">
        <v>5</v>
      </c>
      <c r="F25" s="634" t="s">
        <v>2042</v>
      </c>
      <c r="G25" s="635">
        <v>50000000</v>
      </c>
      <c r="H25" s="635">
        <v>50160000</v>
      </c>
      <c r="I25" s="635">
        <v>50161500</v>
      </c>
    </row>
    <row r="26" spans="1:9" x14ac:dyDescent="0.3">
      <c r="A26" s="593">
        <v>50161509</v>
      </c>
      <c r="B26" s="595" t="s">
        <v>1875</v>
      </c>
    </row>
    <row r="28" spans="1:9" x14ac:dyDescent="0.3">
      <c r="A28" s="675" t="e">
        <f>Necesidades!#REF!</f>
        <v>#REF!</v>
      </c>
      <c r="B28" s="675"/>
      <c r="E28" s="672" t="s">
        <v>2030</v>
      </c>
      <c r="F28" s="672"/>
      <c r="G28" s="672"/>
      <c r="H28" s="672"/>
      <c r="I28" s="672"/>
    </row>
    <row r="29" spans="1:9" x14ac:dyDescent="0.3">
      <c r="A29" s="1">
        <v>46182306</v>
      </c>
      <c r="B29" s="595" t="s">
        <v>1876</v>
      </c>
      <c r="E29" s="632" t="s">
        <v>6</v>
      </c>
      <c r="F29" s="632" t="s">
        <v>2031</v>
      </c>
      <c r="G29" s="632" t="s">
        <v>2032</v>
      </c>
      <c r="H29" s="632" t="s">
        <v>2033</v>
      </c>
      <c r="I29" s="632" t="s">
        <v>2034</v>
      </c>
    </row>
    <row r="30" spans="1:9" x14ac:dyDescent="0.3">
      <c r="A30" s="1">
        <v>46181539</v>
      </c>
      <c r="B30" s="595" t="s">
        <v>1877</v>
      </c>
      <c r="E30" s="633">
        <v>1</v>
      </c>
      <c r="F30" s="634" t="s">
        <v>2042</v>
      </c>
      <c r="G30" s="635">
        <v>46000000</v>
      </c>
      <c r="H30" s="635">
        <v>46180000</v>
      </c>
      <c r="I30" s="635">
        <v>46182300</v>
      </c>
    </row>
    <row r="31" spans="1:9" x14ac:dyDescent="0.3">
      <c r="E31" s="633">
        <v>2</v>
      </c>
      <c r="F31" s="634" t="s">
        <v>2042</v>
      </c>
      <c r="G31" s="635">
        <v>46000000</v>
      </c>
      <c r="H31" s="635">
        <v>46180000</v>
      </c>
      <c r="I31" s="635">
        <v>46181500</v>
      </c>
    </row>
    <row r="32" spans="1:9" x14ac:dyDescent="0.3">
      <c r="A32" s="675" t="e">
        <f>Necesidades!#REF!</f>
        <v>#REF!</v>
      </c>
      <c r="B32" s="675"/>
    </row>
    <row r="33" spans="1:9" x14ac:dyDescent="0.3">
      <c r="A33" s="1">
        <v>41111621</v>
      </c>
      <c r="B33" s="1" t="s">
        <v>1878</v>
      </c>
      <c r="E33" s="672" t="s">
        <v>2030</v>
      </c>
      <c r="F33" s="672"/>
      <c r="G33" s="672"/>
      <c r="H33" s="672"/>
      <c r="I33" s="672"/>
    </row>
    <row r="34" spans="1:9" x14ac:dyDescent="0.3">
      <c r="A34" s="1">
        <v>44101808</v>
      </c>
      <c r="B34" s="1" t="s">
        <v>1879</v>
      </c>
      <c r="E34" s="632" t="s">
        <v>6</v>
      </c>
      <c r="F34" s="632" t="s">
        <v>2031</v>
      </c>
      <c r="G34" s="632" t="s">
        <v>2032</v>
      </c>
      <c r="H34" s="632" t="s">
        <v>2033</v>
      </c>
      <c r="I34" s="632" t="s">
        <v>2034</v>
      </c>
    </row>
    <row r="35" spans="1:9" x14ac:dyDescent="0.3">
      <c r="A35" s="1">
        <v>14111519</v>
      </c>
      <c r="B35" s="1" t="s">
        <v>1880</v>
      </c>
      <c r="E35" s="633">
        <v>1</v>
      </c>
      <c r="F35" s="634" t="s">
        <v>2039</v>
      </c>
      <c r="G35" s="635">
        <v>41000000</v>
      </c>
      <c r="H35" s="635">
        <v>41110000</v>
      </c>
      <c r="I35" s="635">
        <v>41111600</v>
      </c>
    </row>
    <row r="36" spans="1:9" x14ac:dyDescent="0.3">
      <c r="A36" s="1">
        <v>41111502</v>
      </c>
      <c r="B36" s="1" t="s">
        <v>1881</v>
      </c>
      <c r="E36" s="633">
        <v>2</v>
      </c>
      <c r="F36" s="634" t="s">
        <v>2039</v>
      </c>
      <c r="G36" s="635">
        <v>44000000</v>
      </c>
      <c r="H36" s="635">
        <v>44100000</v>
      </c>
      <c r="I36" s="635">
        <v>44101800</v>
      </c>
    </row>
    <row r="37" spans="1:9" x14ac:dyDescent="0.3">
      <c r="A37" s="1">
        <v>60103109</v>
      </c>
      <c r="B37" s="1" t="s">
        <v>1882</v>
      </c>
      <c r="E37" s="633">
        <v>3</v>
      </c>
      <c r="F37" s="634" t="s">
        <v>2035</v>
      </c>
      <c r="G37" s="636">
        <v>14000000</v>
      </c>
      <c r="H37" s="636">
        <v>14110000</v>
      </c>
      <c r="I37" s="636">
        <v>14111500</v>
      </c>
    </row>
    <row r="38" spans="1:9" x14ac:dyDescent="0.3">
      <c r="A38" s="1">
        <v>60141101</v>
      </c>
      <c r="B38" s="1" t="s">
        <v>1883</v>
      </c>
      <c r="E38" s="633">
        <v>4</v>
      </c>
      <c r="F38" s="634" t="s">
        <v>2042</v>
      </c>
      <c r="G38" s="636">
        <v>60000000</v>
      </c>
      <c r="H38" s="636">
        <v>60100000</v>
      </c>
      <c r="I38" s="636">
        <v>60103100</v>
      </c>
    </row>
    <row r="39" spans="1:9" x14ac:dyDescent="0.3">
      <c r="A39" s="1">
        <v>39121440</v>
      </c>
      <c r="B39" s="1" t="s">
        <v>1884</v>
      </c>
      <c r="E39" s="633">
        <v>5</v>
      </c>
      <c r="F39" s="634" t="s">
        <v>2039</v>
      </c>
      <c r="G39" s="636">
        <v>39000000</v>
      </c>
      <c r="H39" s="636">
        <v>39120000</v>
      </c>
      <c r="I39" s="636">
        <v>39121400</v>
      </c>
    </row>
    <row r="41" spans="1:9" x14ac:dyDescent="0.3">
      <c r="A41" s="673" t="e">
        <f>Necesidades!#REF!</f>
        <v>#REF!</v>
      </c>
      <c r="B41" s="673"/>
      <c r="E41" s="672" t="s">
        <v>2030</v>
      </c>
      <c r="F41" s="672"/>
      <c r="G41" s="672"/>
      <c r="H41" s="672"/>
      <c r="I41" s="672"/>
    </row>
    <row r="42" spans="1:9" x14ac:dyDescent="0.3">
      <c r="A42" s="1">
        <v>50201706</v>
      </c>
      <c r="B42" s="1" t="s">
        <v>1874</v>
      </c>
      <c r="E42" s="632" t="s">
        <v>6</v>
      </c>
      <c r="F42" s="632" t="s">
        <v>2031</v>
      </c>
      <c r="G42" s="632" t="s">
        <v>2032</v>
      </c>
      <c r="H42" s="632" t="s">
        <v>2033</v>
      </c>
      <c r="I42" s="632" t="s">
        <v>2034</v>
      </c>
    </row>
    <row r="43" spans="1:9" x14ac:dyDescent="0.3">
      <c r="A43" s="1">
        <v>50161500</v>
      </c>
      <c r="B43" s="1" t="s">
        <v>1885</v>
      </c>
      <c r="E43" s="633">
        <v>1</v>
      </c>
      <c r="F43" s="634" t="s">
        <v>2039</v>
      </c>
      <c r="G43" s="635">
        <v>41000000</v>
      </c>
      <c r="H43" s="635">
        <v>41110000</v>
      </c>
      <c r="I43" s="635">
        <v>41115600</v>
      </c>
    </row>
    <row r="44" spans="1:9" x14ac:dyDescent="0.3">
      <c r="A44" s="1">
        <v>12352207</v>
      </c>
      <c r="B44" s="1" t="s">
        <v>1869</v>
      </c>
      <c r="E44" s="633">
        <v>2</v>
      </c>
      <c r="F44" s="634" t="s">
        <v>2042</v>
      </c>
      <c r="G44" s="635">
        <v>50000000</v>
      </c>
      <c r="H44" s="635">
        <v>50200000</v>
      </c>
      <c r="I44" s="635">
        <v>50201700</v>
      </c>
    </row>
    <row r="45" spans="1:9" x14ac:dyDescent="0.3">
      <c r="A45" s="1">
        <v>24121807</v>
      </c>
      <c r="B45" s="1" t="s">
        <v>1886</v>
      </c>
      <c r="E45" s="633">
        <v>3</v>
      </c>
      <c r="F45" s="634" t="s">
        <v>2035</v>
      </c>
      <c r="G45" s="636">
        <v>12000000</v>
      </c>
      <c r="H45" s="636">
        <v>12350000</v>
      </c>
      <c r="I45" s="636">
        <v>12352200</v>
      </c>
    </row>
    <row r="46" spans="1:9" x14ac:dyDescent="0.3">
      <c r="A46" s="1">
        <v>12161805</v>
      </c>
      <c r="B46" s="1" t="s">
        <v>1887</v>
      </c>
      <c r="E46" s="633">
        <v>4</v>
      </c>
      <c r="F46" s="634" t="s">
        <v>2042</v>
      </c>
      <c r="G46" s="636">
        <v>51000000</v>
      </c>
      <c r="H46" s="636">
        <v>51170000</v>
      </c>
      <c r="I46" s="636">
        <v>51171600</v>
      </c>
    </row>
    <row r="47" spans="1:9" x14ac:dyDescent="0.3">
      <c r="A47" s="1">
        <v>41115603</v>
      </c>
      <c r="B47" s="1" t="s">
        <v>1888</v>
      </c>
      <c r="E47" s="633">
        <v>5</v>
      </c>
      <c r="F47" s="634" t="s">
        <v>2042</v>
      </c>
      <c r="G47" s="636">
        <v>50000000</v>
      </c>
      <c r="H47" s="636">
        <v>50200000</v>
      </c>
      <c r="I47" s="636">
        <v>50202200</v>
      </c>
    </row>
    <row r="48" spans="1:9" x14ac:dyDescent="0.3">
      <c r="A48" s="1">
        <v>51171600</v>
      </c>
      <c r="B48" s="1" t="s">
        <v>1889</v>
      </c>
    </row>
    <row r="49" spans="1:9" x14ac:dyDescent="0.3">
      <c r="A49" s="593" t="s">
        <v>1890</v>
      </c>
      <c r="B49" s="1" t="s">
        <v>1891</v>
      </c>
    </row>
    <row r="50" spans="1:9" x14ac:dyDescent="0.3">
      <c r="A50" s="1">
        <v>12164502</v>
      </c>
      <c r="B50" s="1" t="s">
        <v>1892</v>
      </c>
    </row>
    <row r="51" spans="1:9" x14ac:dyDescent="0.3">
      <c r="A51" s="1">
        <v>50181709</v>
      </c>
      <c r="B51" s="1" t="s">
        <v>1893</v>
      </c>
    </row>
    <row r="52" spans="1:9" x14ac:dyDescent="0.3">
      <c r="A52" s="1">
        <v>50202206</v>
      </c>
      <c r="B52" s="1" t="s">
        <v>1894</v>
      </c>
    </row>
    <row r="54" spans="1:9" x14ac:dyDescent="0.3">
      <c r="A54" s="678" t="e">
        <f>POD!A9</f>
        <v>#REF!</v>
      </c>
      <c r="B54" s="678"/>
      <c r="E54" s="672" t="s">
        <v>2030</v>
      </c>
      <c r="F54" s="672"/>
      <c r="G54" s="672"/>
      <c r="H54" s="672"/>
      <c r="I54" s="672"/>
    </row>
    <row r="55" spans="1:9" x14ac:dyDescent="0.3">
      <c r="A55" s="1">
        <v>10151530</v>
      </c>
      <c r="B55" s="1" t="s">
        <v>1895</v>
      </c>
      <c r="E55" s="632" t="s">
        <v>6</v>
      </c>
      <c r="F55" s="632" t="s">
        <v>2031</v>
      </c>
      <c r="G55" s="632" t="s">
        <v>2032</v>
      </c>
      <c r="H55" s="632" t="s">
        <v>2033</v>
      </c>
      <c r="I55" s="632" t="s">
        <v>2034</v>
      </c>
    </row>
    <row r="56" spans="1:9" x14ac:dyDescent="0.3">
      <c r="A56" s="1">
        <v>10191509</v>
      </c>
      <c r="B56" s="1" t="s">
        <v>1864</v>
      </c>
      <c r="E56" s="633">
        <v>1</v>
      </c>
      <c r="F56" s="634" t="s">
        <v>2041</v>
      </c>
      <c r="G56" s="635">
        <v>10000000</v>
      </c>
      <c r="H56" s="635">
        <v>10150000</v>
      </c>
      <c r="I56" s="635">
        <v>10151500</v>
      </c>
    </row>
    <row r="57" spans="1:9" x14ac:dyDescent="0.3">
      <c r="A57" s="1">
        <v>10171504</v>
      </c>
      <c r="B57" s="1" t="s">
        <v>1896</v>
      </c>
      <c r="E57" s="633">
        <v>2</v>
      </c>
      <c r="F57" s="634" t="s">
        <v>2042</v>
      </c>
      <c r="G57" s="635">
        <v>50000000</v>
      </c>
      <c r="H57" s="635">
        <v>50190000</v>
      </c>
      <c r="I57" s="635">
        <v>50192400</v>
      </c>
    </row>
    <row r="58" spans="1:9" ht="28.8" x14ac:dyDescent="0.3">
      <c r="A58" s="1">
        <v>50192400</v>
      </c>
      <c r="B58" s="518" t="s">
        <v>1897</v>
      </c>
      <c r="E58" s="633">
        <v>3</v>
      </c>
      <c r="F58" s="634" t="s">
        <v>2035</v>
      </c>
      <c r="G58" s="636">
        <v>11000000</v>
      </c>
      <c r="H58" s="636">
        <v>11160000</v>
      </c>
      <c r="I58" s="636">
        <v>11162100</v>
      </c>
    </row>
    <row r="59" spans="1:9" x14ac:dyDescent="0.3">
      <c r="A59" s="1">
        <v>11162110</v>
      </c>
      <c r="B59" s="1" t="s">
        <v>1898</v>
      </c>
      <c r="E59" s="633">
        <v>4</v>
      </c>
      <c r="F59" s="634" t="s">
        <v>2042</v>
      </c>
      <c r="G59" s="636">
        <v>51000000</v>
      </c>
      <c r="H59" s="636">
        <v>51210000</v>
      </c>
      <c r="I59" s="636">
        <v>51211600</v>
      </c>
    </row>
    <row r="60" spans="1:9" x14ac:dyDescent="0.3">
      <c r="A60" s="1">
        <v>10171802</v>
      </c>
      <c r="B60" s="597" t="s">
        <v>1899</v>
      </c>
      <c r="E60" s="633">
        <v>5</v>
      </c>
      <c r="F60" s="634" t="s">
        <v>2042</v>
      </c>
      <c r="G60" s="636">
        <v>42000000</v>
      </c>
      <c r="H60" s="636">
        <v>42120000</v>
      </c>
      <c r="I60" s="636">
        <v>42121500</v>
      </c>
    </row>
    <row r="61" spans="1:9" x14ac:dyDescent="0.3">
      <c r="A61" s="1">
        <v>51211624</v>
      </c>
      <c r="B61" s="1" t="s">
        <v>1900</v>
      </c>
    </row>
    <row r="62" spans="1:9" x14ac:dyDescent="0.3">
      <c r="A62" s="1">
        <v>11111501</v>
      </c>
      <c r="B62" s="1" t="s">
        <v>1901</v>
      </c>
    </row>
    <row r="63" spans="1:9" x14ac:dyDescent="0.3">
      <c r="A63" s="1">
        <v>42121506</v>
      </c>
      <c r="B63" s="1" t="s">
        <v>1902</v>
      </c>
    </row>
    <row r="65" spans="1:9" x14ac:dyDescent="0.3">
      <c r="A65" s="678" t="e">
        <f>Necesidades!#REF!</f>
        <v>#REF!</v>
      </c>
      <c r="B65" s="678"/>
      <c r="E65" s="672" t="s">
        <v>2030</v>
      </c>
      <c r="F65" s="672"/>
      <c r="G65" s="672"/>
      <c r="H65" s="672"/>
      <c r="I65" s="672"/>
    </row>
    <row r="66" spans="1:9" x14ac:dyDescent="0.3">
      <c r="A66" s="518">
        <v>11161702</v>
      </c>
      <c r="B66" s="518" t="s">
        <v>1903</v>
      </c>
      <c r="E66" s="632" t="s">
        <v>6</v>
      </c>
      <c r="F66" s="632" t="s">
        <v>2031</v>
      </c>
      <c r="G66" s="632" t="s">
        <v>2032</v>
      </c>
      <c r="H66" s="632" t="s">
        <v>2033</v>
      </c>
      <c r="I66" s="632" t="s">
        <v>2034</v>
      </c>
    </row>
    <row r="67" spans="1:9" ht="28.8" x14ac:dyDescent="0.3">
      <c r="A67" s="518">
        <v>60105803</v>
      </c>
      <c r="B67" s="518" t="s">
        <v>1904</v>
      </c>
      <c r="E67" s="633">
        <v>1</v>
      </c>
      <c r="F67" s="634" t="s">
        <v>2035</v>
      </c>
      <c r="G67" s="635">
        <v>11000000</v>
      </c>
      <c r="H67" s="635">
        <v>11160000</v>
      </c>
      <c r="I67" s="635">
        <v>11161700</v>
      </c>
    </row>
    <row r="68" spans="1:9" x14ac:dyDescent="0.3">
      <c r="A68" s="518">
        <v>53141605</v>
      </c>
      <c r="B68" s="518" t="s">
        <v>1905</v>
      </c>
      <c r="E68" s="633">
        <v>2</v>
      </c>
      <c r="F68" s="634" t="s">
        <v>2042</v>
      </c>
      <c r="G68" s="635">
        <v>60000000</v>
      </c>
      <c r="H68" s="635">
        <v>60100000</v>
      </c>
      <c r="I68" s="635">
        <v>60105800</v>
      </c>
    </row>
    <row r="69" spans="1:9" x14ac:dyDescent="0.3">
      <c r="A69" s="518">
        <v>11151509</v>
      </c>
      <c r="B69" s="518" t="s">
        <v>1906</v>
      </c>
      <c r="E69" s="633">
        <v>3</v>
      </c>
      <c r="F69" s="634" t="s">
        <v>2035</v>
      </c>
      <c r="G69" s="636">
        <v>11000000</v>
      </c>
      <c r="H69" s="636">
        <v>11150000</v>
      </c>
      <c r="I69" s="636">
        <v>11151500</v>
      </c>
    </row>
    <row r="70" spans="1:9" x14ac:dyDescent="0.3">
      <c r="A70" s="518">
        <v>53141505</v>
      </c>
      <c r="B70" s="518" t="s">
        <v>1907</v>
      </c>
      <c r="E70" s="633">
        <v>4</v>
      </c>
      <c r="F70" s="634" t="s">
        <v>2042</v>
      </c>
      <c r="G70" s="636">
        <v>53000000</v>
      </c>
      <c r="H70" s="636">
        <v>53140000</v>
      </c>
      <c r="I70" s="636">
        <v>53141600</v>
      </c>
    </row>
    <row r="71" spans="1:9" x14ac:dyDescent="0.3">
      <c r="E71" s="633">
        <v>5</v>
      </c>
      <c r="F71" s="634" t="s">
        <v>2042</v>
      </c>
      <c r="G71" s="636">
        <v>53000000</v>
      </c>
      <c r="H71" s="636">
        <v>53140000</v>
      </c>
      <c r="I71" s="636">
        <v>53141500</v>
      </c>
    </row>
    <row r="72" spans="1:9" x14ac:dyDescent="0.3">
      <c r="A72" s="675" t="e">
        <f>Necesidades!#REF!</f>
        <v>#REF!</v>
      </c>
      <c r="B72" s="675"/>
    </row>
    <row r="73" spans="1:9" x14ac:dyDescent="0.3">
      <c r="A73" s="1">
        <v>46182306</v>
      </c>
      <c r="B73" s="595" t="s">
        <v>1876</v>
      </c>
      <c r="E73" t="s">
        <v>2043</v>
      </c>
    </row>
    <row r="74" spans="1:9" x14ac:dyDescent="0.3">
      <c r="A74" s="1">
        <v>46181539</v>
      </c>
      <c r="B74" s="595" t="s">
        <v>1877</v>
      </c>
      <c r="E74" s="672" t="s">
        <v>2030</v>
      </c>
      <c r="F74" s="672"/>
      <c r="G74" s="672"/>
      <c r="H74" s="672"/>
      <c r="I74" s="672"/>
    </row>
    <row r="75" spans="1:9" x14ac:dyDescent="0.3">
      <c r="A75" s="1">
        <v>46182304</v>
      </c>
      <c r="B75" s="1" t="s">
        <v>1908</v>
      </c>
      <c r="E75" s="632" t="s">
        <v>6</v>
      </c>
      <c r="F75" s="632" t="s">
        <v>2031</v>
      </c>
      <c r="G75" s="632" t="s">
        <v>2032</v>
      </c>
      <c r="H75" s="632" t="s">
        <v>2033</v>
      </c>
      <c r="I75" s="632" t="s">
        <v>2034</v>
      </c>
    </row>
    <row r="76" spans="1:9" x14ac:dyDescent="0.3">
      <c r="A76">
        <v>22101906</v>
      </c>
      <c r="B76" t="s">
        <v>1909</v>
      </c>
      <c r="E76" s="633">
        <v>1</v>
      </c>
      <c r="F76" s="634" t="s">
        <v>2042</v>
      </c>
      <c r="G76" s="635">
        <v>46000000</v>
      </c>
      <c r="H76" s="635">
        <v>46180000</v>
      </c>
      <c r="I76" s="635">
        <v>46182300</v>
      </c>
    </row>
    <row r="77" spans="1:9" x14ac:dyDescent="0.3">
      <c r="E77" s="633">
        <v>2</v>
      </c>
      <c r="F77" s="634" t="s">
        <v>2042</v>
      </c>
      <c r="G77" s="635">
        <v>46000000</v>
      </c>
      <c r="H77" s="635">
        <v>46180000</v>
      </c>
      <c r="I77" s="635">
        <v>43151500</v>
      </c>
    </row>
    <row r="78" spans="1:9" ht="27.6" x14ac:dyDescent="0.3">
      <c r="A78" s="675" t="e">
        <f>Necesidades!#REF!</f>
        <v>#REF!</v>
      </c>
      <c r="B78" s="675"/>
      <c r="E78" s="633">
        <v>3</v>
      </c>
      <c r="F78" s="634" t="s">
        <v>2040</v>
      </c>
      <c r="G78" s="636">
        <v>22000000</v>
      </c>
      <c r="H78" s="636">
        <v>22100000</v>
      </c>
      <c r="I78" s="636">
        <v>22101900</v>
      </c>
    </row>
    <row r="79" spans="1:9" x14ac:dyDescent="0.3">
      <c r="A79" s="1">
        <v>12352301</v>
      </c>
      <c r="B79" s="1" t="s">
        <v>1910</v>
      </c>
      <c r="E79" t="s">
        <v>2044</v>
      </c>
    </row>
    <row r="80" spans="1:9" x14ac:dyDescent="0.3">
      <c r="A80" s="1">
        <v>41116105</v>
      </c>
      <c r="B80" s="1" t="s">
        <v>1911</v>
      </c>
      <c r="E80" s="672" t="s">
        <v>2030</v>
      </c>
      <c r="F80" s="672"/>
      <c r="G80" s="672"/>
      <c r="H80" s="672"/>
      <c r="I80" s="672"/>
    </row>
    <row r="81" spans="1:10" x14ac:dyDescent="0.3">
      <c r="A81" s="1">
        <v>12352115</v>
      </c>
      <c r="B81" s="1" t="s">
        <v>1912</v>
      </c>
      <c r="E81" s="632" t="s">
        <v>6</v>
      </c>
      <c r="F81" s="632" t="s">
        <v>2031</v>
      </c>
      <c r="G81" s="632" t="s">
        <v>2032</v>
      </c>
      <c r="H81" s="632" t="s">
        <v>2033</v>
      </c>
      <c r="I81" s="632" t="s">
        <v>2034</v>
      </c>
    </row>
    <row r="82" spans="1:10" x14ac:dyDescent="0.3">
      <c r="A82" s="1">
        <v>41121803</v>
      </c>
      <c r="B82" s="1" t="s">
        <v>1913</v>
      </c>
      <c r="E82" s="633">
        <v>1</v>
      </c>
      <c r="F82" s="634" t="s">
        <v>2035</v>
      </c>
      <c r="G82" s="635">
        <v>12000000</v>
      </c>
      <c r="H82" s="635">
        <v>12350000</v>
      </c>
      <c r="I82" s="635">
        <v>12352300</v>
      </c>
    </row>
    <row r="83" spans="1:10" x14ac:dyDescent="0.3">
      <c r="A83" s="1">
        <v>41122605</v>
      </c>
      <c r="B83" s="1" t="s">
        <v>1914</v>
      </c>
      <c r="E83" s="633">
        <v>2</v>
      </c>
      <c r="F83" s="634" t="s">
        <v>2039</v>
      </c>
      <c r="G83" s="635">
        <v>41000000</v>
      </c>
      <c r="H83" s="635">
        <v>41110000</v>
      </c>
      <c r="I83" s="635">
        <v>41116100</v>
      </c>
    </row>
    <row r="84" spans="1:10" x14ac:dyDescent="0.3">
      <c r="E84" s="633">
        <v>3</v>
      </c>
      <c r="F84" s="634" t="s">
        <v>2035</v>
      </c>
      <c r="G84" s="636">
        <v>12000000</v>
      </c>
      <c r="H84" s="636">
        <v>12350000</v>
      </c>
      <c r="I84" s="636">
        <v>12352100</v>
      </c>
    </row>
    <row r="85" spans="1:10" x14ac:dyDescent="0.3">
      <c r="A85" s="675" t="e">
        <f>Necesidades!#REF!</f>
        <v>#REF!</v>
      </c>
      <c r="B85" s="676"/>
      <c r="E85" s="633">
        <v>4</v>
      </c>
      <c r="F85" s="634" t="s">
        <v>2039</v>
      </c>
      <c r="G85" s="636">
        <v>41000000</v>
      </c>
      <c r="H85" s="636">
        <v>41120000</v>
      </c>
      <c r="I85" s="636">
        <v>41121800</v>
      </c>
    </row>
    <row r="86" spans="1:10" x14ac:dyDescent="0.3">
      <c r="A86" s="1">
        <v>50121612</v>
      </c>
      <c r="B86" s="1" t="s">
        <v>1915</v>
      </c>
      <c r="E86" s="633">
        <v>5</v>
      </c>
      <c r="F86" s="634" t="s">
        <v>2039</v>
      </c>
      <c r="G86" s="636">
        <v>41000000</v>
      </c>
      <c r="H86" s="636">
        <v>41120000</v>
      </c>
      <c r="I86" s="636">
        <v>41122600</v>
      </c>
      <c r="J86">
        <v>0</v>
      </c>
    </row>
    <row r="87" spans="1:10" x14ac:dyDescent="0.3">
      <c r="A87" s="1">
        <v>50111515</v>
      </c>
      <c r="B87" s="1" t="s">
        <v>1916</v>
      </c>
    </row>
    <row r="88" spans="1:10" x14ac:dyDescent="0.3">
      <c r="A88" s="1">
        <v>50131600</v>
      </c>
      <c r="B88" s="1" t="s">
        <v>1917</v>
      </c>
      <c r="E88" s="672" t="s">
        <v>2030</v>
      </c>
      <c r="F88" s="672"/>
      <c r="G88" s="672"/>
      <c r="H88" s="672"/>
      <c r="I88" s="672"/>
    </row>
    <row r="89" spans="1:10" x14ac:dyDescent="0.3">
      <c r="A89" s="1">
        <v>50202206</v>
      </c>
      <c r="B89" s="1" t="s">
        <v>1918</v>
      </c>
      <c r="E89" s="632" t="s">
        <v>6</v>
      </c>
      <c r="F89" s="632" t="s">
        <v>2031</v>
      </c>
      <c r="G89" s="632" t="s">
        <v>2032</v>
      </c>
      <c r="H89" s="632" t="s">
        <v>2033</v>
      </c>
      <c r="I89" s="632" t="s">
        <v>2034</v>
      </c>
    </row>
    <row r="90" spans="1:10" x14ac:dyDescent="0.3">
      <c r="A90" s="1">
        <v>47131821</v>
      </c>
      <c r="B90" s="1" t="s">
        <v>1919</v>
      </c>
      <c r="E90" s="633">
        <v>1</v>
      </c>
      <c r="F90" s="634" t="s">
        <v>2042</v>
      </c>
      <c r="G90" s="635">
        <v>50000000</v>
      </c>
      <c r="H90" s="635">
        <v>50120000</v>
      </c>
      <c r="I90" s="635">
        <v>50121600</v>
      </c>
    </row>
    <row r="91" spans="1:10" x14ac:dyDescent="0.3">
      <c r="A91" s="1">
        <v>50181709</v>
      </c>
      <c r="B91" s="1" t="s">
        <v>1893</v>
      </c>
      <c r="E91" s="633">
        <v>2</v>
      </c>
      <c r="F91" s="634" t="s">
        <v>2042</v>
      </c>
      <c r="G91" s="635">
        <v>50000000</v>
      </c>
      <c r="H91" s="635">
        <v>50200000</v>
      </c>
      <c r="I91" s="635">
        <v>50202200</v>
      </c>
    </row>
    <row r="92" spans="1:10" x14ac:dyDescent="0.3">
      <c r="A92" s="593" t="s">
        <v>1035</v>
      </c>
      <c r="B92" s="1" t="s">
        <v>1920</v>
      </c>
      <c r="E92" s="633">
        <v>3</v>
      </c>
      <c r="F92" s="634" t="s">
        <v>2042</v>
      </c>
      <c r="G92" s="636">
        <v>47000000</v>
      </c>
      <c r="H92" s="636">
        <v>47130000</v>
      </c>
      <c r="I92" s="636">
        <v>47131800</v>
      </c>
    </row>
    <row r="93" spans="1:10" x14ac:dyDescent="0.3">
      <c r="A93" s="1">
        <v>50424125</v>
      </c>
      <c r="B93" s="1" t="s">
        <v>1921</v>
      </c>
      <c r="E93" s="633">
        <v>4</v>
      </c>
      <c r="F93" s="634" t="s">
        <v>2042</v>
      </c>
      <c r="G93" s="636">
        <v>50000000</v>
      </c>
      <c r="H93" s="636">
        <v>50130000</v>
      </c>
      <c r="I93" s="636">
        <v>50131600</v>
      </c>
    </row>
    <row r="94" spans="1:10" x14ac:dyDescent="0.3">
      <c r="A94" s="1">
        <v>50192404</v>
      </c>
      <c r="B94" s="1" t="s">
        <v>1922</v>
      </c>
      <c r="E94" s="633">
        <v>5</v>
      </c>
      <c r="F94" s="634" t="s">
        <v>2042</v>
      </c>
      <c r="G94" s="636">
        <v>50000000</v>
      </c>
      <c r="H94" s="636">
        <v>50420000</v>
      </c>
      <c r="I94" s="636">
        <v>50424100</v>
      </c>
    </row>
    <row r="95" spans="1:10" x14ac:dyDescent="0.3">
      <c r="A95" s="1">
        <v>50202207</v>
      </c>
      <c r="B95" s="1" t="s">
        <v>1923</v>
      </c>
    </row>
    <row r="97" spans="1:9" x14ac:dyDescent="0.3">
      <c r="A97" s="675" t="e">
        <f>Necesidades!#REF!</f>
        <v>#REF!</v>
      </c>
      <c r="B97" s="675"/>
      <c r="E97" s="672" t="s">
        <v>2030</v>
      </c>
      <c r="F97" s="672"/>
      <c r="G97" s="672"/>
      <c r="H97" s="672"/>
      <c r="I97" s="672"/>
    </row>
    <row r="98" spans="1:9" x14ac:dyDescent="0.3">
      <c r="A98" s="1">
        <v>11161701</v>
      </c>
      <c r="B98" s="1" t="s">
        <v>1924</v>
      </c>
      <c r="E98" s="632" t="s">
        <v>6</v>
      </c>
      <c r="F98" s="632" t="s">
        <v>2031</v>
      </c>
      <c r="G98" s="632" t="s">
        <v>2032</v>
      </c>
      <c r="H98" s="632" t="s">
        <v>2033</v>
      </c>
      <c r="I98" s="632" t="s">
        <v>2034</v>
      </c>
    </row>
    <row r="99" spans="1:9" x14ac:dyDescent="0.3">
      <c r="A99" s="1">
        <v>11162307</v>
      </c>
      <c r="B99" s="1" t="s">
        <v>1925</v>
      </c>
      <c r="E99" s="633">
        <v>1</v>
      </c>
      <c r="F99" s="634" t="s">
        <v>2035</v>
      </c>
      <c r="G99" s="635">
        <v>11000000</v>
      </c>
      <c r="H99" s="635">
        <v>11160000</v>
      </c>
      <c r="I99" s="635">
        <v>11161700</v>
      </c>
    </row>
    <row r="100" spans="1:9" x14ac:dyDescent="0.3">
      <c r="A100" s="1">
        <v>11151507</v>
      </c>
      <c r="B100" s="1" t="s">
        <v>1926</v>
      </c>
      <c r="E100" s="633">
        <v>2</v>
      </c>
      <c r="F100" s="634" t="s">
        <v>2035</v>
      </c>
      <c r="G100" s="635">
        <v>11000000</v>
      </c>
      <c r="H100" s="635">
        <v>11150000</v>
      </c>
      <c r="I100" s="635">
        <v>11151500</v>
      </c>
    </row>
    <row r="101" spans="1:9" x14ac:dyDescent="0.3">
      <c r="A101" s="1">
        <v>31211502</v>
      </c>
      <c r="B101" s="1" t="s">
        <v>1927</v>
      </c>
      <c r="E101" s="633">
        <v>3</v>
      </c>
      <c r="F101" s="634" t="s">
        <v>2039</v>
      </c>
      <c r="G101" s="636">
        <v>31000000</v>
      </c>
      <c r="H101" s="636">
        <v>31210000</v>
      </c>
      <c r="I101" s="636">
        <v>31211500</v>
      </c>
    </row>
    <row r="102" spans="1:9" x14ac:dyDescent="0.3">
      <c r="A102" s="1">
        <v>60122907</v>
      </c>
      <c r="B102" s="1" t="s">
        <v>1928</v>
      </c>
      <c r="E102" s="633">
        <v>4</v>
      </c>
      <c r="F102" s="634" t="s">
        <v>2042</v>
      </c>
      <c r="G102" s="636">
        <v>60000000</v>
      </c>
      <c r="H102" s="636">
        <v>60120000</v>
      </c>
      <c r="I102" s="636">
        <v>60122900</v>
      </c>
    </row>
    <row r="103" spans="1:9" x14ac:dyDescent="0.3">
      <c r="A103" s="1">
        <v>53112000</v>
      </c>
      <c r="B103" s="1" t="s">
        <v>1929</v>
      </c>
      <c r="E103" s="633">
        <v>5</v>
      </c>
      <c r="F103" s="634" t="s">
        <v>2042</v>
      </c>
      <c r="G103" s="636">
        <v>53000000</v>
      </c>
      <c r="H103" s="636">
        <v>53110000</v>
      </c>
      <c r="I103" s="636">
        <v>53112000</v>
      </c>
    </row>
    <row r="105" spans="1:9" x14ac:dyDescent="0.3">
      <c r="A105" s="675" t="e">
        <f>Necesidades!#REF!</f>
        <v>#REF!</v>
      </c>
      <c r="B105" s="675"/>
      <c r="E105" s="672" t="s">
        <v>2030</v>
      </c>
      <c r="F105" s="672"/>
      <c r="G105" s="672"/>
      <c r="H105" s="672"/>
      <c r="I105" s="672"/>
    </row>
    <row r="106" spans="1:9" x14ac:dyDescent="0.3">
      <c r="A106" s="1">
        <v>53131600</v>
      </c>
      <c r="B106" s="1" t="s">
        <v>1930</v>
      </c>
      <c r="E106" s="632" t="s">
        <v>6</v>
      </c>
      <c r="F106" s="632" t="s">
        <v>2031</v>
      </c>
      <c r="G106" s="632" t="s">
        <v>2032</v>
      </c>
      <c r="H106" s="632" t="s">
        <v>2033</v>
      </c>
      <c r="I106" s="632" t="s">
        <v>2034</v>
      </c>
    </row>
    <row r="107" spans="1:9" x14ac:dyDescent="0.3">
      <c r="A107" s="1">
        <v>53131640</v>
      </c>
      <c r="B107" s="1" t="s">
        <v>1931</v>
      </c>
      <c r="E107" s="633">
        <v>1</v>
      </c>
      <c r="F107" s="634" t="s">
        <v>2042</v>
      </c>
      <c r="G107" s="635">
        <v>53000000</v>
      </c>
      <c r="H107" s="635">
        <v>53130000</v>
      </c>
      <c r="I107" s="635">
        <v>53131600</v>
      </c>
    </row>
    <row r="108" spans="1:9" x14ac:dyDescent="0.3">
      <c r="A108" s="1">
        <v>42281603</v>
      </c>
      <c r="B108" s="1" t="s">
        <v>1932</v>
      </c>
      <c r="E108" s="633">
        <v>2</v>
      </c>
      <c r="F108" s="634" t="s">
        <v>2042</v>
      </c>
      <c r="G108" s="635">
        <v>42000000</v>
      </c>
      <c r="H108" s="635">
        <v>42280000</v>
      </c>
      <c r="I108" s="635">
        <v>42281600</v>
      </c>
    </row>
    <row r="109" spans="1:9" x14ac:dyDescent="0.3">
      <c r="A109" s="1">
        <v>47131502</v>
      </c>
      <c r="B109" s="1" t="s">
        <v>1933</v>
      </c>
      <c r="E109" s="633">
        <v>3</v>
      </c>
      <c r="F109" s="634" t="s">
        <v>2042</v>
      </c>
      <c r="G109" s="636">
        <v>47000000</v>
      </c>
      <c r="H109" s="636">
        <v>47130000</v>
      </c>
      <c r="I109" s="636">
        <v>47131500</v>
      </c>
    </row>
    <row r="110" spans="1:9" x14ac:dyDescent="0.3">
      <c r="A110" s="1">
        <v>42132203</v>
      </c>
      <c r="B110" s="1" t="s">
        <v>1934</v>
      </c>
      <c r="E110" s="633">
        <v>4</v>
      </c>
      <c r="F110" s="634" t="s">
        <v>2042</v>
      </c>
      <c r="G110" s="636">
        <v>53000000</v>
      </c>
      <c r="H110" s="636">
        <v>53130000</v>
      </c>
      <c r="I110" s="636">
        <v>53131600</v>
      </c>
    </row>
    <row r="111" spans="1:9" x14ac:dyDescent="0.3">
      <c r="A111" s="1">
        <v>42131606</v>
      </c>
      <c r="B111" s="1" t="s">
        <v>1935</v>
      </c>
      <c r="E111" s="633">
        <v>5</v>
      </c>
      <c r="F111" s="634" t="s">
        <v>2042</v>
      </c>
      <c r="G111" s="636">
        <v>42000000</v>
      </c>
      <c r="H111" s="636">
        <v>42130000</v>
      </c>
      <c r="I111" s="636">
        <v>42132200</v>
      </c>
    </row>
    <row r="112" spans="1:9" x14ac:dyDescent="0.3">
      <c r="A112" s="1">
        <v>53131607</v>
      </c>
      <c r="B112" s="1" t="s">
        <v>1936</v>
      </c>
    </row>
    <row r="113" spans="1:9" x14ac:dyDescent="0.3">
      <c r="A113" s="1">
        <v>53131617</v>
      </c>
      <c r="B113" s="1" t="s">
        <v>1937</v>
      </c>
    </row>
    <row r="115" spans="1:9" x14ac:dyDescent="0.3">
      <c r="A115" s="675" t="e">
        <f>Necesidades!#REF!</f>
        <v>#REF!</v>
      </c>
      <c r="B115" s="675"/>
      <c r="E115" s="672" t="s">
        <v>2030</v>
      </c>
      <c r="F115" s="672"/>
      <c r="G115" s="672"/>
      <c r="H115" s="672"/>
      <c r="I115" s="672"/>
    </row>
    <row r="116" spans="1:9" x14ac:dyDescent="0.3">
      <c r="A116" s="1">
        <v>12352301</v>
      </c>
      <c r="B116" s="1" t="s">
        <v>1910</v>
      </c>
      <c r="E116" s="632" t="s">
        <v>6</v>
      </c>
      <c r="F116" s="632" t="s">
        <v>2031</v>
      </c>
      <c r="G116" s="632" t="s">
        <v>2032</v>
      </c>
      <c r="H116" s="632" t="s">
        <v>2033</v>
      </c>
      <c r="I116" s="632" t="s">
        <v>2034</v>
      </c>
    </row>
    <row r="117" spans="1:9" x14ac:dyDescent="0.3">
      <c r="A117" s="1">
        <v>41116105</v>
      </c>
      <c r="B117" s="1" t="s">
        <v>1911</v>
      </c>
      <c r="E117" s="633">
        <v>1</v>
      </c>
      <c r="F117" s="634" t="s">
        <v>2035</v>
      </c>
      <c r="G117" s="635">
        <v>12000000</v>
      </c>
      <c r="H117" s="635">
        <v>12350000</v>
      </c>
      <c r="I117" s="635">
        <v>12352300</v>
      </c>
    </row>
    <row r="118" spans="1:9" x14ac:dyDescent="0.3">
      <c r="A118" s="1">
        <v>12352115</v>
      </c>
      <c r="B118" s="1" t="s">
        <v>1912</v>
      </c>
      <c r="E118" s="633">
        <v>2</v>
      </c>
      <c r="F118" s="634" t="s">
        <v>2039</v>
      </c>
      <c r="G118" s="635">
        <v>41000000</v>
      </c>
      <c r="H118" s="635">
        <v>41110000</v>
      </c>
      <c r="I118" s="635">
        <v>41116100</v>
      </c>
    </row>
    <row r="119" spans="1:9" x14ac:dyDescent="0.3">
      <c r="A119" s="1">
        <v>51171617</v>
      </c>
      <c r="B119" s="1" t="s">
        <v>1938</v>
      </c>
      <c r="E119" s="633">
        <v>3</v>
      </c>
      <c r="F119" s="634" t="s">
        <v>2035</v>
      </c>
      <c r="G119" s="636">
        <v>12000000</v>
      </c>
      <c r="H119" s="636">
        <v>12350000</v>
      </c>
      <c r="I119" s="636">
        <v>12352100</v>
      </c>
    </row>
    <row r="120" spans="1:9" x14ac:dyDescent="0.3">
      <c r="A120" s="1">
        <v>41121802</v>
      </c>
      <c r="B120" s="1" t="s">
        <v>1939</v>
      </c>
      <c r="E120" s="633">
        <v>4</v>
      </c>
      <c r="F120" s="634" t="s">
        <v>2042</v>
      </c>
      <c r="G120" s="636">
        <v>51000000</v>
      </c>
      <c r="H120" s="636">
        <v>51170000</v>
      </c>
      <c r="I120" s="636">
        <v>51171600</v>
      </c>
    </row>
    <row r="121" spans="1:9" x14ac:dyDescent="0.3">
      <c r="E121" s="633">
        <v>5</v>
      </c>
      <c r="F121" s="634" t="s">
        <v>2039</v>
      </c>
      <c r="G121" s="636">
        <v>41000000</v>
      </c>
      <c r="H121" s="636">
        <v>41120000</v>
      </c>
      <c r="I121" s="636">
        <v>41121800</v>
      </c>
    </row>
    <row r="122" spans="1:9" x14ac:dyDescent="0.3">
      <c r="A122" s="673" t="e">
        <f>Necesidades!#REF!</f>
        <v>#REF!</v>
      </c>
      <c r="B122" s="673"/>
    </row>
    <row r="123" spans="1:9" x14ac:dyDescent="0.3">
      <c r="A123" s="1">
        <v>11161701</v>
      </c>
      <c r="B123" s="1" t="s">
        <v>1924</v>
      </c>
      <c r="E123" s="672" t="s">
        <v>2030</v>
      </c>
      <c r="F123" s="672"/>
      <c r="G123" s="672"/>
      <c r="H123" s="672"/>
      <c r="I123" s="672"/>
    </row>
    <row r="124" spans="1:9" x14ac:dyDescent="0.3">
      <c r="A124" s="1">
        <v>11161801</v>
      </c>
      <c r="B124" s="1" t="s">
        <v>1940</v>
      </c>
      <c r="E124" s="632" t="s">
        <v>6</v>
      </c>
      <c r="F124" s="632" t="s">
        <v>2031</v>
      </c>
      <c r="G124" s="632" t="s">
        <v>2032</v>
      </c>
      <c r="H124" s="632" t="s">
        <v>2033</v>
      </c>
      <c r="I124" s="632" t="s">
        <v>2034</v>
      </c>
    </row>
    <row r="125" spans="1:9" x14ac:dyDescent="0.3">
      <c r="A125" s="1">
        <v>12171500</v>
      </c>
      <c r="B125" s="1" t="s">
        <v>1941</v>
      </c>
      <c r="E125" s="633">
        <v>1</v>
      </c>
      <c r="F125" s="634" t="s">
        <v>2035</v>
      </c>
      <c r="G125" s="635">
        <v>11000000</v>
      </c>
      <c r="H125" s="635">
        <v>11160000</v>
      </c>
      <c r="I125" s="635">
        <v>11161700</v>
      </c>
    </row>
    <row r="126" spans="1:9" x14ac:dyDescent="0.3">
      <c r="A126" s="1">
        <v>44121618</v>
      </c>
      <c r="B126" s="1" t="s">
        <v>1942</v>
      </c>
      <c r="E126" s="633">
        <v>2</v>
      </c>
      <c r="F126" s="634" t="s">
        <v>2035</v>
      </c>
      <c r="G126" s="635">
        <v>12000000</v>
      </c>
      <c r="H126" s="635">
        <v>12170000</v>
      </c>
      <c r="I126" s="635">
        <v>12171500</v>
      </c>
    </row>
    <row r="127" spans="1:9" x14ac:dyDescent="0.3">
      <c r="A127" s="1">
        <v>12352204</v>
      </c>
      <c r="B127" s="1" t="s">
        <v>1943</v>
      </c>
      <c r="E127" s="633">
        <v>3</v>
      </c>
      <c r="F127" s="634" t="s">
        <v>2039</v>
      </c>
      <c r="G127" s="636">
        <v>44000000</v>
      </c>
      <c r="H127" s="636">
        <v>44120000</v>
      </c>
      <c r="I127" s="636">
        <v>44121600</v>
      </c>
    </row>
    <row r="128" spans="1:9" ht="27.6" x14ac:dyDescent="0.3">
      <c r="A128" s="1">
        <v>11111610</v>
      </c>
      <c r="B128" s="1" t="s">
        <v>1944</v>
      </c>
      <c r="E128" s="633">
        <v>4</v>
      </c>
      <c r="F128" s="634" t="s">
        <v>2040</v>
      </c>
      <c r="G128" s="636">
        <v>23000000</v>
      </c>
      <c r="H128" s="636">
        <v>23130000</v>
      </c>
      <c r="I128" s="636">
        <v>23131500</v>
      </c>
    </row>
    <row r="129" spans="1:9" x14ac:dyDescent="0.3">
      <c r="A129" s="1">
        <v>23131507</v>
      </c>
      <c r="B129" s="1" t="s">
        <v>1945</v>
      </c>
      <c r="E129" s="633">
        <v>5</v>
      </c>
      <c r="F129" s="634" t="s">
        <v>2035</v>
      </c>
      <c r="G129" s="636">
        <v>11000000</v>
      </c>
      <c r="H129" s="636">
        <v>11110000</v>
      </c>
      <c r="I129" s="636">
        <v>11111600</v>
      </c>
    </row>
    <row r="130" spans="1:9" x14ac:dyDescent="0.3">
      <c r="A130" s="1">
        <v>12352302</v>
      </c>
      <c r="B130" s="1" t="s">
        <v>1946</v>
      </c>
    </row>
    <row r="131" spans="1:9" x14ac:dyDescent="0.3">
      <c r="A131" s="1">
        <v>12352108</v>
      </c>
      <c r="B131" s="1" t="s">
        <v>1947</v>
      </c>
    </row>
    <row r="133" spans="1:9" x14ac:dyDescent="0.3">
      <c r="A133" s="675" t="e">
        <f>Necesidades!#REF!</f>
        <v>#REF!</v>
      </c>
      <c r="B133" s="675"/>
      <c r="E133" s="672" t="s">
        <v>2030</v>
      </c>
      <c r="F133" s="672"/>
      <c r="G133" s="672"/>
      <c r="H133" s="672"/>
      <c r="I133" s="672"/>
    </row>
    <row r="134" spans="1:9" x14ac:dyDescent="0.3">
      <c r="A134" s="1">
        <v>12352300</v>
      </c>
      <c r="B134" s="1" t="s">
        <v>1981</v>
      </c>
      <c r="E134" s="632" t="s">
        <v>6</v>
      </c>
      <c r="F134" s="632" t="s">
        <v>2031</v>
      </c>
      <c r="G134" s="632" t="s">
        <v>2032</v>
      </c>
      <c r="H134" s="632" t="s">
        <v>2033</v>
      </c>
      <c r="I134" s="632" t="s">
        <v>2034</v>
      </c>
    </row>
    <row r="135" spans="1:9" x14ac:dyDescent="0.3">
      <c r="A135" s="1">
        <v>41122605</v>
      </c>
      <c r="B135" s="1" t="s">
        <v>1914</v>
      </c>
      <c r="E135" s="633">
        <v>1</v>
      </c>
      <c r="F135" s="634" t="s">
        <v>2035</v>
      </c>
      <c r="G135" s="635">
        <v>12000000</v>
      </c>
      <c r="H135" s="635">
        <v>12350000</v>
      </c>
      <c r="I135" s="635">
        <v>12352300</v>
      </c>
    </row>
    <row r="136" spans="1:9" x14ac:dyDescent="0.3">
      <c r="A136" s="1">
        <v>41122400</v>
      </c>
      <c r="B136" s="1" t="s">
        <v>1982</v>
      </c>
      <c r="E136" s="633">
        <v>2</v>
      </c>
      <c r="F136" s="634" t="s">
        <v>2039</v>
      </c>
      <c r="G136" s="635">
        <v>41000000</v>
      </c>
      <c r="H136" s="635">
        <v>41120000</v>
      </c>
      <c r="I136" s="635">
        <v>41121600</v>
      </c>
    </row>
    <row r="137" spans="1:9" x14ac:dyDescent="0.3">
      <c r="A137" s="1">
        <v>41121500</v>
      </c>
      <c r="B137" s="1" t="s">
        <v>1983</v>
      </c>
      <c r="E137" s="633">
        <v>3</v>
      </c>
      <c r="F137" s="634" t="s">
        <v>2035</v>
      </c>
      <c r="G137" s="636">
        <v>12000000</v>
      </c>
      <c r="H137" s="636">
        <v>12160000</v>
      </c>
      <c r="I137" s="636">
        <v>12161700</v>
      </c>
    </row>
    <row r="138" spans="1:9" x14ac:dyDescent="0.3">
      <c r="A138" s="1">
        <v>41121510</v>
      </c>
      <c r="B138" s="1" t="s">
        <v>1984</v>
      </c>
      <c r="E138" s="633">
        <v>4</v>
      </c>
      <c r="F138" s="634" t="s">
        <v>2042</v>
      </c>
      <c r="G138" s="636">
        <v>51000000</v>
      </c>
      <c r="H138" s="636">
        <v>51190000</v>
      </c>
      <c r="I138" s="636">
        <v>51191600</v>
      </c>
    </row>
    <row r="139" spans="1:9" x14ac:dyDescent="0.3">
      <c r="A139" s="1">
        <v>41104213</v>
      </c>
      <c r="B139" s="1" t="s">
        <v>1985</v>
      </c>
      <c r="E139" s="633">
        <v>5</v>
      </c>
      <c r="F139" s="634" t="s">
        <v>2039</v>
      </c>
      <c r="G139" s="636">
        <v>41000000</v>
      </c>
      <c r="H139" s="636">
        <v>41120000</v>
      </c>
      <c r="I139" s="636">
        <v>41121500</v>
      </c>
    </row>
    <row r="140" spans="1:9" x14ac:dyDescent="0.3">
      <c r="A140" s="1">
        <v>12161703</v>
      </c>
      <c r="B140" s="1" t="s">
        <v>1986</v>
      </c>
    </row>
    <row r="141" spans="1:9" x14ac:dyDescent="0.3">
      <c r="A141" s="1">
        <v>51191602</v>
      </c>
      <c r="B141" s="1" t="s">
        <v>1987</v>
      </c>
    </row>
    <row r="142" spans="1:9" x14ac:dyDescent="0.3">
      <c r="A142" s="1">
        <v>12352501</v>
      </c>
      <c r="B142" s="1" t="s">
        <v>1988</v>
      </c>
    </row>
    <row r="144" spans="1:9" x14ac:dyDescent="0.3">
      <c r="A144" s="675" t="e">
        <f>Necesidades!#REF!</f>
        <v>#REF!</v>
      </c>
      <c r="B144" s="675"/>
      <c r="E144" s="672" t="s">
        <v>2030</v>
      </c>
      <c r="F144" s="672"/>
      <c r="G144" s="672"/>
      <c r="H144" s="672"/>
      <c r="I144" s="672"/>
    </row>
    <row r="145" spans="1:9" x14ac:dyDescent="0.3">
      <c r="A145" s="1">
        <v>12352106</v>
      </c>
      <c r="B145" s="1" t="s">
        <v>1948</v>
      </c>
      <c r="E145" s="632" t="s">
        <v>6</v>
      </c>
      <c r="F145" s="632" t="s">
        <v>2031</v>
      </c>
      <c r="G145" s="632" t="s">
        <v>2032</v>
      </c>
      <c r="H145" s="632" t="s">
        <v>2033</v>
      </c>
      <c r="I145" s="632" t="s">
        <v>2034</v>
      </c>
    </row>
    <row r="146" spans="1:9" x14ac:dyDescent="0.3">
      <c r="A146" s="1">
        <v>52152100</v>
      </c>
      <c r="B146" s="1" t="s">
        <v>1974</v>
      </c>
      <c r="E146" s="633">
        <v>1</v>
      </c>
      <c r="F146" s="634" t="s">
        <v>2042</v>
      </c>
      <c r="G146" s="635">
        <v>60000000</v>
      </c>
      <c r="H146" s="635">
        <v>60120000</v>
      </c>
      <c r="I146" s="635">
        <v>60121800</v>
      </c>
    </row>
    <row r="147" spans="1:9" x14ac:dyDescent="0.3">
      <c r="A147" s="1">
        <v>60121803</v>
      </c>
      <c r="B147" s="1" t="s">
        <v>1975</v>
      </c>
      <c r="E147" s="633">
        <v>2</v>
      </c>
      <c r="F147" s="634" t="s">
        <v>2042</v>
      </c>
      <c r="G147" s="635">
        <v>60000000</v>
      </c>
      <c r="H147" s="635">
        <v>60120000</v>
      </c>
      <c r="I147" s="635">
        <v>60121900</v>
      </c>
    </row>
    <row r="148" spans="1:9" x14ac:dyDescent="0.3">
      <c r="A148" s="1">
        <v>60121804</v>
      </c>
      <c r="B148" s="1" t="s">
        <v>1976</v>
      </c>
      <c r="E148" s="633">
        <v>3</v>
      </c>
      <c r="F148" s="634" t="s">
        <v>2035</v>
      </c>
      <c r="G148" s="636">
        <v>14000000</v>
      </c>
      <c r="H148" s="636">
        <v>14110000</v>
      </c>
      <c r="I148" s="636">
        <v>14111500</v>
      </c>
    </row>
    <row r="149" spans="1:9" x14ac:dyDescent="0.3">
      <c r="A149" s="1">
        <v>60121900</v>
      </c>
      <c r="B149" s="1" t="s">
        <v>1977</v>
      </c>
      <c r="E149" s="633">
        <v>4</v>
      </c>
      <c r="F149" s="634" t="s">
        <v>2035</v>
      </c>
      <c r="G149" s="636">
        <v>12000000</v>
      </c>
      <c r="H149" s="636">
        <v>12160000</v>
      </c>
      <c r="I149" s="636">
        <v>12161800</v>
      </c>
    </row>
    <row r="150" spans="1:9" x14ac:dyDescent="0.3">
      <c r="A150" s="1">
        <v>14111507</v>
      </c>
      <c r="B150" s="1" t="s">
        <v>1978</v>
      </c>
      <c r="E150" s="633">
        <v>5</v>
      </c>
      <c r="F150" s="634" t="s">
        <v>2035</v>
      </c>
      <c r="G150" s="636">
        <v>12000000</v>
      </c>
      <c r="H150" s="636">
        <v>12350000</v>
      </c>
      <c r="I150" s="636">
        <v>12352100</v>
      </c>
    </row>
    <row r="151" spans="1:9" x14ac:dyDescent="0.3">
      <c r="A151" s="1">
        <v>12161804</v>
      </c>
      <c r="B151" s="1" t="s">
        <v>1979</v>
      </c>
    </row>
    <row r="152" spans="1:9" x14ac:dyDescent="0.3">
      <c r="A152" s="1">
        <v>12171510</v>
      </c>
      <c r="B152" s="1" t="s">
        <v>1980</v>
      </c>
    </row>
    <row r="154" spans="1:9" x14ac:dyDescent="0.3">
      <c r="A154" s="675" t="e">
        <f>Necesidades!#REF!</f>
        <v>#REF!</v>
      </c>
      <c r="B154" s="675"/>
      <c r="E154" s="672" t="s">
        <v>2030</v>
      </c>
      <c r="F154" s="672"/>
      <c r="G154" s="672"/>
      <c r="H154" s="672"/>
      <c r="I154" s="672"/>
    </row>
    <row r="155" spans="1:9" x14ac:dyDescent="0.3">
      <c r="A155" s="1">
        <v>50201706</v>
      </c>
      <c r="B155" s="1" t="s">
        <v>1874</v>
      </c>
      <c r="E155" s="632" t="s">
        <v>6</v>
      </c>
      <c r="F155" s="632" t="s">
        <v>2031</v>
      </c>
      <c r="G155" s="632" t="s">
        <v>2032</v>
      </c>
      <c r="H155" s="632" t="s">
        <v>2033</v>
      </c>
      <c r="I155" s="632" t="s">
        <v>2034</v>
      </c>
    </row>
    <row r="156" spans="1:9" x14ac:dyDescent="0.3">
      <c r="A156" s="1">
        <v>31181701</v>
      </c>
      <c r="B156" s="1" t="s">
        <v>1989</v>
      </c>
      <c r="E156" s="633">
        <v>1</v>
      </c>
      <c r="F156" s="634" t="s">
        <v>2042</v>
      </c>
      <c r="G156" s="635">
        <v>50000000</v>
      </c>
      <c r="H156" s="635">
        <v>50200000</v>
      </c>
      <c r="I156" s="635">
        <v>50201700</v>
      </c>
    </row>
    <row r="157" spans="1:9" x14ac:dyDescent="0.3">
      <c r="A157" s="1">
        <v>50111514</v>
      </c>
      <c r="B157" s="1" t="s">
        <v>1872</v>
      </c>
      <c r="E157" s="633">
        <v>2</v>
      </c>
      <c r="F157" s="634" t="s">
        <v>2039</v>
      </c>
      <c r="G157" s="635">
        <v>31000000</v>
      </c>
      <c r="H157" s="635">
        <v>31180000</v>
      </c>
      <c r="I157" s="635">
        <v>31181700</v>
      </c>
    </row>
    <row r="158" spans="1:9" x14ac:dyDescent="0.3">
      <c r="A158" s="1">
        <v>50131600</v>
      </c>
      <c r="B158" s="1" t="s">
        <v>1917</v>
      </c>
      <c r="E158" s="633">
        <v>3</v>
      </c>
      <c r="F158" s="634" t="s">
        <v>2042</v>
      </c>
      <c r="G158" s="636">
        <v>50000000</v>
      </c>
      <c r="H158" s="636">
        <v>50110000</v>
      </c>
      <c r="I158" s="636">
        <v>50111500</v>
      </c>
    </row>
    <row r="159" spans="1:9" x14ac:dyDescent="0.3">
      <c r="A159" s="1">
        <v>50151500</v>
      </c>
      <c r="B159" s="1" t="s">
        <v>1990</v>
      </c>
      <c r="E159" s="633">
        <v>4</v>
      </c>
      <c r="F159" s="634" t="s">
        <v>2042</v>
      </c>
      <c r="G159" s="636">
        <v>50000000</v>
      </c>
      <c r="H159" s="636">
        <v>50160000</v>
      </c>
      <c r="I159" s="636">
        <v>50161800</v>
      </c>
    </row>
    <row r="160" spans="1:9" x14ac:dyDescent="0.3">
      <c r="A160" s="1">
        <v>50161800</v>
      </c>
      <c r="B160" s="1" t="s">
        <v>1991</v>
      </c>
      <c r="E160" s="633">
        <v>5</v>
      </c>
      <c r="F160" s="634" t="s">
        <v>2035</v>
      </c>
      <c r="G160" s="636">
        <v>12000000</v>
      </c>
      <c r="H160" s="636">
        <v>12160000</v>
      </c>
      <c r="I160" s="636">
        <v>12164500</v>
      </c>
    </row>
    <row r="161" spans="1:9" x14ac:dyDescent="0.3">
      <c r="A161" s="1">
        <v>50400000</v>
      </c>
      <c r="B161" s="1" t="s">
        <v>1992</v>
      </c>
    </row>
    <row r="162" spans="1:9" x14ac:dyDescent="0.3">
      <c r="A162" s="1">
        <v>12164501</v>
      </c>
      <c r="B162" s="1" t="s">
        <v>1993</v>
      </c>
    </row>
    <row r="164" spans="1:9" x14ac:dyDescent="0.3">
      <c r="A164" s="675" t="e">
        <f>Necesidades!#REF!</f>
        <v>#REF!</v>
      </c>
      <c r="B164" s="675"/>
      <c r="E164" s="672" t="s">
        <v>2030</v>
      </c>
      <c r="F164" s="672"/>
      <c r="G164" s="672"/>
      <c r="H164" s="672"/>
      <c r="I164" s="672"/>
    </row>
    <row r="165" spans="1:9" x14ac:dyDescent="0.3">
      <c r="A165" s="1">
        <v>52141703</v>
      </c>
      <c r="B165" s="1" t="s">
        <v>1994</v>
      </c>
      <c r="E165" s="632" t="s">
        <v>6</v>
      </c>
      <c r="F165" s="632" t="s">
        <v>2031</v>
      </c>
      <c r="G165" s="632" t="s">
        <v>2032</v>
      </c>
      <c r="H165" s="632" t="s">
        <v>2033</v>
      </c>
      <c r="I165" s="632" t="s">
        <v>2034</v>
      </c>
    </row>
    <row r="166" spans="1:9" x14ac:dyDescent="0.3">
      <c r="A166" s="1">
        <v>53131628</v>
      </c>
      <c r="B166" s="1" t="s">
        <v>1930</v>
      </c>
      <c r="E166" s="633">
        <v>1</v>
      </c>
      <c r="F166" s="634" t="s">
        <v>2042</v>
      </c>
      <c r="G166" s="635">
        <v>52000000</v>
      </c>
      <c r="H166" s="635">
        <v>52140000</v>
      </c>
      <c r="I166" s="635">
        <v>52141700</v>
      </c>
    </row>
    <row r="167" spans="1:9" x14ac:dyDescent="0.3">
      <c r="A167" s="1">
        <v>53131619</v>
      </c>
      <c r="B167" s="1" t="s">
        <v>1995</v>
      </c>
      <c r="E167" s="633">
        <v>2</v>
      </c>
      <c r="F167" s="634" t="s">
        <v>2042</v>
      </c>
      <c r="G167" s="635">
        <v>53000000</v>
      </c>
      <c r="H167" s="635">
        <v>53130000</v>
      </c>
      <c r="I167" s="635">
        <v>53131600</v>
      </c>
    </row>
    <row r="168" spans="1:9" x14ac:dyDescent="0.3">
      <c r="A168" s="1">
        <v>47131502</v>
      </c>
      <c r="B168" s="1" t="s">
        <v>1933</v>
      </c>
      <c r="E168" s="633">
        <v>3</v>
      </c>
      <c r="F168" s="634" t="s">
        <v>2042</v>
      </c>
      <c r="G168" s="636">
        <v>47000000</v>
      </c>
      <c r="H168" s="636">
        <v>47130000</v>
      </c>
      <c r="I168" s="636">
        <v>47131500</v>
      </c>
    </row>
    <row r="169" spans="1:9" x14ac:dyDescent="0.3">
      <c r="A169" s="1">
        <v>53130000</v>
      </c>
      <c r="B169" s="1" t="s">
        <v>1996</v>
      </c>
      <c r="E169" s="633">
        <v>4</v>
      </c>
      <c r="F169" s="634" t="s">
        <v>2042</v>
      </c>
      <c r="G169" s="636">
        <v>42000000</v>
      </c>
      <c r="H169" s="636">
        <v>42130000</v>
      </c>
      <c r="I169" s="636">
        <v>42132200</v>
      </c>
    </row>
    <row r="170" spans="1:9" x14ac:dyDescent="0.3">
      <c r="E170" s="633">
        <v>5</v>
      </c>
      <c r="F170" s="634"/>
      <c r="G170" s="636"/>
      <c r="H170" s="636"/>
      <c r="I170" s="636"/>
    </row>
    <row r="171" spans="1:9" x14ac:dyDescent="0.3">
      <c r="A171" s="673" t="e">
        <f>Necesidades!#REF!</f>
        <v>#REF!</v>
      </c>
      <c r="B171" s="673"/>
    </row>
    <row r="172" spans="1:9" x14ac:dyDescent="0.3">
      <c r="A172" s="1">
        <v>53141600</v>
      </c>
      <c r="B172" s="1" t="s">
        <v>1997</v>
      </c>
      <c r="E172" s="672" t="s">
        <v>2030</v>
      </c>
      <c r="F172" s="672"/>
      <c r="G172" s="672"/>
      <c r="H172" s="672"/>
      <c r="I172" s="672"/>
    </row>
    <row r="173" spans="1:9" x14ac:dyDescent="0.3">
      <c r="A173" s="1">
        <v>60122003</v>
      </c>
      <c r="B173" s="1" t="s">
        <v>1998</v>
      </c>
      <c r="E173" s="632" t="s">
        <v>6</v>
      </c>
      <c r="F173" s="632" t="s">
        <v>2031</v>
      </c>
      <c r="G173" s="632" t="s">
        <v>2032</v>
      </c>
      <c r="H173" s="632" t="s">
        <v>2033</v>
      </c>
      <c r="I173" s="632" t="s">
        <v>2034</v>
      </c>
    </row>
    <row r="174" spans="1:9" x14ac:dyDescent="0.3">
      <c r="A174" s="1">
        <v>11131500</v>
      </c>
      <c r="B174" s="1" t="s">
        <v>1999</v>
      </c>
      <c r="E174" s="633">
        <v>1</v>
      </c>
      <c r="F174" s="634" t="s">
        <v>2042</v>
      </c>
      <c r="G174" s="635">
        <v>53000000</v>
      </c>
      <c r="H174" s="635">
        <v>53140000</v>
      </c>
      <c r="I174" s="635">
        <v>53141600</v>
      </c>
    </row>
    <row r="175" spans="1:9" x14ac:dyDescent="0.3">
      <c r="A175" s="1">
        <v>53121601</v>
      </c>
      <c r="B175" s="1" t="s">
        <v>2000</v>
      </c>
      <c r="E175" s="633">
        <v>2</v>
      </c>
      <c r="F175" s="634" t="s">
        <v>2042</v>
      </c>
      <c r="G175" s="635">
        <v>60000000</v>
      </c>
      <c r="H175" s="635">
        <v>60120000</v>
      </c>
      <c r="I175" s="635">
        <v>60122000</v>
      </c>
    </row>
    <row r="176" spans="1:9" x14ac:dyDescent="0.3">
      <c r="A176" s="1">
        <v>11150000</v>
      </c>
      <c r="B176" s="1" t="s">
        <v>2001</v>
      </c>
      <c r="E176" s="633">
        <v>3</v>
      </c>
      <c r="F176" s="634" t="s">
        <v>2035</v>
      </c>
      <c r="G176" s="636">
        <v>11000000</v>
      </c>
      <c r="H176" s="636">
        <v>11130000</v>
      </c>
      <c r="I176" s="636">
        <v>11131500</v>
      </c>
    </row>
    <row r="177" spans="1:9" x14ac:dyDescent="0.3">
      <c r="E177" s="633">
        <v>4</v>
      </c>
      <c r="F177" s="634" t="s">
        <v>2042</v>
      </c>
      <c r="G177" s="636">
        <v>53000000</v>
      </c>
      <c r="H177" s="636">
        <v>53120000</v>
      </c>
      <c r="I177" s="636">
        <v>53121600</v>
      </c>
    </row>
    <row r="178" spans="1:9" x14ac:dyDescent="0.3">
      <c r="A178" s="675" t="e">
        <f>Necesidades!#REF!</f>
        <v>#REF!</v>
      </c>
      <c r="B178" s="675"/>
      <c r="E178" s="633">
        <v>5</v>
      </c>
      <c r="F178" s="634" t="s">
        <v>2035</v>
      </c>
      <c r="G178" s="636">
        <v>11000000</v>
      </c>
      <c r="H178" s="636">
        <v>11150000</v>
      </c>
      <c r="I178" s="636">
        <v>11150000</v>
      </c>
    </row>
    <row r="179" spans="1:9" x14ac:dyDescent="0.3">
      <c r="A179" s="1">
        <v>10151500</v>
      </c>
      <c r="B179" s="1" t="s">
        <v>2002</v>
      </c>
    </row>
    <row r="180" spans="1:9" x14ac:dyDescent="0.3">
      <c r="A180" s="1">
        <v>10171505</v>
      </c>
      <c r="B180" s="1" t="s">
        <v>2003</v>
      </c>
      <c r="E180" s="672" t="s">
        <v>2030</v>
      </c>
      <c r="F180" s="672"/>
      <c r="G180" s="672"/>
      <c r="H180" s="672"/>
      <c r="I180" s="672"/>
    </row>
    <row r="181" spans="1:9" x14ac:dyDescent="0.3">
      <c r="A181" s="1">
        <v>50192403</v>
      </c>
      <c r="B181" s="1" t="s">
        <v>2004</v>
      </c>
      <c r="E181" s="632" t="s">
        <v>6</v>
      </c>
      <c r="F181" s="632" t="s">
        <v>2031</v>
      </c>
      <c r="G181" s="632" t="s">
        <v>2032</v>
      </c>
      <c r="H181" s="632" t="s">
        <v>2033</v>
      </c>
      <c r="I181" s="632" t="s">
        <v>2034</v>
      </c>
    </row>
    <row r="182" spans="1:9" x14ac:dyDescent="0.3">
      <c r="A182" s="1">
        <v>10191509</v>
      </c>
      <c r="B182" s="1" t="s">
        <v>1864</v>
      </c>
      <c r="E182" s="633">
        <v>1</v>
      </c>
      <c r="F182" s="634" t="s">
        <v>2041</v>
      </c>
      <c r="G182" s="635">
        <v>10000000</v>
      </c>
      <c r="H182" s="635">
        <v>10150000</v>
      </c>
      <c r="I182" s="635">
        <v>10151500</v>
      </c>
    </row>
    <row r="183" spans="1:9" x14ac:dyDescent="0.3">
      <c r="A183" s="1">
        <v>11111500</v>
      </c>
      <c r="B183" s="1" t="s">
        <v>2005</v>
      </c>
      <c r="E183" s="633">
        <v>2</v>
      </c>
      <c r="F183" s="634" t="s">
        <v>2041</v>
      </c>
      <c r="G183" s="635">
        <v>10000000</v>
      </c>
      <c r="H183" s="635">
        <v>10170000</v>
      </c>
      <c r="I183" s="635">
        <v>10171500</v>
      </c>
    </row>
    <row r="184" spans="1:9" x14ac:dyDescent="0.3">
      <c r="A184" s="1">
        <v>27112000</v>
      </c>
      <c r="B184" s="1" t="s">
        <v>2006</v>
      </c>
      <c r="E184" s="633">
        <v>3</v>
      </c>
      <c r="F184" s="634" t="s">
        <v>2042</v>
      </c>
      <c r="G184" s="636">
        <v>50000000</v>
      </c>
      <c r="H184" s="636">
        <v>50190000</v>
      </c>
      <c r="I184" s="636">
        <v>50191500</v>
      </c>
    </row>
    <row r="185" spans="1:9" x14ac:dyDescent="0.3">
      <c r="A185" s="1">
        <v>10171504</v>
      </c>
      <c r="B185" s="1" t="s">
        <v>1896</v>
      </c>
      <c r="E185" s="633">
        <v>4</v>
      </c>
      <c r="F185" s="634" t="s">
        <v>2035</v>
      </c>
      <c r="G185" s="636">
        <v>11000000</v>
      </c>
      <c r="H185" s="636">
        <v>11110000</v>
      </c>
      <c r="I185" s="636">
        <v>11111500</v>
      </c>
    </row>
    <row r="186" spans="1:9" ht="27.6" x14ac:dyDescent="0.3">
      <c r="E186" s="633">
        <v>5</v>
      </c>
      <c r="F186" s="634" t="s">
        <v>2040</v>
      </c>
      <c r="G186" s="636">
        <v>27000000</v>
      </c>
      <c r="H186" s="636">
        <v>27110000</v>
      </c>
      <c r="I186" s="636">
        <v>27111200</v>
      </c>
    </row>
    <row r="187" spans="1:9" x14ac:dyDescent="0.3">
      <c r="A187" s="675" t="e">
        <f>Necesidades!#REF!</f>
        <v>#REF!</v>
      </c>
      <c r="B187" s="675"/>
    </row>
    <row r="188" spans="1:9" x14ac:dyDescent="0.3">
      <c r="A188" s="1">
        <v>41104017</v>
      </c>
      <c r="B188" s="1" t="s">
        <v>2007</v>
      </c>
    </row>
    <row r="189" spans="1:9" x14ac:dyDescent="0.3">
      <c r="A189" s="1">
        <v>11161500</v>
      </c>
      <c r="B189" s="1" t="s">
        <v>2008</v>
      </c>
      <c r="E189" s="672" t="s">
        <v>2030</v>
      </c>
      <c r="F189" s="672"/>
      <c r="G189" s="672"/>
      <c r="H189" s="672"/>
      <c r="I189" s="672"/>
    </row>
    <row r="190" spans="1:9" x14ac:dyDescent="0.3">
      <c r="A190" s="1">
        <v>41110000</v>
      </c>
      <c r="B190" s="1" t="s">
        <v>2009</v>
      </c>
      <c r="E190" s="632" t="s">
        <v>6</v>
      </c>
      <c r="F190" s="632" t="s">
        <v>2031</v>
      </c>
      <c r="G190" s="632" t="s">
        <v>2032</v>
      </c>
      <c r="H190" s="632" t="s">
        <v>2033</v>
      </c>
      <c r="I190" s="632" t="s">
        <v>2034</v>
      </c>
    </row>
    <row r="191" spans="1:9" x14ac:dyDescent="0.3">
      <c r="A191" s="1">
        <v>41122408</v>
      </c>
      <c r="B191" s="1" t="s">
        <v>2010</v>
      </c>
      <c r="E191" s="633">
        <v>1</v>
      </c>
      <c r="F191" s="634" t="s">
        <v>2039</v>
      </c>
      <c r="G191" s="635">
        <v>41000000</v>
      </c>
      <c r="H191" s="635">
        <v>41100000</v>
      </c>
      <c r="I191" s="635">
        <v>41104000</v>
      </c>
    </row>
    <row r="192" spans="1:9" x14ac:dyDescent="0.3">
      <c r="E192" s="633">
        <v>2</v>
      </c>
      <c r="F192" s="634" t="s">
        <v>2035</v>
      </c>
      <c r="G192" s="635">
        <v>11000000</v>
      </c>
      <c r="H192" s="635">
        <v>11160000</v>
      </c>
      <c r="I192" s="635">
        <v>11161500</v>
      </c>
    </row>
    <row r="193" spans="1:9" x14ac:dyDescent="0.3">
      <c r="A193" s="677" t="e">
        <f>Necesidades!#REF!</f>
        <v>#REF!</v>
      </c>
      <c r="B193" s="677"/>
      <c r="E193" s="633">
        <v>3</v>
      </c>
      <c r="F193" s="634" t="s">
        <v>2039</v>
      </c>
      <c r="G193" s="636">
        <v>41000000</v>
      </c>
      <c r="H193" s="636">
        <v>41120000</v>
      </c>
      <c r="I193" s="636">
        <v>41122400</v>
      </c>
    </row>
    <row r="194" spans="1:9" x14ac:dyDescent="0.3">
      <c r="A194">
        <v>26121501</v>
      </c>
      <c r="B194" t="s">
        <v>2011</v>
      </c>
      <c r="E194" s="633">
        <v>4</v>
      </c>
      <c r="F194" s="634" t="s">
        <v>2039</v>
      </c>
      <c r="G194" s="636">
        <v>41000000</v>
      </c>
      <c r="H194" s="636">
        <v>41120000</v>
      </c>
      <c r="I194" s="636">
        <v>41121800</v>
      </c>
    </row>
    <row r="195" spans="1:9" x14ac:dyDescent="0.3">
      <c r="A195">
        <v>31163101</v>
      </c>
      <c r="B195" t="s">
        <v>2012</v>
      </c>
      <c r="E195" s="633">
        <v>5</v>
      </c>
      <c r="F195" s="634" t="s">
        <v>2039</v>
      </c>
      <c r="G195" s="636">
        <v>41000000</v>
      </c>
      <c r="H195" s="636">
        <v>41100000</v>
      </c>
      <c r="I195" s="636">
        <v>41103700</v>
      </c>
    </row>
    <row r="196" spans="1:9" x14ac:dyDescent="0.3">
      <c r="A196">
        <v>39121111</v>
      </c>
      <c r="B196" t="s">
        <v>2013</v>
      </c>
    </row>
    <row r="197" spans="1:9" x14ac:dyDescent="0.3">
      <c r="A197">
        <v>31201502</v>
      </c>
      <c r="B197" t="s">
        <v>2014</v>
      </c>
    </row>
    <row r="198" spans="1:9" x14ac:dyDescent="0.3">
      <c r="A198">
        <v>39111810</v>
      </c>
      <c r="B198" t="s">
        <v>2015</v>
      </c>
      <c r="E198" s="672" t="s">
        <v>2030</v>
      </c>
      <c r="F198" s="672"/>
      <c r="G198" s="672"/>
      <c r="H198" s="672"/>
      <c r="I198" s="672"/>
    </row>
    <row r="199" spans="1:9" x14ac:dyDescent="0.3">
      <c r="A199">
        <v>30262401</v>
      </c>
      <c r="B199" t="s">
        <v>2016</v>
      </c>
      <c r="E199" s="632" t="s">
        <v>6</v>
      </c>
      <c r="F199" s="632" t="s">
        <v>2031</v>
      </c>
      <c r="G199" s="632" t="s">
        <v>2032</v>
      </c>
      <c r="H199" s="632" t="s">
        <v>2033</v>
      </c>
      <c r="I199" s="632" t="s">
        <v>2034</v>
      </c>
    </row>
    <row r="200" spans="1:9" x14ac:dyDescent="0.3">
      <c r="A200">
        <v>39121311</v>
      </c>
      <c r="B200" t="s">
        <v>2017</v>
      </c>
      <c r="E200" s="633">
        <v>1</v>
      </c>
      <c r="F200" s="634" t="s">
        <v>2039</v>
      </c>
      <c r="G200" s="635">
        <v>39000000</v>
      </c>
      <c r="H200" s="635">
        <v>39120000</v>
      </c>
      <c r="I200" s="635">
        <v>39121100</v>
      </c>
    </row>
    <row r="201" spans="1:9" x14ac:dyDescent="0.3">
      <c r="E201" s="633">
        <v>2</v>
      </c>
      <c r="F201" s="634" t="s">
        <v>2039</v>
      </c>
      <c r="G201" s="635">
        <v>30000000</v>
      </c>
      <c r="H201" s="635">
        <v>30260000</v>
      </c>
      <c r="I201" s="635">
        <v>30262400</v>
      </c>
    </row>
    <row r="202" spans="1:9" ht="27.6" x14ac:dyDescent="0.3">
      <c r="E202" s="633">
        <v>3</v>
      </c>
      <c r="F202" s="634" t="s">
        <v>2040</v>
      </c>
      <c r="G202" s="636">
        <v>26000000</v>
      </c>
      <c r="H202" s="636">
        <v>26120000</v>
      </c>
      <c r="I202" s="636">
        <v>26121500</v>
      </c>
    </row>
    <row r="203" spans="1:9" x14ac:dyDescent="0.3">
      <c r="E203" s="633">
        <v>4</v>
      </c>
      <c r="F203" s="634" t="s">
        <v>2039</v>
      </c>
      <c r="G203" s="636">
        <v>30000000</v>
      </c>
      <c r="H203" s="636">
        <v>30110000</v>
      </c>
      <c r="I203" s="636">
        <v>30111600</v>
      </c>
    </row>
    <row r="204" spans="1:9" x14ac:dyDescent="0.3">
      <c r="E204" s="633">
        <v>5</v>
      </c>
      <c r="F204" s="634" t="s">
        <v>2039</v>
      </c>
      <c r="G204" s="636">
        <v>40000000</v>
      </c>
      <c r="H204" s="636">
        <v>40170000</v>
      </c>
      <c r="I204" s="636">
        <v>40171500</v>
      </c>
    </row>
  </sheetData>
  <mergeCells count="46">
    <mergeCell ref="E198:I198"/>
    <mergeCell ref="E154:I154"/>
    <mergeCell ref="E164:I164"/>
    <mergeCell ref="E172:I172"/>
    <mergeCell ref="E180:I180"/>
    <mergeCell ref="E189:I189"/>
    <mergeCell ref="E105:I105"/>
    <mergeCell ref="E115:I115"/>
    <mergeCell ref="E123:I123"/>
    <mergeCell ref="E133:I133"/>
    <mergeCell ref="E144:I144"/>
    <mergeCell ref="E65:I65"/>
    <mergeCell ref="E74:I74"/>
    <mergeCell ref="E80:I80"/>
    <mergeCell ref="E88:I88"/>
    <mergeCell ref="E97:I97"/>
    <mergeCell ref="A187:B187"/>
    <mergeCell ref="A193:B193"/>
    <mergeCell ref="A171:B171"/>
    <mergeCell ref="A178:B178"/>
    <mergeCell ref="A54:B54"/>
    <mergeCell ref="A65:B65"/>
    <mergeCell ref="A72:B72"/>
    <mergeCell ref="A78:B78"/>
    <mergeCell ref="A85:B85"/>
    <mergeCell ref="A154:B154"/>
    <mergeCell ref="A164:B164"/>
    <mergeCell ref="A133:B133"/>
    <mergeCell ref="A144:B144"/>
    <mergeCell ref="A97:B97"/>
    <mergeCell ref="A105:B105"/>
    <mergeCell ref="A115:B115"/>
    <mergeCell ref="A122:B122"/>
    <mergeCell ref="A41:B41"/>
    <mergeCell ref="A1:B1"/>
    <mergeCell ref="A10:B10"/>
    <mergeCell ref="A19:B19"/>
    <mergeCell ref="A28:B28"/>
    <mergeCell ref="A32:B32"/>
    <mergeCell ref="E41:I41"/>
    <mergeCell ref="E54:I54"/>
    <mergeCell ref="E2:I2"/>
    <mergeCell ref="E10:I10"/>
    <mergeCell ref="E19:I19"/>
    <mergeCell ref="E28:I28"/>
    <mergeCell ref="E33:I3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EE96F-0CFF-466F-B730-DFF61A7A7DEB}">
  <dimension ref="A1:K33"/>
  <sheetViews>
    <sheetView workbookViewId="0">
      <selection activeCell="H32" sqref="H32:H33"/>
    </sheetView>
  </sheetViews>
  <sheetFormatPr baseColWidth="10" defaultColWidth="11.44140625" defaultRowHeight="14.4" x14ac:dyDescent="0.3"/>
  <cols>
    <col min="1" max="1" width="31.44140625" customWidth="1"/>
    <col min="2" max="2" width="26.6640625" customWidth="1"/>
    <col min="3" max="3" width="13" bestFit="1" customWidth="1"/>
    <col min="7" max="7" width="43.33203125" customWidth="1"/>
    <col min="8" max="8" width="20.77734375" customWidth="1"/>
    <col min="10" max="10" width="12.33203125" bestFit="1" customWidth="1"/>
  </cols>
  <sheetData>
    <row r="1" spans="1:11" x14ac:dyDescent="0.3">
      <c r="A1" s="676" t="s">
        <v>1955</v>
      </c>
      <c r="B1" s="676"/>
      <c r="C1" s="676"/>
      <c r="G1" s="676" t="s">
        <v>1956</v>
      </c>
      <c r="H1" s="676"/>
      <c r="I1" s="676"/>
    </row>
    <row r="2" spans="1:11" x14ac:dyDescent="0.3">
      <c r="A2" s="8">
        <v>920610</v>
      </c>
      <c r="B2" s="8" t="s">
        <v>1957</v>
      </c>
      <c r="C2" s="8" t="s">
        <v>1958</v>
      </c>
      <c r="G2" s="8">
        <v>920634</v>
      </c>
      <c r="H2" s="8" t="s">
        <v>1959</v>
      </c>
      <c r="I2" s="8" t="s">
        <v>1960</v>
      </c>
    </row>
    <row r="3" spans="1:11" x14ac:dyDescent="0.3">
      <c r="A3" s="679">
        <v>47014153</v>
      </c>
      <c r="B3" s="679"/>
      <c r="C3" s="680"/>
      <c r="G3" s="679">
        <v>157000000</v>
      </c>
      <c r="H3" s="679"/>
      <c r="I3" s="679"/>
    </row>
    <row r="4" spans="1:11" x14ac:dyDescent="0.3">
      <c r="A4" s="7" t="e" cm="1">
        <f t="array" ref="A4:A6">POD!A13:A15</f>
        <v>#REF!</v>
      </c>
      <c r="B4" s="335" t="e" cm="1">
        <f t="array" ref="B4:B6">POD!B13:B15</f>
        <v>#REF!</v>
      </c>
      <c r="C4" s="693" t="e">
        <f>SUM(_xlfn.ANCHORARRAY(B4))</f>
        <v>#REF!</v>
      </c>
      <c r="D4" s="668" t="s">
        <v>1961</v>
      </c>
      <c r="G4" s="7" t="e" cm="1">
        <f t="array" ref="G4:G10">POD!A18:A24</f>
        <v>#REF!</v>
      </c>
      <c r="H4" s="175" t="e" cm="1">
        <f t="array" ref="H4:H10">POD!B18:B24</f>
        <v>#REF!</v>
      </c>
      <c r="I4" s="175" t="s">
        <v>1962</v>
      </c>
      <c r="J4" s="4"/>
    </row>
    <row r="5" spans="1:11" x14ac:dyDescent="0.3">
      <c r="A5" s="1" t="e">
        <v>#REF!</v>
      </c>
      <c r="B5" s="335" t="e">
        <v>#REF!</v>
      </c>
      <c r="C5" s="694"/>
      <c r="D5" s="668"/>
      <c r="G5" s="1" t="e">
        <v>#REF!</v>
      </c>
      <c r="H5" s="175" t="e">
        <v>#REF!</v>
      </c>
      <c r="I5" s="591" t="s">
        <v>1963</v>
      </c>
      <c r="J5" s="587"/>
      <c r="K5" s="692"/>
    </row>
    <row r="6" spans="1:11" x14ac:dyDescent="0.3">
      <c r="A6" s="1" t="e">
        <v>#REF!</v>
      </c>
      <c r="B6" s="335" t="e">
        <v>#REF!</v>
      </c>
      <c r="C6" s="694"/>
      <c r="D6" s="668"/>
      <c r="G6" s="1" t="e">
        <v>#REF!</v>
      </c>
      <c r="H6" s="175" t="e">
        <v>#REF!</v>
      </c>
      <c r="I6" s="698" t="s">
        <v>1961</v>
      </c>
      <c r="J6" s="588"/>
      <c r="K6" s="692"/>
    </row>
    <row r="7" spans="1:11" x14ac:dyDescent="0.3">
      <c r="A7" s="7" t="e" cm="1">
        <f t="array" ref="A7:A8">POD!A16:A17</f>
        <v>#REF!</v>
      </c>
      <c r="B7" s="585" t="e" cm="1">
        <f t="array" ref="B7:B8">POD!B16:B17</f>
        <v>#REF!</v>
      </c>
      <c r="C7" s="695" t="e">
        <f>SUM(_xlfn.ANCHORARRAY(B7))</f>
        <v>#REF!</v>
      </c>
      <c r="D7" s="697" t="s">
        <v>1964</v>
      </c>
      <c r="G7" s="1" t="e">
        <v>#REF!</v>
      </c>
      <c r="H7" s="175" t="e">
        <v>#REF!</v>
      </c>
      <c r="I7" s="698"/>
      <c r="J7" s="588"/>
      <c r="K7" s="692"/>
    </row>
    <row r="8" spans="1:11" x14ac:dyDescent="0.3">
      <c r="A8" s="1" t="e">
        <v>#REF!</v>
      </c>
      <c r="B8" s="315" t="e">
        <v>#REF!</v>
      </c>
      <c r="C8" s="696"/>
      <c r="D8" s="692"/>
      <c r="G8" s="1" t="e">
        <v>#REF!</v>
      </c>
      <c r="H8" s="175" t="e">
        <v>#REF!</v>
      </c>
      <c r="I8" s="698"/>
      <c r="J8" s="588"/>
      <c r="K8" s="692"/>
    </row>
    <row r="9" spans="1:11" x14ac:dyDescent="0.3">
      <c r="A9" s="1"/>
      <c r="B9" s="315" t="e">
        <f>A3-B4-B5-B6-B7-B8</f>
        <v>#REF!</v>
      </c>
      <c r="C9" s="1"/>
      <c r="G9" s="1" t="e">
        <v>#REF!</v>
      </c>
      <c r="H9" s="175" t="e">
        <v>#REF!</v>
      </c>
      <c r="I9" s="591" t="s">
        <v>1965</v>
      </c>
      <c r="J9" s="588"/>
      <c r="K9" s="692"/>
    </row>
    <row r="10" spans="1:11" x14ac:dyDescent="0.3">
      <c r="A10" s="1"/>
      <c r="B10" s="1"/>
      <c r="C10" s="1"/>
      <c r="G10" s="1" t="e">
        <v>#REF!</v>
      </c>
      <c r="H10" s="175" t="e">
        <v>#REF!</v>
      </c>
      <c r="I10" s="591" t="s">
        <v>1966</v>
      </c>
      <c r="J10" s="588"/>
      <c r="K10" s="692"/>
    </row>
    <row r="11" spans="1:11" ht="15" thickBot="1" x14ac:dyDescent="0.35">
      <c r="G11" s="1"/>
      <c r="H11" s="175" t="e">
        <f>G3-H4-H5-H6-H7-H8-H9-H10</f>
        <v>#REF!</v>
      </c>
      <c r="I11" s="589"/>
      <c r="J11" s="588"/>
    </row>
    <row r="12" spans="1:11" x14ac:dyDescent="0.3">
      <c r="A12" s="681" t="s">
        <v>1967</v>
      </c>
      <c r="B12" s="682"/>
      <c r="C12" s="683"/>
      <c r="G12" s="1"/>
      <c r="H12" s="175"/>
      <c r="I12" s="590"/>
      <c r="J12" s="588"/>
    </row>
    <row r="13" spans="1:11" x14ac:dyDescent="0.3">
      <c r="A13" s="328">
        <v>920618</v>
      </c>
      <c r="B13" s="8" t="s">
        <v>1959</v>
      </c>
      <c r="C13" s="329" t="s">
        <v>1960</v>
      </c>
      <c r="G13" s="1"/>
      <c r="H13" s="175"/>
      <c r="I13" s="175"/>
    </row>
    <row r="14" spans="1:11" x14ac:dyDescent="0.3">
      <c r="A14" s="684">
        <v>40000000</v>
      </c>
      <c r="B14" s="679"/>
      <c r="C14" s="685"/>
      <c r="G14" s="1"/>
      <c r="H14" s="175"/>
      <c r="I14" s="175"/>
    </row>
    <row r="15" spans="1:11" x14ac:dyDescent="0.3">
      <c r="A15" s="330" t="e">
        <f>POD!A25</f>
        <v>#REF!</v>
      </c>
      <c r="B15" s="336" t="e">
        <f>POD!B25</f>
        <v>#REF!</v>
      </c>
      <c r="C15" s="331"/>
      <c r="G15" s="1"/>
      <c r="H15" s="175"/>
      <c r="I15" s="175"/>
    </row>
    <row r="16" spans="1:11" x14ac:dyDescent="0.3">
      <c r="A16" s="330"/>
      <c r="B16" s="336"/>
      <c r="C16" s="331"/>
    </row>
    <row r="17" spans="1:9" x14ac:dyDescent="0.3">
      <c r="A17" s="332" t="s">
        <v>81</v>
      </c>
      <c r="B17" s="336" t="e">
        <f>SUM(B15:B16)</f>
        <v>#REF!</v>
      </c>
      <c r="C17" s="331"/>
      <c r="G17" s="8">
        <v>920638</v>
      </c>
      <c r="H17" s="8" t="s">
        <v>1968</v>
      </c>
      <c r="I17" s="8" t="s">
        <v>1958</v>
      </c>
    </row>
    <row r="18" spans="1:9" ht="15" thickBot="1" x14ac:dyDescent="0.35">
      <c r="A18" s="333" t="s">
        <v>1969</v>
      </c>
      <c r="B18" s="337" t="e">
        <f>A14-B17</f>
        <v>#REF!</v>
      </c>
      <c r="C18" s="334"/>
      <c r="G18" s="679">
        <v>246300000</v>
      </c>
      <c r="H18" s="679"/>
      <c r="I18" s="679"/>
    </row>
    <row r="19" spans="1:9" x14ac:dyDescent="0.3">
      <c r="G19" s="1" t="e">
        <f>POD!A3</f>
        <v>#REF!</v>
      </c>
      <c r="H19" s="175">
        <f>POD!B3</f>
        <v>54281811</v>
      </c>
      <c r="I19" s="1"/>
    </row>
    <row r="20" spans="1:9" x14ac:dyDescent="0.3">
      <c r="G20" s="7" t="e">
        <f>POD!A4</f>
        <v>#REF!</v>
      </c>
      <c r="H20" s="175" t="e">
        <f>POD!B4</f>
        <v>#REF!</v>
      </c>
      <c r="I20" s="1"/>
    </row>
    <row r="21" spans="1:9" x14ac:dyDescent="0.3">
      <c r="A21" s="676" t="s">
        <v>1970</v>
      </c>
      <c r="B21" s="676"/>
      <c r="C21" s="676"/>
      <c r="G21" s="7" t="e">
        <f>POD!A5</f>
        <v>#REF!</v>
      </c>
      <c r="H21" s="175">
        <f>POD!B5</f>
        <v>47999717</v>
      </c>
      <c r="I21" s="1"/>
    </row>
    <row r="22" spans="1:9" x14ac:dyDescent="0.3">
      <c r="A22" s="8">
        <v>920645</v>
      </c>
      <c r="B22" s="8" t="s">
        <v>1959</v>
      </c>
      <c r="C22" s="8" t="s">
        <v>1958</v>
      </c>
      <c r="G22" s="7"/>
      <c r="H22" s="175"/>
      <c r="I22" s="1"/>
    </row>
    <row r="23" spans="1:9" x14ac:dyDescent="0.3">
      <c r="A23" s="679">
        <v>124375329</v>
      </c>
      <c r="B23" s="679"/>
      <c r="C23" s="679"/>
      <c r="G23" s="13" t="s">
        <v>81</v>
      </c>
      <c r="H23" s="12" t="e">
        <f>SUM(H19:H22)</f>
        <v>#REF!</v>
      </c>
      <c r="I23" s="11"/>
    </row>
    <row r="24" spans="1:9" x14ac:dyDescent="0.3">
      <c r="A24" s="7" t="e">
        <f>POD!A6</f>
        <v>#REF!</v>
      </c>
      <c r="B24" s="175" t="e">
        <f>POD!B6</f>
        <v>#REF!</v>
      </c>
      <c r="C24" s="175" t="e">
        <f>B24</f>
        <v>#REF!</v>
      </c>
      <c r="D24" t="s">
        <v>1971</v>
      </c>
      <c r="G24" s="14" t="s">
        <v>1969</v>
      </c>
      <c r="H24" s="341" t="e">
        <f>G18-H23</f>
        <v>#REF!</v>
      </c>
      <c r="I24" s="11"/>
    </row>
    <row r="25" spans="1:9" x14ac:dyDescent="0.3">
      <c r="A25" s="7" t="e">
        <f>POD!A7</f>
        <v>#REF!</v>
      </c>
      <c r="B25" s="175" t="e">
        <f>POD!B7</f>
        <v>#REF!</v>
      </c>
      <c r="C25" s="1"/>
      <c r="D25" t="s">
        <v>1972</v>
      </c>
    </row>
    <row r="26" spans="1:9" x14ac:dyDescent="0.3">
      <c r="A26" s="7" t="e">
        <f>POD!A8</f>
        <v>#REF!</v>
      </c>
      <c r="B26" s="175" t="e">
        <f>POD!B8</f>
        <v>#REF!</v>
      </c>
      <c r="C26" s="686" t="e">
        <f>SUM(B26:B29)</f>
        <v>#REF!</v>
      </c>
      <c r="D26" s="689" t="s">
        <v>1973</v>
      </c>
    </row>
    <row r="27" spans="1:9" x14ac:dyDescent="0.3">
      <c r="A27" s="7" t="e">
        <f>POD!A9</f>
        <v>#REF!</v>
      </c>
      <c r="B27" s="175" t="e">
        <f>POD!B9</f>
        <v>#REF!</v>
      </c>
      <c r="C27" s="687"/>
      <c r="D27" s="690"/>
    </row>
    <row r="28" spans="1:9" x14ac:dyDescent="0.3">
      <c r="A28" s="7" t="e">
        <f>POD!A10</f>
        <v>#REF!</v>
      </c>
      <c r="B28" s="175" t="e">
        <f>POD!B10</f>
        <v>#REF!</v>
      </c>
      <c r="C28" s="687"/>
      <c r="D28" s="690"/>
    </row>
    <row r="29" spans="1:9" x14ac:dyDescent="0.3">
      <c r="A29" s="7" t="e">
        <f>POD!A11</f>
        <v>#REF!</v>
      </c>
      <c r="B29" s="175" t="e">
        <f>POD!B11</f>
        <v>#REF!</v>
      </c>
      <c r="C29" s="688"/>
      <c r="D29" s="691"/>
    </row>
    <row r="30" spans="1:9" x14ac:dyDescent="0.3">
      <c r="A30" s="7" t="e">
        <f>POD!A12</f>
        <v>#REF!</v>
      </c>
      <c r="B30" s="175" t="e">
        <f>POD!B12</f>
        <v>#REF!</v>
      </c>
      <c r="C30" s="586" t="e">
        <f>B30+B25</f>
        <v>#REF!</v>
      </c>
      <c r="D30" t="s">
        <v>1972</v>
      </c>
    </row>
    <row r="31" spans="1:9" x14ac:dyDescent="0.3">
      <c r="A31" s="1"/>
      <c r="B31" s="175" t="e">
        <f>A23-B24-B25-B26-B27-B28-B29-B30</f>
        <v>#REF!</v>
      </c>
      <c r="C31" s="1"/>
    </row>
    <row r="32" spans="1:9" x14ac:dyDescent="0.3">
      <c r="G32" t="s">
        <v>1958</v>
      </c>
      <c r="H32" s="639" t="e">
        <f>B4+B5+B6+B7+B8+H19+H20+H21+B24+B25+B26+B27+B28+B29+B30</f>
        <v>#REF!</v>
      </c>
    </row>
    <row r="33" spans="7:8" x14ac:dyDescent="0.3">
      <c r="G33" t="s">
        <v>1960</v>
      </c>
      <c r="H33" s="640" t="e">
        <f>B15+H4+H5+H6+H7+H8+H9+H10</f>
        <v>#REF!</v>
      </c>
    </row>
  </sheetData>
  <mergeCells count="17">
    <mergeCell ref="C26:C29"/>
    <mergeCell ref="D26:D29"/>
    <mergeCell ref="K5:K10"/>
    <mergeCell ref="C4:C6"/>
    <mergeCell ref="D4:D6"/>
    <mergeCell ref="A23:C23"/>
    <mergeCell ref="C7:C8"/>
    <mergeCell ref="D7:D8"/>
    <mergeCell ref="I6:I8"/>
    <mergeCell ref="G1:I1"/>
    <mergeCell ref="G3:I3"/>
    <mergeCell ref="G18:I18"/>
    <mergeCell ref="A21:C21"/>
    <mergeCell ref="A1:C1"/>
    <mergeCell ref="A3:C3"/>
    <mergeCell ref="A12:C12"/>
    <mergeCell ref="A14:C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096C9-1D0A-4CA4-B00D-8B2CA5E72632}">
  <dimension ref="A1:AX1265"/>
  <sheetViews>
    <sheetView topLeftCell="A860" zoomScale="80" zoomScaleNormal="80" zoomScaleSheetLayoutView="50" workbookViewId="0">
      <selection activeCell="B934" sqref="B934:C1064"/>
    </sheetView>
  </sheetViews>
  <sheetFormatPr baseColWidth="10" defaultColWidth="11.44140625" defaultRowHeight="14.4" x14ac:dyDescent="0.3"/>
  <cols>
    <col min="1" max="1" width="11.6640625" bestFit="1" customWidth="1"/>
    <col min="2" max="4" width="12.77734375" bestFit="1" customWidth="1"/>
    <col min="5" max="5" width="11.6640625" style="344" bestFit="1" customWidth="1"/>
    <col min="6" max="6" width="48.33203125" customWidth="1"/>
    <col min="7" max="9" width="23.33203125" customWidth="1"/>
    <col min="10" max="10" width="11.6640625" bestFit="1" customWidth="1"/>
    <col min="11" max="11" width="16.44140625" customWidth="1"/>
    <col min="12" max="12" width="14.33203125" customWidth="1"/>
    <col min="13" max="13" width="17.44140625" style="203" customWidth="1"/>
    <col min="14" max="14" width="16.6640625" style="203" customWidth="1"/>
    <col min="15" max="15" width="17.44140625" style="203" customWidth="1"/>
    <col min="16" max="16" width="16.6640625" style="239" customWidth="1"/>
    <col min="17" max="17" width="18.6640625" customWidth="1"/>
    <col min="18" max="18" width="18.33203125" customWidth="1"/>
    <col min="19" max="19" width="16.109375" bestFit="1" customWidth="1"/>
    <col min="20" max="21" width="21.6640625" customWidth="1"/>
    <col min="22" max="22" width="21.33203125" customWidth="1"/>
    <col min="23" max="23" width="20.33203125" customWidth="1"/>
    <col min="24" max="24" width="11.6640625" style="197" bestFit="1" customWidth="1"/>
    <col min="25" max="25" width="14.44140625" style="197" bestFit="1" customWidth="1"/>
    <col min="26" max="27" width="11.6640625" style="197" bestFit="1" customWidth="1"/>
    <col min="28" max="28" width="16" style="197" customWidth="1"/>
    <col min="29" max="29" width="20.44140625" style="197" customWidth="1"/>
    <col min="30" max="30" width="11.6640625" style="197" bestFit="1" customWidth="1"/>
    <col min="31" max="31" width="18.77734375" style="197" customWidth="1"/>
    <col min="32" max="32" width="29.44140625" style="197" bestFit="1" customWidth="1"/>
    <col min="33" max="50" width="11.44140625" style="197"/>
  </cols>
  <sheetData>
    <row r="1" spans="1:50" ht="31.5" customHeight="1" x14ac:dyDescent="0.3">
      <c r="A1" s="773" t="s">
        <v>0</v>
      </c>
      <c r="B1" s="773"/>
      <c r="C1" s="773"/>
      <c r="D1" s="773"/>
      <c r="E1" s="773"/>
      <c r="F1" s="773"/>
      <c r="G1" s="773"/>
      <c r="H1" s="773"/>
      <c r="I1" s="773"/>
      <c r="J1" s="773"/>
      <c r="K1" s="773"/>
      <c r="L1" s="773"/>
      <c r="M1" s="773"/>
      <c r="N1" s="773"/>
      <c r="O1" s="773"/>
      <c r="P1" s="773"/>
      <c r="Q1" s="773"/>
      <c r="R1" s="773"/>
      <c r="S1" s="773"/>
    </row>
    <row r="2" spans="1:50" x14ac:dyDescent="0.3">
      <c r="A2" s="713"/>
      <c r="B2" s="714"/>
      <c r="C2" s="714"/>
      <c r="D2" s="714"/>
      <c r="E2" s="714"/>
      <c r="F2" s="714"/>
      <c r="G2" s="714"/>
      <c r="H2" s="714"/>
      <c r="I2" s="714"/>
      <c r="J2" s="714"/>
      <c r="K2" s="714"/>
      <c r="L2" s="714"/>
      <c r="M2" s="714"/>
      <c r="N2" s="714"/>
      <c r="O2" s="714"/>
      <c r="P2" s="714"/>
      <c r="Q2" s="714"/>
      <c r="R2" s="714"/>
      <c r="S2" s="715"/>
    </row>
    <row r="3" spans="1:50" s="26" customFormat="1" ht="21" x14ac:dyDescent="0.4">
      <c r="A3" s="602" t="s">
        <v>1</v>
      </c>
      <c r="B3" s="603"/>
      <c r="C3" s="603"/>
      <c r="D3" s="603"/>
      <c r="E3" s="774" t="s">
        <v>1</v>
      </c>
      <c r="F3" s="774"/>
      <c r="G3" s="774"/>
      <c r="H3" s="774"/>
      <c r="I3" s="774"/>
      <c r="J3" s="774"/>
      <c r="K3" s="603"/>
      <c r="L3" s="603"/>
      <c r="M3" s="603"/>
      <c r="N3" s="603"/>
      <c r="O3" s="603"/>
      <c r="P3" s="603"/>
      <c r="Q3" s="603"/>
      <c r="R3" s="603"/>
      <c r="S3" s="603"/>
      <c r="T3" s="603"/>
      <c r="U3" s="603"/>
      <c r="V3" s="603"/>
      <c r="W3" s="603"/>
      <c r="X3" s="603"/>
      <c r="Y3" s="603"/>
      <c r="Z3" s="603"/>
      <c r="AA3" s="603"/>
      <c r="AB3" s="603"/>
      <c r="AC3" s="452"/>
      <c r="AD3" s="452"/>
      <c r="AE3" s="452"/>
      <c r="AF3" s="452"/>
      <c r="AG3" s="452"/>
      <c r="AH3" s="452"/>
      <c r="AI3" s="452"/>
      <c r="AJ3" s="452"/>
      <c r="AK3" s="452"/>
      <c r="AL3" s="452"/>
      <c r="AM3" s="452"/>
      <c r="AN3" s="452"/>
      <c r="AO3" s="452"/>
      <c r="AP3" s="452"/>
      <c r="AQ3" s="452"/>
      <c r="AR3" s="452"/>
      <c r="AS3" s="452"/>
      <c r="AT3" s="452"/>
      <c r="AU3" s="452"/>
      <c r="AV3" s="452"/>
      <c r="AW3" s="452"/>
      <c r="AX3" s="452"/>
    </row>
    <row r="4" spans="1:50" s="26" customFormat="1" ht="15.6" x14ac:dyDescent="0.25">
      <c r="A4" s="771" t="s">
        <v>2</v>
      </c>
      <c r="B4" s="771" t="s">
        <v>3</v>
      </c>
      <c r="C4" s="771" t="s">
        <v>4</v>
      </c>
      <c r="D4" s="771" t="s">
        <v>5</v>
      </c>
      <c r="E4" s="771" t="s">
        <v>6</v>
      </c>
      <c r="F4" s="771" t="s">
        <v>7</v>
      </c>
      <c r="G4" s="771" t="s">
        <v>8</v>
      </c>
      <c r="H4" s="601"/>
      <c r="I4" s="601"/>
      <c r="J4" s="771" t="s">
        <v>9</v>
      </c>
      <c r="K4" s="709" t="s">
        <v>10</v>
      </c>
      <c r="L4" s="709"/>
      <c r="M4" s="709"/>
      <c r="N4" s="709" t="s">
        <v>11</v>
      </c>
      <c r="O4" s="709"/>
      <c r="P4" s="709"/>
      <c r="Q4" s="709" t="s">
        <v>12</v>
      </c>
      <c r="R4" s="709"/>
      <c r="S4" s="709"/>
      <c r="T4" s="709" t="s">
        <v>13</v>
      </c>
      <c r="U4" s="709"/>
      <c r="V4" s="709"/>
      <c r="W4" s="709" t="s">
        <v>14</v>
      </c>
      <c r="X4" s="709"/>
      <c r="Y4" s="709"/>
      <c r="Z4" s="761" t="s">
        <v>15</v>
      </c>
      <c r="AA4" s="762"/>
      <c r="AB4" s="763"/>
      <c r="AC4" s="452"/>
      <c r="AD4" s="452"/>
      <c r="AE4" s="452"/>
      <c r="AF4" s="452"/>
      <c r="AG4" s="452"/>
      <c r="AH4" s="452"/>
      <c r="AI4" s="452"/>
      <c r="AJ4" s="452"/>
      <c r="AK4" s="452"/>
      <c r="AL4" s="452"/>
      <c r="AM4" s="452"/>
      <c r="AN4" s="452"/>
      <c r="AO4" s="452"/>
      <c r="AP4" s="452"/>
      <c r="AQ4" s="452"/>
      <c r="AR4" s="452"/>
      <c r="AS4" s="452"/>
      <c r="AT4" s="452"/>
      <c r="AU4" s="452"/>
      <c r="AV4" s="452"/>
      <c r="AW4" s="452"/>
      <c r="AX4" s="452"/>
    </row>
    <row r="5" spans="1:50" s="26" customFormat="1" ht="31.2" x14ac:dyDescent="0.25">
      <c r="A5" s="771"/>
      <c r="B5" s="771"/>
      <c r="C5" s="771"/>
      <c r="D5" s="771"/>
      <c r="E5" s="771"/>
      <c r="F5" s="771"/>
      <c r="G5" s="771"/>
      <c r="H5" s="601"/>
      <c r="I5" s="601"/>
      <c r="J5" s="771"/>
      <c r="K5" s="24" t="s">
        <v>16</v>
      </c>
      <c r="L5" s="25" t="s">
        <v>17</v>
      </c>
      <c r="M5" s="24" t="s">
        <v>18</v>
      </c>
      <c r="N5" s="24" t="s">
        <v>16</v>
      </c>
      <c r="O5" s="25" t="s">
        <v>17</v>
      </c>
      <c r="P5" s="240" t="s">
        <v>18</v>
      </c>
      <c r="Q5" s="24" t="s">
        <v>16</v>
      </c>
      <c r="R5" s="25" t="s">
        <v>17</v>
      </c>
      <c r="S5" s="24" t="s">
        <v>18</v>
      </c>
      <c r="T5" s="24" t="s">
        <v>16</v>
      </c>
      <c r="U5" s="25" t="s">
        <v>17</v>
      </c>
      <c r="V5" s="24" t="s">
        <v>18</v>
      </c>
      <c r="W5" s="24" t="s">
        <v>16</v>
      </c>
      <c r="X5" s="453" t="s">
        <v>17</v>
      </c>
      <c r="Y5" s="454" t="s">
        <v>18</v>
      </c>
      <c r="Z5" s="454" t="s">
        <v>16</v>
      </c>
      <c r="AA5" s="453" t="s">
        <v>17</v>
      </c>
      <c r="AB5" s="454" t="s">
        <v>18</v>
      </c>
      <c r="AC5" s="452"/>
      <c r="AD5" s="452"/>
      <c r="AE5" s="452"/>
      <c r="AF5" s="452"/>
      <c r="AG5" s="452"/>
      <c r="AH5" s="452"/>
      <c r="AI5" s="452"/>
      <c r="AJ5" s="452"/>
      <c r="AK5" s="452"/>
      <c r="AL5" s="452"/>
      <c r="AM5" s="452"/>
      <c r="AN5" s="452"/>
      <c r="AO5" s="452"/>
      <c r="AP5" s="452"/>
      <c r="AQ5" s="452"/>
      <c r="AR5" s="452"/>
      <c r="AS5" s="452"/>
      <c r="AT5" s="452"/>
      <c r="AU5" s="452"/>
      <c r="AV5" s="452"/>
      <c r="AW5" s="452"/>
      <c r="AX5" s="452"/>
    </row>
    <row r="6" spans="1:50" s="26" customFormat="1" ht="15.75" customHeight="1" x14ac:dyDescent="0.25">
      <c r="A6" s="27">
        <v>5</v>
      </c>
      <c r="B6" s="28" t="s">
        <v>19</v>
      </c>
      <c r="C6" s="29">
        <v>245394</v>
      </c>
      <c r="D6" s="30">
        <v>42142609</v>
      </c>
      <c r="E6" s="31">
        <v>1</v>
      </c>
      <c r="F6" s="32" t="s">
        <v>20</v>
      </c>
      <c r="G6" s="33" t="s">
        <v>21</v>
      </c>
      <c r="H6" s="33"/>
      <c r="I6" s="33"/>
      <c r="J6" s="34">
        <v>2000</v>
      </c>
      <c r="K6" s="35">
        <v>420</v>
      </c>
      <c r="L6" s="36">
        <v>0.19</v>
      </c>
      <c r="M6" s="85">
        <f>K6*J6</f>
        <v>840000</v>
      </c>
      <c r="N6" s="207">
        <v>744</v>
      </c>
      <c r="O6" s="86">
        <v>0.19</v>
      </c>
      <c r="P6" s="241">
        <f>N6*J6</f>
        <v>1488000</v>
      </c>
      <c r="Q6" s="38">
        <v>480</v>
      </c>
      <c r="R6" s="36">
        <v>0.19</v>
      </c>
      <c r="S6" s="37">
        <f>Q6*J6</f>
        <v>960000</v>
      </c>
      <c r="T6" s="37">
        <v>0</v>
      </c>
      <c r="U6" s="36">
        <v>0.19</v>
      </c>
      <c r="V6" s="37">
        <f>T6*J6</f>
        <v>0</v>
      </c>
      <c r="W6" s="37">
        <v>588</v>
      </c>
      <c r="X6" s="455">
        <v>0.19</v>
      </c>
      <c r="Y6" s="456">
        <f>W6*J6</f>
        <v>1176000</v>
      </c>
      <c r="Z6" s="457">
        <f>SUM(K6+N6+Q6+T6+W6)/4</f>
        <v>558</v>
      </c>
      <c r="AA6" s="455">
        <v>0.19</v>
      </c>
      <c r="AB6" s="458">
        <f>Z6*J6</f>
        <v>1116000</v>
      </c>
      <c r="AC6" s="452"/>
      <c r="AD6" s="452"/>
      <c r="AE6" s="452"/>
      <c r="AF6" s="452"/>
      <c r="AG6" s="452"/>
      <c r="AH6" s="452"/>
      <c r="AI6" s="452"/>
      <c r="AJ6" s="452"/>
      <c r="AK6" s="452"/>
      <c r="AL6" s="452"/>
      <c r="AM6" s="452"/>
      <c r="AN6" s="452"/>
      <c r="AO6" s="452"/>
      <c r="AP6" s="452"/>
      <c r="AQ6" s="452"/>
      <c r="AR6" s="452"/>
      <c r="AS6" s="452"/>
      <c r="AT6" s="452"/>
      <c r="AU6" s="452"/>
      <c r="AV6" s="452"/>
      <c r="AW6" s="452"/>
      <c r="AX6" s="452"/>
    </row>
    <row r="7" spans="1:50" s="26" customFormat="1" ht="30" x14ac:dyDescent="0.25">
      <c r="A7" s="27">
        <v>5</v>
      </c>
      <c r="B7" s="28" t="s">
        <v>19</v>
      </c>
      <c r="C7" s="29">
        <v>245394</v>
      </c>
      <c r="D7" s="30">
        <v>42142609</v>
      </c>
      <c r="E7" s="31">
        <v>2</v>
      </c>
      <c r="F7" s="32" t="s">
        <v>22</v>
      </c>
      <c r="G7" s="33" t="s">
        <v>23</v>
      </c>
      <c r="H7" s="33"/>
      <c r="I7" s="33"/>
      <c r="J7" s="34">
        <v>2000</v>
      </c>
      <c r="K7" s="35">
        <v>275</v>
      </c>
      <c r="L7" s="36">
        <v>0.19</v>
      </c>
      <c r="M7" s="85">
        <f t="shared" ref="M7:M22" si="0">K7*J7</f>
        <v>550000</v>
      </c>
      <c r="N7" s="207">
        <v>480</v>
      </c>
      <c r="O7" s="86">
        <v>0.19</v>
      </c>
      <c r="P7" s="241">
        <f t="shared" ref="P7:P22" si="1">N7*J7</f>
        <v>960000</v>
      </c>
      <c r="Q7" s="39">
        <v>275</v>
      </c>
      <c r="R7" s="36">
        <v>0.19</v>
      </c>
      <c r="S7" s="37">
        <f t="shared" ref="S7:S22" si="2">Q7*J7</f>
        <v>550000</v>
      </c>
      <c r="T7" s="37">
        <v>0</v>
      </c>
      <c r="U7" s="36">
        <v>0.19</v>
      </c>
      <c r="V7" s="37">
        <f t="shared" ref="V7:V22" si="3">T7*J7</f>
        <v>0</v>
      </c>
      <c r="W7" s="37">
        <v>420</v>
      </c>
      <c r="X7" s="455">
        <v>0.19</v>
      </c>
      <c r="Y7" s="456">
        <f t="shared" ref="Y7:Y22" si="4">W7*J7</f>
        <v>840000</v>
      </c>
      <c r="Z7" s="457">
        <f t="shared" ref="Z7:Z22" si="5">SUM(K7+N7+Q7+T7+W7)/4</f>
        <v>362.5</v>
      </c>
      <c r="AA7" s="455">
        <v>0.19</v>
      </c>
      <c r="AB7" s="458">
        <f t="shared" ref="AB7:AB22" si="6">Z7*J7</f>
        <v>725000</v>
      </c>
      <c r="AC7" s="452"/>
      <c r="AD7" s="452"/>
      <c r="AE7" s="452"/>
      <c r="AF7" s="452"/>
      <c r="AG7" s="452"/>
      <c r="AH7" s="452"/>
      <c r="AI7" s="452"/>
      <c r="AJ7" s="452"/>
      <c r="AK7" s="452"/>
      <c r="AL7" s="452"/>
      <c r="AM7" s="452"/>
      <c r="AN7" s="452"/>
      <c r="AO7" s="452"/>
      <c r="AP7" s="452"/>
      <c r="AQ7" s="452"/>
      <c r="AR7" s="452"/>
      <c r="AS7" s="452"/>
      <c r="AT7" s="452"/>
      <c r="AU7" s="452"/>
      <c r="AV7" s="452"/>
      <c r="AW7" s="452"/>
      <c r="AX7" s="452"/>
    </row>
    <row r="8" spans="1:50" s="26" customFormat="1" ht="15" x14ac:dyDescent="0.25">
      <c r="A8" s="27">
        <v>5</v>
      </c>
      <c r="B8" s="28">
        <v>142142521</v>
      </c>
      <c r="C8" s="29">
        <v>276090</v>
      </c>
      <c r="D8" s="30">
        <v>42142523</v>
      </c>
      <c r="E8" s="31">
        <v>3</v>
      </c>
      <c r="F8" s="32" t="s">
        <v>24</v>
      </c>
      <c r="G8" s="40" t="s">
        <v>25</v>
      </c>
      <c r="H8" s="40"/>
      <c r="I8" s="40"/>
      <c r="J8" s="34">
        <v>2000</v>
      </c>
      <c r="K8" s="35">
        <v>105</v>
      </c>
      <c r="L8" s="36">
        <v>0.19</v>
      </c>
      <c r="M8" s="85">
        <f t="shared" si="0"/>
        <v>210000</v>
      </c>
      <c r="N8" s="207">
        <v>99</v>
      </c>
      <c r="O8" s="86">
        <v>0.19</v>
      </c>
      <c r="P8" s="241">
        <f t="shared" si="1"/>
        <v>198000</v>
      </c>
      <c r="Q8" s="39">
        <v>105</v>
      </c>
      <c r="R8" s="36">
        <v>0.19</v>
      </c>
      <c r="S8" s="37">
        <f t="shared" si="2"/>
        <v>210000</v>
      </c>
      <c r="T8" s="37">
        <v>0</v>
      </c>
      <c r="U8" s="36">
        <v>0.19</v>
      </c>
      <c r="V8" s="37">
        <f t="shared" si="3"/>
        <v>0</v>
      </c>
      <c r="W8" s="37">
        <v>126</v>
      </c>
      <c r="X8" s="455">
        <v>0.19</v>
      </c>
      <c r="Y8" s="456">
        <f t="shared" si="4"/>
        <v>252000</v>
      </c>
      <c r="Z8" s="457">
        <f>SUM(K8+N8+Q8+T8+W8)/4</f>
        <v>108.75</v>
      </c>
      <c r="AA8" s="455">
        <v>0.19</v>
      </c>
      <c r="AB8" s="458">
        <f t="shared" si="6"/>
        <v>217500</v>
      </c>
      <c r="AC8" s="452"/>
      <c r="AD8" s="452"/>
      <c r="AE8" s="452"/>
      <c r="AF8" s="452"/>
      <c r="AG8" s="452"/>
      <c r="AH8" s="452"/>
      <c r="AI8" s="452"/>
      <c r="AJ8" s="452"/>
      <c r="AK8" s="452"/>
      <c r="AL8" s="452"/>
      <c r="AM8" s="452"/>
      <c r="AN8" s="452"/>
      <c r="AO8" s="452"/>
      <c r="AP8" s="452"/>
      <c r="AQ8" s="452"/>
      <c r="AR8" s="452"/>
      <c r="AS8" s="452"/>
      <c r="AT8" s="452"/>
      <c r="AU8" s="452"/>
      <c r="AV8" s="452"/>
      <c r="AW8" s="452"/>
      <c r="AX8" s="452"/>
    </row>
    <row r="9" spans="1:50" s="26" customFormat="1" ht="15" x14ac:dyDescent="0.25">
      <c r="A9" s="27">
        <v>5</v>
      </c>
      <c r="B9" s="28" t="s">
        <v>19</v>
      </c>
      <c r="C9" s="29">
        <v>254234</v>
      </c>
      <c r="D9" s="30">
        <v>42132203</v>
      </c>
      <c r="E9" s="31">
        <v>4</v>
      </c>
      <c r="F9" s="32" t="s">
        <v>26</v>
      </c>
      <c r="G9" s="40" t="s">
        <v>25</v>
      </c>
      <c r="H9" s="40"/>
      <c r="I9" s="40"/>
      <c r="J9" s="34">
        <v>2000</v>
      </c>
      <c r="K9" s="35">
        <v>200</v>
      </c>
      <c r="L9" s="36">
        <v>0.19</v>
      </c>
      <c r="M9" s="85">
        <f t="shared" si="0"/>
        <v>400000</v>
      </c>
      <c r="N9" s="207">
        <v>413</v>
      </c>
      <c r="O9" s="86">
        <v>0.19</v>
      </c>
      <c r="P9" s="241">
        <f t="shared" si="1"/>
        <v>826000</v>
      </c>
      <c r="Q9" s="39">
        <v>230</v>
      </c>
      <c r="R9" s="36">
        <v>0.19</v>
      </c>
      <c r="S9" s="37">
        <f t="shared" si="2"/>
        <v>460000</v>
      </c>
      <c r="T9" s="37">
        <v>0</v>
      </c>
      <c r="U9" s="36">
        <v>0.19</v>
      </c>
      <c r="V9" s="37">
        <f t="shared" si="3"/>
        <v>0</v>
      </c>
      <c r="W9" s="37">
        <v>415</v>
      </c>
      <c r="X9" s="455">
        <v>0.19</v>
      </c>
      <c r="Y9" s="456">
        <f t="shared" si="4"/>
        <v>830000</v>
      </c>
      <c r="Z9" s="457">
        <f>SUM(K9+N9+Q9+T9+W9)/4</f>
        <v>314.5</v>
      </c>
      <c r="AA9" s="455">
        <v>0.19</v>
      </c>
      <c r="AB9" s="458">
        <f t="shared" si="6"/>
        <v>629000</v>
      </c>
      <c r="AC9" s="452"/>
      <c r="AD9" s="452"/>
      <c r="AE9" s="452"/>
      <c r="AF9" s="452"/>
      <c r="AG9" s="452"/>
      <c r="AH9" s="452"/>
      <c r="AI9" s="452"/>
      <c r="AJ9" s="452"/>
      <c r="AK9" s="452"/>
      <c r="AL9" s="452"/>
      <c r="AM9" s="452"/>
      <c r="AN9" s="452"/>
      <c r="AO9" s="452"/>
      <c r="AP9" s="452"/>
      <c r="AQ9" s="452"/>
      <c r="AR9" s="452"/>
      <c r="AS9" s="452"/>
      <c r="AT9" s="452"/>
      <c r="AU9" s="452"/>
      <c r="AV9" s="452"/>
      <c r="AW9" s="452"/>
      <c r="AX9" s="452"/>
    </row>
    <row r="10" spans="1:50" s="26" customFormat="1" ht="15" x14ac:dyDescent="0.25">
      <c r="A10" s="27">
        <v>5</v>
      </c>
      <c r="B10" s="28" t="s">
        <v>27</v>
      </c>
      <c r="C10" s="29">
        <v>235254</v>
      </c>
      <c r="D10" s="30">
        <v>42121601</v>
      </c>
      <c r="E10" s="31">
        <v>5</v>
      </c>
      <c r="F10" s="32" t="s">
        <v>28</v>
      </c>
      <c r="G10" s="40" t="s">
        <v>29</v>
      </c>
      <c r="H10" s="40"/>
      <c r="I10" s="40"/>
      <c r="J10" s="34">
        <v>45</v>
      </c>
      <c r="K10" s="35">
        <v>31122</v>
      </c>
      <c r="L10" s="36">
        <v>0</v>
      </c>
      <c r="M10" s="85">
        <f t="shared" si="0"/>
        <v>1400490</v>
      </c>
      <c r="N10" s="207">
        <v>31783</v>
      </c>
      <c r="O10" s="86">
        <v>0</v>
      </c>
      <c r="P10" s="241">
        <f t="shared" si="1"/>
        <v>1430235</v>
      </c>
      <c r="Q10" s="39">
        <v>33000</v>
      </c>
      <c r="R10" s="36">
        <v>0</v>
      </c>
      <c r="S10" s="37">
        <f t="shared" si="2"/>
        <v>1485000</v>
      </c>
      <c r="T10" s="37">
        <v>0</v>
      </c>
      <c r="U10" s="36">
        <v>0</v>
      </c>
      <c r="V10" s="37">
        <f t="shared" si="3"/>
        <v>0</v>
      </c>
      <c r="W10" s="37">
        <v>30300</v>
      </c>
      <c r="X10" s="455">
        <v>0</v>
      </c>
      <c r="Y10" s="456">
        <f t="shared" si="4"/>
        <v>1363500</v>
      </c>
      <c r="Z10" s="457">
        <f>SUM(K10+N10+Q10+T10+W10)/4</f>
        <v>31551.25</v>
      </c>
      <c r="AA10" s="455">
        <v>0</v>
      </c>
      <c r="AB10" s="458">
        <f t="shared" si="6"/>
        <v>1419806.25</v>
      </c>
      <c r="AC10" s="452"/>
      <c r="AD10" s="452"/>
      <c r="AE10" s="452"/>
      <c r="AF10" s="452"/>
      <c r="AG10" s="452"/>
      <c r="AH10" s="452"/>
      <c r="AI10" s="452"/>
      <c r="AJ10" s="452"/>
      <c r="AK10" s="452"/>
      <c r="AL10" s="452"/>
      <c r="AM10" s="452"/>
      <c r="AN10" s="452"/>
      <c r="AO10" s="452"/>
      <c r="AP10" s="452"/>
      <c r="AQ10" s="452"/>
      <c r="AR10" s="452"/>
      <c r="AS10" s="452"/>
      <c r="AT10" s="452"/>
      <c r="AU10" s="452"/>
      <c r="AV10" s="452"/>
      <c r="AW10" s="452"/>
      <c r="AX10" s="452"/>
    </row>
    <row r="11" spans="1:50" s="26" customFormat="1" ht="15" x14ac:dyDescent="0.25">
      <c r="A11" s="27">
        <v>5</v>
      </c>
      <c r="B11" s="28">
        <v>142221903</v>
      </c>
      <c r="C11" s="29">
        <v>233742</v>
      </c>
      <c r="D11" s="30">
        <v>42142614</v>
      </c>
      <c r="E11" s="31">
        <v>6</v>
      </c>
      <c r="F11" s="32" t="s">
        <v>30</v>
      </c>
      <c r="G11" s="40" t="s">
        <v>25</v>
      </c>
      <c r="H11" s="40"/>
      <c r="I11" s="40"/>
      <c r="J11" s="34">
        <v>180</v>
      </c>
      <c r="K11" s="35">
        <v>1067</v>
      </c>
      <c r="L11" s="36">
        <v>0</v>
      </c>
      <c r="M11" s="85">
        <f t="shared" si="0"/>
        <v>192060</v>
      </c>
      <c r="N11" s="207">
        <v>1529</v>
      </c>
      <c r="O11" s="86">
        <v>0</v>
      </c>
      <c r="P11" s="241">
        <f t="shared" si="1"/>
        <v>275220</v>
      </c>
      <c r="Q11" s="39">
        <v>1197</v>
      </c>
      <c r="R11" s="36">
        <v>0</v>
      </c>
      <c r="S11" s="37">
        <f t="shared" si="2"/>
        <v>215460</v>
      </c>
      <c r="T11" s="37">
        <v>0</v>
      </c>
      <c r="U11" s="36">
        <v>0</v>
      </c>
      <c r="V11" s="37">
        <f t="shared" si="3"/>
        <v>0</v>
      </c>
      <c r="W11" s="37">
        <v>1200</v>
      </c>
      <c r="X11" s="455">
        <v>0</v>
      </c>
      <c r="Y11" s="456">
        <f t="shared" si="4"/>
        <v>216000</v>
      </c>
      <c r="Z11" s="457">
        <f t="shared" si="5"/>
        <v>1248.25</v>
      </c>
      <c r="AA11" s="455">
        <v>0</v>
      </c>
      <c r="AB11" s="458">
        <f t="shared" si="6"/>
        <v>224685</v>
      </c>
      <c r="AC11" s="452"/>
      <c r="AD11" s="452"/>
      <c r="AE11" s="452"/>
      <c r="AF11" s="452"/>
      <c r="AG11" s="452"/>
      <c r="AH11" s="452"/>
      <c r="AI11" s="452"/>
      <c r="AJ11" s="452"/>
      <c r="AK11" s="452"/>
      <c r="AL11" s="452"/>
      <c r="AM11" s="452"/>
      <c r="AN11" s="452"/>
      <c r="AO11" s="452"/>
      <c r="AP11" s="452"/>
      <c r="AQ11" s="452"/>
      <c r="AR11" s="452"/>
      <c r="AS11" s="452"/>
      <c r="AT11" s="452"/>
      <c r="AU11" s="452"/>
      <c r="AV11" s="452"/>
      <c r="AW11" s="452"/>
      <c r="AX11" s="452"/>
    </row>
    <row r="12" spans="1:50" s="26" customFormat="1" ht="15" x14ac:dyDescent="0.25">
      <c r="A12" s="27">
        <v>5</v>
      </c>
      <c r="B12" s="28" t="s">
        <v>27</v>
      </c>
      <c r="C12" s="29" t="s">
        <v>31</v>
      </c>
      <c r="D12" s="30">
        <v>42121601</v>
      </c>
      <c r="E12" s="31">
        <v>7</v>
      </c>
      <c r="F12" s="32" t="s">
        <v>32</v>
      </c>
      <c r="G12" s="40" t="s">
        <v>33</v>
      </c>
      <c r="H12" s="40"/>
      <c r="I12" s="40"/>
      <c r="J12" s="34">
        <v>50</v>
      </c>
      <c r="K12" s="35">
        <v>18721</v>
      </c>
      <c r="L12" s="36">
        <v>0</v>
      </c>
      <c r="M12" s="85">
        <f t="shared" si="0"/>
        <v>936050</v>
      </c>
      <c r="N12" s="207">
        <v>12337</v>
      </c>
      <c r="O12" s="86">
        <v>0</v>
      </c>
      <c r="P12" s="241">
        <f t="shared" si="1"/>
        <v>616850</v>
      </c>
      <c r="Q12" s="39">
        <v>18700</v>
      </c>
      <c r="R12" s="36">
        <v>0</v>
      </c>
      <c r="S12" s="37">
        <f t="shared" si="2"/>
        <v>935000</v>
      </c>
      <c r="T12" s="37">
        <v>0</v>
      </c>
      <c r="U12" s="36">
        <v>0</v>
      </c>
      <c r="V12" s="37">
        <f t="shared" si="3"/>
        <v>0</v>
      </c>
      <c r="W12" s="37">
        <v>85700</v>
      </c>
      <c r="X12" s="455">
        <v>0</v>
      </c>
      <c r="Y12" s="456">
        <f t="shared" si="4"/>
        <v>4285000</v>
      </c>
      <c r="Z12" s="457">
        <f t="shared" si="5"/>
        <v>33864.5</v>
      </c>
      <c r="AA12" s="455">
        <v>0</v>
      </c>
      <c r="AB12" s="458">
        <f t="shared" si="6"/>
        <v>1693225</v>
      </c>
      <c r="AC12" s="452"/>
      <c r="AD12" s="452"/>
      <c r="AE12" s="452"/>
      <c r="AF12" s="452"/>
      <c r="AG12" s="452"/>
      <c r="AH12" s="452"/>
      <c r="AI12" s="452"/>
      <c r="AJ12" s="452"/>
      <c r="AK12" s="452"/>
      <c r="AL12" s="452"/>
      <c r="AM12" s="452"/>
      <c r="AN12" s="452"/>
      <c r="AO12" s="452"/>
      <c r="AP12" s="452"/>
      <c r="AQ12" s="452"/>
      <c r="AR12" s="452"/>
      <c r="AS12" s="452"/>
      <c r="AT12" s="452"/>
      <c r="AU12" s="452"/>
      <c r="AV12" s="452"/>
      <c r="AW12" s="452"/>
      <c r="AX12" s="452"/>
    </row>
    <row r="13" spans="1:50" s="26" customFormat="1" ht="15" x14ac:dyDescent="0.25">
      <c r="A13" s="27">
        <v>5</v>
      </c>
      <c r="B13" s="28" t="s">
        <v>27</v>
      </c>
      <c r="C13" s="29" t="s">
        <v>34</v>
      </c>
      <c r="D13" s="30">
        <v>42121607</v>
      </c>
      <c r="E13" s="31">
        <v>8</v>
      </c>
      <c r="F13" s="32" t="s">
        <v>35</v>
      </c>
      <c r="G13" s="40" t="s">
        <v>36</v>
      </c>
      <c r="H13" s="40"/>
      <c r="I13" s="40"/>
      <c r="J13" s="34">
        <v>50</v>
      </c>
      <c r="K13" s="35">
        <v>88073</v>
      </c>
      <c r="L13" s="36">
        <v>0</v>
      </c>
      <c r="M13" s="85">
        <f t="shared" si="0"/>
        <v>4403650</v>
      </c>
      <c r="N13" s="207">
        <v>101794</v>
      </c>
      <c r="O13" s="86">
        <v>0</v>
      </c>
      <c r="P13" s="241">
        <f t="shared" si="1"/>
        <v>5089700</v>
      </c>
      <c r="Q13" s="39">
        <v>103550</v>
      </c>
      <c r="R13" s="36">
        <v>0</v>
      </c>
      <c r="S13" s="37">
        <f t="shared" si="2"/>
        <v>5177500</v>
      </c>
      <c r="T13" s="37">
        <v>0</v>
      </c>
      <c r="U13" s="36">
        <v>0</v>
      </c>
      <c r="V13" s="37">
        <f t="shared" si="3"/>
        <v>0</v>
      </c>
      <c r="W13" s="37">
        <v>93300</v>
      </c>
      <c r="X13" s="455">
        <v>0</v>
      </c>
      <c r="Y13" s="456">
        <f t="shared" si="4"/>
        <v>4665000</v>
      </c>
      <c r="Z13" s="457">
        <f t="shared" si="5"/>
        <v>96679.25</v>
      </c>
      <c r="AA13" s="455">
        <v>0</v>
      </c>
      <c r="AB13" s="458">
        <f t="shared" si="6"/>
        <v>4833962.5</v>
      </c>
      <c r="AC13" s="452"/>
      <c r="AD13" s="452"/>
      <c r="AE13" s="452"/>
      <c r="AF13" s="452"/>
      <c r="AG13" s="452"/>
      <c r="AH13" s="452"/>
      <c r="AI13" s="452"/>
      <c r="AJ13" s="452"/>
      <c r="AK13" s="452"/>
      <c r="AL13" s="452"/>
      <c r="AM13" s="452"/>
      <c r="AN13" s="452"/>
      <c r="AO13" s="452"/>
      <c r="AP13" s="452"/>
      <c r="AQ13" s="452"/>
      <c r="AR13" s="452"/>
      <c r="AS13" s="452"/>
      <c r="AT13" s="452"/>
      <c r="AU13" s="452"/>
      <c r="AV13" s="452"/>
      <c r="AW13" s="452"/>
      <c r="AX13" s="452"/>
    </row>
    <row r="14" spans="1:50" s="26" customFormat="1" ht="15" x14ac:dyDescent="0.25">
      <c r="A14" s="27">
        <v>5</v>
      </c>
      <c r="B14" s="28" t="s">
        <v>27</v>
      </c>
      <c r="C14" s="29">
        <v>284325</v>
      </c>
      <c r="D14" s="30">
        <v>42121602</v>
      </c>
      <c r="E14" s="31">
        <v>9</v>
      </c>
      <c r="F14" s="32" t="s">
        <v>37</v>
      </c>
      <c r="G14" s="40" t="s">
        <v>38</v>
      </c>
      <c r="H14" s="40"/>
      <c r="I14" s="40"/>
      <c r="J14" s="34">
        <v>150</v>
      </c>
      <c r="K14" s="35">
        <v>0</v>
      </c>
      <c r="L14" s="36">
        <v>0</v>
      </c>
      <c r="M14" s="85">
        <f t="shared" si="0"/>
        <v>0</v>
      </c>
      <c r="N14" s="207">
        <v>2571</v>
      </c>
      <c r="O14" s="86">
        <v>0</v>
      </c>
      <c r="P14" s="241">
        <f t="shared" si="1"/>
        <v>385650</v>
      </c>
      <c r="Q14" s="39">
        <v>3000</v>
      </c>
      <c r="R14" s="36">
        <v>0</v>
      </c>
      <c r="S14" s="37">
        <f t="shared" si="2"/>
        <v>450000</v>
      </c>
      <c r="T14" s="37">
        <v>0</v>
      </c>
      <c r="U14" s="36">
        <v>0</v>
      </c>
      <c r="V14" s="37">
        <f t="shared" si="3"/>
        <v>0</v>
      </c>
      <c r="W14" s="37">
        <v>3400</v>
      </c>
      <c r="X14" s="455">
        <v>0</v>
      </c>
      <c r="Y14" s="456">
        <f t="shared" si="4"/>
        <v>510000</v>
      </c>
      <c r="Z14" s="457">
        <f>SUM(K14+N14+Q14+T14+W14)/3</f>
        <v>2990.3333333333335</v>
      </c>
      <c r="AA14" s="455">
        <v>0</v>
      </c>
      <c r="AB14" s="458">
        <f t="shared" si="6"/>
        <v>448550</v>
      </c>
      <c r="AC14" s="452"/>
      <c r="AD14" s="452"/>
      <c r="AE14" s="452"/>
      <c r="AF14" s="452"/>
      <c r="AG14" s="452"/>
      <c r="AH14" s="452"/>
      <c r="AI14" s="452"/>
      <c r="AJ14" s="452"/>
      <c r="AK14" s="452"/>
      <c r="AL14" s="452"/>
      <c r="AM14" s="452"/>
      <c r="AN14" s="452"/>
      <c r="AO14" s="452"/>
      <c r="AP14" s="452"/>
      <c r="AQ14" s="452"/>
      <c r="AR14" s="452"/>
      <c r="AS14" s="452"/>
      <c r="AT14" s="452"/>
      <c r="AU14" s="452"/>
      <c r="AV14" s="452"/>
      <c r="AW14" s="452"/>
      <c r="AX14" s="452"/>
    </row>
    <row r="15" spans="1:50" s="26" customFormat="1" ht="15" x14ac:dyDescent="0.25">
      <c r="A15" s="27">
        <v>5</v>
      </c>
      <c r="B15" s="28">
        <v>142121612</v>
      </c>
      <c r="C15" s="29">
        <v>235314</v>
      </c>
      <c r="D15" s="30">
        <v>42121801</v>
      </c>
      <c r="E15" s="31">
        <v>10</v>
      </c>
      <c r="F15" s="32" t="s">
        <v>39</v>
      </c>
      <c r="G15" s="40" t="s">
        <v>40</v>
      </c>
      <c r="H15" s="40"/>
      <c r="I15" s="40"/>
      <c r="J15" s="34">
        <v>40</v>
      </c>
      <c r="K15" s="35">
        <v>9716</v>
      </c>
      <c r="L15" s="36">
        <v>0</v>
      </c>
      <c r="M15" s="85">
        <f t="shared" si="0"/>
        <v>388640</v>
      </c>
      <c r="N15" s="207">
        <v>14013</v>
      </c>
      <c r="O15" s="86">
        <v>0</v>
      </c>
      <c r="P15" s="241">
        <f t="shared" si="1"/>
        <v>560520</v>
      </c>
      <c r="Q15" s="39">
        <v>12800</v>
      </c>
      <c r="R15" s="36">
        <v>0</v>
      </c>
      <c r="S15" s="37">
        <f t="shared" si="2"/>
        <v>512000</v>
      </c>
      <c r="T15" s="37">
        <v>0</v>
      </c>
      <c r="U15" s="36">
        <v>0</v>
      </c>
      <c r="V15" s="37">
        <f t="shared" si="3"/>
        <v>0</v>
      </c>
      <c r="W15" s="37">
        <v>15000</v>
      </c>
      <c r="X15" s="455">
        <v>0</v>
      </c>
      <c r="Y15" s="456">
        <f t="shared" si="4"/>
        <v>600000</v>
      </c>
      <c r="Z15" s="457">
        <f t="shared" si="5"/>
        <v>12882.25</v>
      </c>
      <c r="AA15" s="455">
        <v>0</v>
      </c>
      <c r="AB15" s="458">
        <f t="shared" si="6"/>
        <v>515290</v>
      </c>
      <c r="AC15" s="452"/>
      <c r="AD15" s="452"/>
      <c r="AE15" s="452"/>
      <c r="AF15" s="452"/>
      <c r="AG15" s="452"/>
      <c r="AH15" s="452"/>
      <c r="AI15" s="452"/>
      <c r="AJ15" s="452"/>
      <c r="AK15" s="452"/>
      <c r="AL15" s="452"/>
      <c r="AM15" s="452"/>
      <c r="AN15" s="452"/>
      <c r="AO15" s="452"/>
      <c r="AP15" s="452"/>
      <c r="AQ15" s="452"/>
      <c r="AR15" s="452"/>
      <c r="AS15" s="452"/>
      <c r="AT15" s="452"/>
      <c r="AU15" s="452"/>
      <c r="AV15" s="452"/>
      <c r="AW15" s="452"/>
      <c r="AX15" s="452"/>
    </row>
    <row r="16" spans="1:50" s="26" customFormat="1" ht="15" x14ac:dyDescent="0.25">
      <c r="A16" s="27">
        <v>5</v>
      </c>
      <c r="B16" s="28">
        <v>142121612</v>
      </c>
      <c r="C16" s="29">
        <v>252520</v>
      </c>
      <c r="D16" s="30">
        <v>42121801</v>
      </c>
      <c r="E16" s="31">
        <v>11</v>
      </c>
      <c r="F16" s="32" t="s">
        <v>41</v>
      </c>
      <c r="G16" s="40" t="s">
        <v>42</v>
      </c>
      <c r="H16" s="40"/>
      <c r="I16" s="40"/>
      <c r="J16" s="34">
        <v>40</v>
      </c>
      <c r="K16" s="35">
        <v>13682</v>
      </c>
      <c r="L16" s="36">
        <v>0</v>
      </c>
      <c r="M16" s="85">
        <f t="shared" si="0"/>
        <v>547280</v>
      </c>
      <c r="N16" s="207">
        <v>0</v>
      </c>
      <c r="O16" s="86">
        <v>0</v>
      </c>
      <c r="P16" s="241">
        <f t="shared" si="1"/>
        <v>0</v>
      </c>
      <c r="Q16" s="39">
        <v>12550</v>
      </c>
      <c r="R16" s="36">
        <v>0</v>
      </c>
      <c r="S16" s="37">
        <f t="shared" si="2"/>
        <v>502000</v>
      </c>
      <c r="T16" s="37">
        <v>0</v>
      </c>
      <c r="U16" s="36">
        <v>0</v>
      </c>
      <c r="V16" s="37">
        <f t="shared" si="3"/>
        <v>0</v>
      </c>
      <c r="W16" s="37">
        <v>17800</v>
      </c>
      <c r="X16" s="455">
        <v>0</v>
      </c>
      <c r="Y16" s="456">
        <f t="shared" si="4"/>
        <v>712000</v>
      </c>
      <c r="Z16" s="457">
        <f>SUM(K16+N16+Q16+T16+W16)/3</f>
        <v>14677.333333333334</v>
      </c>
      <c r="AA16" s="455">
        <v>0</v>
      </c>
      <c r="AB16" s="458">
        <f t="shared" si="6"/>
        <v>587093.33333333337</v>
      </c>
      <c r="AC16" s="452"/>
      <c r="AD16" s="452"/>
      <c r="AE16" s="452"/>
      <c r="AF16" s="452"/>
      <c r="AG16" s="452"/>
      <c r="AH16" s="452"/>
      <c r="AI16" s="452"/>
      <c r="AJ16" s="452"/>
      <c r="AK16" s="452"/>
      <c r="AL16" s="452"/>
      <c r="AM16" s="452"/>
      <c r="AN16" s="452"/>
      <c r="AO16" s="452"/>
      <c r="AP16" s="452"/>
      <c r="AQ16" s="452"/>
      <c r="AR16" s="452"/>
      <c r="AS16" s="452"/>
      <c r="AT16" s="452"/>
      <c r="AU16" s="452"/>
      <c r="AV16" s="452"/>
      <c r="AW16" s="452"/>
      <c r="AX16" s="452"/>
    </row>
    <row r="17" spans="1:50" s="26" customFormat="1" ht="15" x14ac:dyDescent="0.25">
      <c r="A17" s="27">
        <v>5</v>
      </c>
      <c r="B17" s="28">
        <v>142121612</v>
      </c>
      <c r="C17" s="29">
        <v>247869</v>
      </c>
      <c r="D17" s="30">
        <v>10111300</v>
      </c>
      <c r="E17" s="31">
        <v>12</v>
      </c>
      <c r="F17" s="32" t="s">
        <v>43</v>
      </c>
      <c r="G17" s="40" t="s">
        <v>25</v>
      </c>
      <c r="H17" s="40"/>
      <c r="I17" s="40"/>
      <c r="J17" s="34">
        <v>15</v>
      </c>
      <c r="K17" s="35">
        <v>24730</v>
      </c>
      <c r="L17" s="36">
        <v>0.19</v>
      </c>
      <c r="M17" s="85">
        <f t="shared" si="0"/>
        <v>370950</v>
      </c>
      <c r="N17" s="207">
        <v>0</v>
      </c>
      <c r="O17" s="86">
        <v>0.19</v>
      </c>
      <c r="P17" s="241">
        <f t="shared" si="1"/>
        <v>0</v>
      </c>
      <c r="Q17" s="39">
        <v>23550</v>
      </c>
      <c r="R17" s="36">
        <v>0.19</v>
      </c>
      <c r="S17" s="37">
        <f t="shared" si="2"/>
        <v>353250</v>
      </c>
      <c r="T17" s="37">
        <v>0</v>
      </c>
      <c r="U17" s="36">
        <v>0.19</v>
      </c>
      <c r="V17" s="37">
        <f t="shared" si="3"/>
        <v>0</v>
      </c>
      <c r="W17" s="37">
        <v>0</v>
      </c>
      <c r="X17" s="455">
        <v>0.19</v>
      </c>
      <c r="Y17" s="456">
        <f t="shared" si="4"/>
        <v>0</v>
      </c>
      <c r="Z17" s="457">
        <f t="shared" si="5"/>
        <v>12070</v>
      </c>
      <c r="AA17" s="455">
        <v>0.19</v>
      </c>
      <c r="AB17" s="458">
        <f t="shared" si="6"/>
        <v>181050</v>
      </c>
      <c r="AC17" s="452"/>
      <c r="AD17" s="452"/>
      <c r="AE17" s="452"/>
      <c r="AF17" s="452"/>
      <c r="AG17" s="452"/>
      <c r="AH17" s="452"/>
      <c r="AI17" s="452"/>
      <c r="AJ17" s="452"/>
      <c r="AK17" s="452"/>
      <c r="AL17" s="452"/>
      <c r="AM17" s="452"/>
      <c r="AN17" s="452"/>
      <c r="AO17" s="452"/>
      <c r="AP17" s="452"/>
      <c r="AQ17" s="452"/>
      <c r="AR17" s="452"/>
      <c r="AS17" s="452"/>
      <c r="AT17" s="452"/>
      <c r="AU17" s="452"/>
      <c r="AV17" s="452"/>
      <c r="AW17" s="452"/>
      <c r="AX17" s="452"/>
    </row>
    <row r="18" spans="1:50" s="26" customFormat="1" ht="225" customHeight="1" x14ac:dyDescent="0.25">
      <c r="A18" s="27">
        <v>5</v>
      </c>
      <c r="B18" s="28" t="s">
        <v>19</v>
      </c>
      <c r="C18" s="29" t="s">
        <v>44</v>
      </c>
      <c r="D18" s="30">
        <v>42121506</v>
      </c>
      <c r="E18" s="31">
        <v>13</v>
      </c>
      <c r="F18" s="32" t="s">
        <v>45</v>
      </c>
      <c r="G18" s="40" t="s">
        <v>21</v>
      </c>
      <c r="H18" s="40"/>
      <c r="I18" s="40"/>
      <c r="J18" s="34">
        <v>15</v>
      </c>
      <c r="K18" s="35">
        <v>0</v>
      </c>
      <c r="L18" s="36">
        <v>0.19</v>
      </c>
      <c r="M18" s="85">
        <f t="shared" si="0"/>
        <v>0</v>
      </c>
      <c r="N18" s="207">
        <v>0</v>
      </c>
      <c r="O18" s="86">
        <v>0.19</v>
      </c>
      <c r="P18" s="241">
        <f t="shared" si="1"/>
        <v>0</v>
      </c>
      <c r="Q18" s="39">
        <v>57500</v>
      </c>
      <c r="R18" s="36">
        <v>0.19</v>
      </c>
      <c r="S18" s="37">
        <f t="shared" si="2"/>
        <v>862500</v>
      </c>
      <c r="T18" s="39">
        <v>105042</v>
      </c>
      <c r="U18" s="36">
        <v>0.19</v>
      </c>
      <c r="V18" s="37">
        <f t="shared" si="3"/>
        <v>1575630</v>
      </c>
      <c r="W18" s="37">
        <v>0</v>
      </c>
      <c r="X18" s="455">
        <v>0.19</v>
      </c>
      <c r="Y18" s="456">
        <f t="shared" si="4"/>
        <v>0</v>
      </c>
      <c r="Z18" s="457">
        <f>SUM(K18+N18+Q18+T18+W18)/2</f>
        <v>81271</v>
      </c>
      <c r="AA18" s="455">
        <v>0.19</v>
      </c>
      <c r="AB18" s="458">
        <f t="shared" si="6"/>
        <v>1219065</v>
      </c>
      <c r="AC18" s="452"/>
      <c r="AD18" s="452"/>
      <c r="AE18" s="452"/>
      <c r="AF18" s="452"/>
      <c r="AG18" s="452"/>
      <c r="AH18" s="452"/>
      <c r="AI18" s="452"/>
      <c r="AJ18" s="452"/>
      <c r="AK18" s="452"/>
      <c r="AL18" s="452"/>
      <c r="AM18" s="452"/>
      <c r="AN18" s="452"/>
      <c r="AO18" s="452"/>
      <c r="AP18" s="452"/>
      <c r="AQ18" s="452"/>
      <c r="AR18" s="452"/>
      <c r="AS18" s="452"/>
      <c r="AT18" s="452"/>
      <c r="AU18" s="452"/>
      <c r="AV18" s="452"/>
      <c r="AW18" s="452"/>
      <c r="AX18" s="452"/>
    </row>
    <row r="19" spans="1:50" s="26" customFormat="1" ht="61.2" customHeight="1" x14ac:dyDescent="0.25">
      <c r="A19" s="27">
        <v>5</v>
      </c>
      <c r="B19" s="41" t="s">
        <v>27</v>
      </c>
      <c r="C19" s="29">
        <v>284136</v>
      </c>
      <c r="D19" s="30">
        <v>42121500</v>
      </c>
      <c r="E19" s="31">
        <v>14</v>
      </c>
      <c r="F19" s="32" t="s">
        <v>46</v>
      </c>
      <c r="G19" s="40" t="s">
        <v>25</v>
      </c>
      <c r="H19" s="40"/>
      <c r="I19" s="40"/>
      <c r="J19" s="34">
        <v>15</v>
      </c>
      <c r="K19" s="35">
        <v>0</v>
      </c>
      <c r="L19" s="36">
        <v>0</v>
      </c>
      <c r="M19" s="85">
        <f t="shared" si="0"/>
        <v>0</v>
      </c>
      <c r="N19" s="207">
        <v>0</v>
      </c>
      <c r="O19" s="86">
        <v>0</v>
      </c>
      <c r="P19" s="241">
        <f t="shared" si="1"/>
        <v>0</v>
      </c>
      <c r="Q19" s="39">
        <v>18200</v>
      </c>
      <c r="R19" s="36">
        <v>0</v>
      </c>
      <c r="S19" s="37">
        <f t="shared" si="2"/>
        <v>273000</v>
      </c>
      <c r="T19" s="39">
        <v>21000</v>
      </c>
      <c r="U19" s="36">
        <v>0</v>
      </c>
      <c r="V19" s="37">
        <f t="shared" si="3"/>
        <v>315000</v>
      </c>
      <c r="W19" s="37">
        <v>22900</v>
      </c>
      <c r="X19" s="455">
        <v>0</v>
      </c>
      <c r="Y19" s="456">
        <f t="shared" si="4"/>
        <v>343500</v>
      </c>
      <c r="Z19" s="457">
        <f>SUM(K19+N19+Q19+T19+W19)/3</f>
        <v>20700</v>
      </c>
      <c r="AA19" s="455">
        <v>0</v>
      </c>
      <c r="AB19" s="458">
        <f t="shared" si="6"/>
        <v>310500</v>
      </c>
      <c r="AC19" s="452"/>
      <c r="AD19" s="452"/>
      <c r="AE19" s="452"/>
      <c r="AF19" s="452"/>
      <c r="AG19" s="452"/>
      <c r="AH19" s="452"/>
      <c r="AI19" s="452"/>
      <c r="AJ19" s="452"/>
      <c r="AK19" s="452"/>
      <c r="AL19" s="452"/>
      <c r="AM19" s="452"/>
      <c r="AN19" s="452"/>
      <c r="AO19" s="452"/>
      <c r="AP19" s="452"/>
      <c r="AQ19" s="452"/>
      <c r="AR19" s="452"/>
      <c r="AS19" s="452"/>
      <c r="AT19" s="452"/>
      <c r="AU19" s="452"/>
      <c r="AV19" s="452"/>
      <c r="AW19" s="452"/>
      <c r="AX19" s="452"/>
    </row>
    <row r="20" spans="1:50" s="26" customFormat="1" ht="15" x14ac:dyDescent="0.25">
      <c r="A20" s="27">
        <v>5</v>
      </c>
      <c r="B20" s="41" t="s">
        <v>27</v>
      </c>
      <c r="C20" s="41">
        <v>240674</v>
      </c>
      <c r="D20" s="30">
        <v>42121604</v>
      </c>
      <c r="E20" s="31">
        <v>15</v>
      </c>
      <c r="F20" s="32" t="s">
        <v>47</v>
      </c>
      <c r="G20" s="40" t="s">
        <v>48</v>
      </c>
      <c r="H20" s="40"/>
      <c r="I20" s="40"/>
      <c r="J20" s="34">
        <v>20</v>
      </c>
      <c r="K20" s="35">
        <v>135393</v>
      </c>
      <c r="L20" s="36">
        <v>0</v>
      </c>
      <c r="M20" s="85">
        <f t="shared" si="0"/>
        <v>2707860</v>
      </c>
      <c r="N20" s="207">
        <v>148825</v>
      </c>
      <c r="O20" s="86">
        <v>0</v>
      </c>
      <c r="P20" s="241">
        <f t="shared" si="1"/>
        <v>2976500</v>
      </c>
      <c r="Q20" s="39">
        <v>146850</v>
      </c>
      <c r="R20" s="36">
        <v>0</v>
      </c>
      <c r="S20" s="37">
        <f t="shared" si="2"/>
        <v>2937000</v>
      </c>
      <c r="T20" s="37">
        <v>0</v>
      </c>
      <c r="U20" s="36">
        <v>0</v>
      </c>
      <c r="V20" s="37">
        <f t="shared" si="3"/>
        <v>0</v>
      </c>
      <c r="W20" s="37">
        <v>126700</v>
      </c>
      <c r="X20" s="455">
        <v>0</v>
      </c>
      <c r="Y20" s="456">
        <f t="shared" si="4"/>
        <v>2534000</v>
      </c>
      <c r="Z20" s="457">
        <f t="shared" si="5"/>
        <v>139442</v>
      </c>
      <c r="AA20" s="455">
        <v>0</v>
      </c>
      <c r="AB20" s="458">
        <f t="shared" si="6"/>
        <v>2788840</v>
      </c>
      <c r="AC20" s="452"/>
      <c r="AD20" s="452"/>
      <c r="AE20" s="452"/>
      <c r="AF20" s="452"/>
      <c r="AG20" s="452"/>
      <c r="AH20" s="452"/>
      <c r="AI20" s="452"/>
      <c r="AJ20" s="452"/>
      <c r="AK20" s="452"/>
      <c r="AL20" s="452"/>
      <c r="AM20" s="452"/>
      <c r="AN20" s="452"/>
      <c r="AO20" s="452"/>
      <c r="AP20" s="452"/>
      <c r="AQ20" s="452"/>
      <c r="AR20" s="452"/>
      <c r="AS20" s="452"/>
      <c r="AT20" s="452"/>
      <c r="AU20" s="452"/>
      <c r="AV20" s="452"/>
      <c r="AW20" s="452"/>
      <c r="AX20" s="452"/>
    </row>
    <row r="21" spans="1:50" s="26" customFormat="1" ht="15" x14ac:dyDescent="0.25">
      <c r="A21" s="27">
        <v>5</v>
      </c>
      <c r="B21" s="41" t="s">
        <v>27</v>
      </c>
      <c r="C21" s="41">
        <v>236171</v>
      </c>
      <c r="D21" s="30">
        <v>42121605</v>
      </c>
      <c r="E21" s="31">
        <v>16</v>
      </c>
      <c r="F21" s="32" t="s">
        <v>49</v>
      </c>
      <c r="G21" s="40" t="s">
        <v>50</v>
      </c>
      <c r="H21" s="40"/>
      <c r="I21" s="40"/>
      <c r="J21" s="34">
        <v>20</v>
      </c>
      <c r="K21" s="35">
        <v>27940</v>
      </c>
      <c r="L21" s="36">
        <v>0</v>
      </c>
      <c r="M21" s="85">
        <f t="shared" si="0"/>
        <v>558800</v>
      </c>
      <c r="N21" s="207">
        <v>30775</v>
      </c>
      <c r="O21" s="86">
        <v>0</v>
      </c>
      <c r="P21" s="241">
        <f t="shared" si="1"/>
        <v>615500</v>
      </c>
      <c r="Q21" s="39">
        <v>31750</v>
      </c>
      <c r="R21" s="36">
        <v>0</v>
      </c>
      <c r="S21" s="37">
        <f t="shared" si="2"/>
        <v>635000</v>
      </c>
      <c r="T21" s="37">
        <v>0</v>
      </c>
      <c r="U21" s="36">
        <v>0</v>
      </c>
      <c r="V21" s="37">
        <f t="shared" si="3"/>
        <v>0</v>
      </c>
      <c r="W21" s="37">
        <v>28500</v>
      </c>
      <c r="X21" s="455">
        <v>0</v>
      </c>
      <c r="Y21" s="456">
        <f t="shared" si="4"/>
        <v>570000</v>
      </c>
      <c r="Z21" s="457">
        <f t="shared" si="5"/>
        <v>29741.25</v>
      </c>
      <c r="AA21" s="455">
        <v>0</v>
      </c>
      <c r="AB21" s="458">
        <f t="shared" si="6"/>
        <v>594825</v>
      </c>
      <c r="AC21" s="452"/>
      <c r="AD21" s="452"/>
      <c r="AE21" s="452"/>
      <c r="AF21" s="452"/>
      <c r="AG21" s="452"/>
      <c r="AH21" s="452"/>
      <c r="AI21" s="452"/>
      <c r="AJ21" s="452"/>
      <c r="AK21" s="452"/>
      <c r="AL21" s="452"/>
      <c r="AM21" s="452"/>
      <c r="AN21" s="452"/>
      <c r="AO21" s="452"/>
      <c r="AP21" s="452"/>
      <c r="AQ21" s="452"/>
      <c r="AR21" s="452"/>
      <c r="AS21" s="452"/>
      <c r="AT21" s="452"/>
      <c r="AU21" s="452"/>
      <c r="AV21" s="452"/>
      <c r="AW21" s="452"/>
      <c r="AX21" s="452"/>
    </row>
    <row r="22" spans="1:50" s="26" customFormat="1" ht="15" x14ac:dyDescent="0.25">
      <c r="A22" s="27">
        <v>5</v>
      </c>
      <c r="B22" s="41" t="s">
        <v>27</v>
      </c>
      <c r="C22" s="41">
        <v>247867</v>
      </c>
      <c r="D22" s="30">
        <v>42121604</v>
      </c>
      <c r="E22" s="31">
        <v>17</v>
      </c>
      <c r="F22" s="32" t="s">
        <v>51</v>
      </c>
      <c r="G22" s="40" t="s">
        <v>48</v>
      </c>
      <c r="H22" s="40"/>
      <c r="I22" s="40"/>
      <c r="J22" s="34">
        <v>20</v>
      </c>
      <c r="K22" s="35">
        <v>43324</v>
      </c>
      <c r="L22" s="36">
        <v>0</v>
      </c>
      <c r="M22" s="85">
        <f t="shared" si="0"/>
        <v>866480</v>
      </c>
      <c r="N22" s="207">
        <v>47723</v>
      </c>
      <c r="O22" s="86">
        <v>0</v>
      </c>
      <c r="P22" s="241">
        <f t="shared" si="1"/>
        <v>954460</v>
      </c>
      <c r="Q22" s="39">
        <v>47150</v>
      </c>
      <c r="R22" s="36">
        <v>0</v>
      </c>
      <c r="S22" s="37">
        <f t="shared" si="2"/>
        <v>943000</v>
      </c>
      <c r="T22" s="37">
        <v>0</v>
      </c>
      <c r="U22" s="36">
        <v>0</v>
      </c>
      <c r="V22" s="37">
        <f t="shared" si="3"/>
        <v>0</v>
      </c>
      <c r="W22" s="37">
        <v>43800</v>
      </c>
      <c r="X22" s="455">
        <v>0</v>
      </c>
      <c r="Y22" s="456">
        <f t="shared" si="4"/>
        <v>876000</v>
      </c>
      <c r="Z22" s="457">
        <f t="shared" si="5"/>
        <v>45499.25</v>
      </c>
      <c r="AA22" s="455">
        <v>0</v>
      </c>
      <c r="AB22" s="458">
        <f t="shared" si="6"/>
        <v>909985</v>
      </c>
      <c r="AC22" s="452"/>
      <c r="AD22" s="452"/>
      <c r="AE22" s="452"/>
      <c r="AF22" s="452"/>
      <c r="AG22" s="452"/>
      <c r="AH22" s="452"/>
      <c r="AI22" s="452"/>
      <c r="AJ22" s="452"/>
      <c r="AK22" s="452"/>
      <c r="AL22" s="452"/>
      <c r="AM22" s="452"/>
      <c r="AN22" s="452"/>
      <c r="AO22" s="452"/>
      <c r="AP22" s="452"/>
      <c r="AQ22" s="452"/>
      <c r="AR22" s="452"/>
      <c r="AS22" s="452"/>
      <c r="AT22" s="452"/>
      <c r="AU22" s="452"/>
      <c r="AV22" s="452"/>
      <c r="AW22" s="452"/>
      <c r="AX22" s="452"/>
    </row>
    <row r="23" spans="1:50" s="26" customFormat="1" ht="75" x14ac:dyDescent="0.25">
      <c r="A23" s="43">
        <v>5</v>
      </c>
      <c r="B23" s="44">
        <v>231802</v>
      </c>
      <c r="C23" s="44">
        <v>121102402</v>
      </c>
      <c r="D23" s="31">
        <v>10101903</v>
      </c>
      <c r="E23" s="31">
        <v>18</v>
      </c>
      <c r="F23" s="45" t="s">
        <v>52</v>
      </c>
      <c r="G23" s="46" t="s">
        <v>25</v>
      </c>
      <c r="H23" s="46"/>
      <c r="I23" s="46"/>
      <c r="J23" s="27">
        <v>25</v>
      </c>
      <c r="K23" s="47">
        <v>200000</v>
      </c>
      <c r="L23" s="36">
        <v>0</v>
      </c>
      <c r="M23" s="198">
        <f>K23*J23</f>
        <v>5000000</v>
      </c>
      <c r="N23" s="208">
        <v>260000</v>
      </c>
      <c r="O23" s="86">
        <v>0</v>
      </c>
      <c r="P23" s="95">
        <f>N23*J23</f>
        <v>6500000</v>
      </c>
      <c r="Q23" s="49">
        <v>280000</v>
      </c>
      <c r="R23" s="36">
        <v>0</v>
      </c>
      <c r="S23" s="48">
        <f>Q23*J23</f>
        <v>7000000</v>
      </c>
      <c r="T23" s="35">
        <f>SUM(K23+N23+Q23)/3</f>
        <v>246666.66666666666</v>
      </c>
      <c r="U23" s="36">
        <v>0</v>
      </c>
      <c r="V23" s="35">
        <f>T23*J23</f>
        <v>6166666.666666666</v>
      </c>
      <c r="X23" s="452"/>
      <c r="Y23" s="452"/>
      <c r="Z23" s="452"/>
      <c r="AA23" s="452"/>
      <c r="AB23" s="531">
        <f>V23</f>
        <v>6166666.666666666</v>
      </c>
      <c r="AC23" s="452"/>
      <c r="AD23" s="452"/>
      <c r="AE23" s="452"/>
      <c r="AF23" s="452"/>
      <c r="AG23" s="452"/>
      <c r="AH23" s="452"/>
      <c r="AI23" s="452"/>
      <c r="AJ23" s="452"/>
      <c r="AK23" s="452"/>
      <c r="AL23" s="452"/>
      <c r="AM23" s="452"/>
      <c r="AN23" s="452"/>
      <c r="AO23" s="452"/>
      <c r="AP23" s="452"/>
      <c r="AQ23" s="452"/>
      <c r="AR23" s="452"/>
      <c r="AS23" s="452"/>
      <c r="AT23" s="452"/>
      <c r="AU23" s="452"/>
      <c r="AV23" s="452"/>
      <c r="AW23" s="452"/>
      <c r="AX23" s="452"/>
    </row>
    <row r="24" spans="1:50" s="26" customFormat="1" ht="94.95" customHeight="1" x14ac:dyDescent="0.25">
      <c r="A24" s="43">
        <v>5</v>
      </c>
      <c r="B24" s="44">
        <v>231803</v>
      </c>
      <c r="C24" s="44">
        <v>121102402</v>
      </c>
      <c r="D24" s="31">
        <v>21102401</v>
      </c>
      <c r="E24" s="31">
        <v>19</v>
      </c>
      <c r="F24" s="45" t="s">
        <v>53</v>
      </c>
      <c r="G24" s="46" t="s">
        <v>25</v>
      </c>
      <c r="H24" s="46"/>
      <c r="I24" s="46"/>
      <c r="J24" s="27">
        <v>25</v>
      </c>
      <c r="K24" s="47">
        <v>31000</v>
      </c>
      <c r="L24" s="36">
        <v>0</v>
      </c>
      <c r="M24" s="198">
        <f t="shared" ref="M24:M38" si="7">K24*J24</f>
        <v>775000</v>
      </c>
      <c r="N24" s="208">
        <v>43000</v>
      </c>
      <c r="O24" s="86">
        <v>0</v>
      </c>
      <c r="P24" s="95">
        <f t="shared" ref="P24:P38" si="8">N24*J24</f>
        <v>1075000</v>
      </c>
      <c r="Q24" s="49">
        <v>45000</v>
      </c>
      <c r="R24" s="36">
        <v>0</v>
      </c>
      <c r="S24" s="48">
        <f t="shared" ref="S24:S38" si="9">Q24*J24</f>
        <v>1125000</v>
      </c>
      <c r="T24" s="35">
        <f t="shared" ref="T24:T38" si="10">SUM(K24+N24+Q24)/3</f>
        <v>39666.666666666664</v>
      </c>
      <c r="U24" s="36">
        <v>0</v>
      </c>
      <c r="V24" s="35">
        <f t="shared" ref="V24:V38" si="11">T24*J24</f>
        <v>991666.66666666663</v>
      </c>
      <c r="X24" s="452"/>
      <c r="Y24" s="452"/>
      <c r="Z24" s="452"/>
      <c r="AA24" s="452"/>
      <c r="AB24" s="531">
        <f t="shared" ref="AB24:AB38" si="12">V24</f>
        <v>991666.66666666663</v>
      </c>
      <c r="AC24" s="452"/>
      <c r="AD24" s="452"/>
      <c r="AE24" s="452"/>
      <c r="AF24" s="452"/>
      <c r="AG24" s="452"/>
      <c r="AH24" s="452"/>
      <c r="AI24" s="452"/>
      <c r="AJ24" s="452"/>
      <c r="AK24" s="452"/>
      <c r="AL24" s="452"/>
      <c r="AM24" s="452"/>
      <c r="AN24" s="452"/>
      <c r="AO24" s="452"/>
      <c r="AP24" s="452"/>
      <c r="AQ24" s="452"/>
      <c r="AR24" s="452"/>
      <c r="AS24" s="452"/>
      <c r="AT24" s="452"/>
      <c r="AU24" s="452"/>
      <c r="AV24" s="452"/>
      <c r="AW24" s="452"/>
      <c r="AX24" s="452"/>
    </row>
    <row r="25" spans="1:50" s="26" customFormat="1" ht="45" x14ac:dyDescent="0.25">
      <c r="A25" s="43">
        <v>5</v>
      </c>
      <c r="B25" s="44">
        <v>231804</v>
      </c>
      <c r="C25" s="44">
        <v>121102402</v>
      </c>
      <c r="D25" s="31">
        <v>21102401</v>
      </c>
      <c r="E25" s="31">
        <v>20</v>
      </c>
      <c r="F25" s="45" t="s">
        <v>54</v>
      </c>
      <c r="G25" s="46" t="s">
        <v>25</v>
      </c>
      <c r="H25" s="46"/>
      <c r="I25" s="46"/>
      <c r="J25" s="27">
        <v>260</v>
      </c>
      <c r="K25" s="47">
        <v>2900</v>
      </c>
      <c r="L25" s="36">
        <v>0</v>
      </c>
      <c r="M25" s="198">
        <f t="shared" si="7"/>
        <v>754000</v>
      </c>
      <c r="N25" s="208">
        <v>3900</v>
      </c>
      <c r="O25" s="86">
        <v>0</v>
      </c>
      <c r="P25" s="95">
        <f t="shared" si="8"/>
        <v>1014000</v>
      </c>
      <c r="Q25" s="49">
        <v>4200</v>
      </c>
      <c r="R25" s="36">
        <v>0</v>
      </c>
      <c r="S25" s="48">
        <f t="shared" si="9"/>
        <v>1092000</v>
      </c>
      <c r="T25" s="35">
        <f t="shared" si="10"/>
        <v>3666.6666666666665</v>
      </c>
      <c r="U25" s="36">
        <v>0</v>
      </c>
      <c r="V25" s="35">
        <f t="shared" si="11"/>
        <v>953333.33333333326</v>
      </c>
      <c r="X25" s="452"/>
      <c r="Y25" s="452"/>
      <c r="Z25" s="452"/>
      <c r="AA25" s="452"/>
      <c r="AB25" s="531">
        <f t="shared" si="12"/>
        <v>953333.33333333326</v>
      </c>
      <c r="AC25" s="452"/>
      <c r="AD25" s="452"/>
      <c r="AE25" s="452"/>
      <c r="AF25" s="452"/>
      <c r="AG25" s="452"/>
      <c r="AH25" s="452"/>
      <c r="AI25" s="452"/>
      <c r="AJ25" s="452"/>
      <c r="AK25" s="452"/>
      <c r="AL25" s="452"/>
      <c r="AM25" s="452"/>
      <c r="AN25" s="452"/>
      <c r="AO25" s="452"/>
      <c r="AP25" s="452"/>
      <c r="AQ25" s="452"/>
      <c r="AR25" s="452"/>
      <c r="AS25" s="452"/>
      <c r="AT25" s="452"/>
      <c r="AU25" s="452"/>
      <c r="AV25" s="452"/>
      <c r="AW25" s="452"/>
      <c r="AX25" s="452"/>
    </row>
    <row r="26" spans="1:50" s="26" customFormat="1" ht="60" x14ac:dyDescent="0.25">
      <c r="A26" s="43">
        <v>5</v>
      </c>
      <c r="B26" s="44">
        <v>231805</v>
      </c>
      <c r="C26" s="44">
        <v>121102402</v>
      </c>
      <c r="D26" s="31">
        <v>21102401</v>
      </c>
      <c r="E26" s="31">
        <v>21</v>
      </c>
      <c r="F26" s="45" t="s">
        <v>55</v>
      </c>
      <c r="G26" s="46" t="s">
        <v>25</v>
      </c>
      <c r="H26" s="46"/>
      <c r="I26" s="46"/>
      <c r="J26" s="27">
        <v>260</v>
      </c>
      <c r="K26" s="47">
        <v>3300</v>
      </c>
      <c r="L26" s="36">
        <v>0</v>
      </c>
      <c r="M26" s="198">
        <f t="shared" si="7"/>
        <v>858000</v>
      </c>
      <c r="N26" s="208">
        <v>4300</v>
      </c>
      <c r="O26" s="86">
        <v>0</v>
      </c>
      <c r="P26" s="95">
        <f t="shared" si="8"/>
        <v>1118000</v>
      </c>
      <c r="Q26" s="49">
        <v>4400</v>
      </c>
      <c r="R26" s="36">
        <v>0</v>
      </c>
      <c r="S26" s="48">
        <f t="shared" si="9"/>
        <v>1144000</v>
      </c>
      <c r="T26" s="35">
        <f t="shared" si="10"/>
        <v>4000</v>
      </c>
      <c r="U26" s="36">
        <v>0</v>
      </c>
      <c r="V26" s="35">
        <f t="shared" si="11"/>
        <v>1040000</v>
      </c>
      <c r="X26" s="452"/>
      <c r="Y26" s="452"/>
      <c r="Z26" s="452"/>
      <c r="AA26" s="452"/>
      <c r="AB26" s="531">
        <f t="shared" si="12"/>
        <v>1040000</v>
      </c>
      <c r="AC26" s="452"/>
      <c r="AD26" s="452"/>
      <c r="AE26" s="452"/>
      <c r="AF26" s="452"/>
      <c r="AG26" s="452"/>
      <c r="AH26" s="452"/>
      <c r="AI26" s="452"/>
      <c r="AJ26" s="452"/>
      <c r="AK26" s="452"/>
      <c r="AL26" s="452"/>
      <c r="AM26" s="452"/>
      <c r="AN26" s="452"/>
      <c r="AO26" s="452"/>
      <c r="AP26" s="452"/>
      <c r="AQ26" s="452"/>
      <c r="AR26" s="452"/>
      <c r="AS26" s="452"/>
      <c r="AT26" s="452"/>
      <c r="AU26" s="452"/>
      <c r="AV26" s="452"/>
      <c r="AW26" s="452"/>
      <c r="AX26" s="452"/>
    </row>
    <row r="27" spans="1:50" s="26" customFormat="1" ht="60" x14ac:dyDescent="0.25">
      <c r="A27" s="43">
        <v>5</v>
      </c>
      <c r="B27" s="44">
        <v>231806</v>
      </c>
      <c r="C27" s="44">
        <v>121102402</v>
      </c>
      <c r="D27" s="31">
        <v>21102401</v>
      </c>
      <c r="E27" s="31">
        <v>22</v>
      </c>
      <c r="F27" s="45" t="s">
        <v>56</v>
      </c>
      <c r="G27" s="46" t="s">
        <v>25</v>
      </c>
      <c r="H27" s="46"/>
      <c r="I27" s="46"/>
      <c r="J27" s="27">
        <v>30</v>
      </c>
      <c r="K27" s="47">
        <v>21000</v>
      </c>
      <c r="L27" s="36">
        <v>0</v>
      </c>
      <c r="M27" s="198">
        <f t="shared" si="7"/>
        <v>630000</v>
      </c>
      <c r="N27" s="208">
        <v>29000</v>
      </c>
      <c r="O27" s="86">
        <v>0</v>
      </c>
      <c r="P27" s="95">
        <f t="shared" si="8"/>
        <v>870000</v>
      </c>
      <c r="Q27" s="49">
        <v>32000</v>
      </c>
      <c r="R27" s="36">
        <v>0</v>
      </c>
      <c r="S27" s="48">
        <f t="shared" si="9"/>
        <v>960000</v>
      </c>
      <c r="T27" s="35">
        <f t="shared" si="10"/>
        <v>27333.333333333332</v>
      </c>
      <c r="U27" s="36">
        <v>0</v>
      </c>
      <c r="V27" s="35">
        <f t="shared" si="11"/>
        <v>820000</v>
      </c>
      <c r="X27" s="452"/>
      <c r="Y27" s="764"/>
      <c r="Z27" s="452"/>
      <c r="AA27" s="452"/>
      <c r="AB27" s="531">
        <f t="shared" si="12"/>
        <v>820000</v>
      </c>
      <c r="AC27" s="452"/>
      <c r="AD27" s="452"/>
      <c r="AE27" s="452"/>
      <c r="AF27" s="452"/>
      <c r="AG27" s="452"/>
      <c r="AH27" s="452"/>
      <c r="AI27" s="452"/>
      <c r="AJ27" s="452"/>
      <c r="AK27" s="452"/>
      <c r="AL27" s="452"/>
      <c r="AM27" s="452"/>
      <c r="AN27" s="452"/>
      <c r="AO27" s="452"/>
      <c r="AP27" s="452"/>
      <c r="AQ27" s="452"/>
      <c r="AR27" s="452"/>
      <c r="AS27" s="452"/>
      <c r="AT27" s="452"/>
      <c r="AU27" s="452"/>
      <c r="AV27" s="452"/>
      <c r="AW27" s="452"/>
      <c r="AX27" s="452"/>
    </row>
    <row r="28" spans="1:50" s="26" customFormat="1" ht="45" x14ac:dyDescent="0.25">
      <c r="A28" s="43">
        <v>5</v>
      </c>
      <c r="B28" s="44">
        <v>231807</v>
      </c>
      <c r="C28" s="44">
        <v>121102402</v>
      </c>
      <c r="D28" s="31">
        <v>21102401</v>
      </c>
      <c r="E28" s="31">
        <v>23</v>
      </c>
      <c r="F28" s="45" t="s">
        <v>57</v>
      </c>
      <c r="G28" s="46" t="s">
        <v>25</v>
      </c>
      <c r="H28" s="46"/>
      <c r="I28" s="46"/>
      <c r="J28" s="27">
        <v>30</v>
      </c>
      <c r="K28" s="47">
        <v>20000</v>
      </c>
      <c r="L28" s="36">
        <v>0</v>
      </c>
      <c r="M28" s="198">
        <f t="shared" si="7"/>
        <v>600000</v>
      </c>
      <c r="N28" s="208">
        <v>27000</v>
      </c>
      <c r="O28" s="86">
        <v>0</v>
      </c>
      <c r="P28" s="95">
        <f t="shared" si="8"/>
        <v>810000</v>
      </c>
      <c r="Q28" s="49">
        <v>28000</v>
      </c>
      <c r="R28" s="36">
        <v>0</v>
      </c>
      <c r="S28" s="48">
        <f t="shared" si="9"/>
        <v>840000</v>
      </c>
      <c r="T28" s="35">
        <f t="shared" si="10"/>
        <v>25000</v>
      </c>
      <c r="U28" s="36">
        <v>0</v>
      </c>
      <c r="V28" s="35">
        <f t="shared" si="11"/>
        <v>750000</v>
      </c>
      <c r="X28" s="452"/>
      <c r="Y28" s="765"/>
      <c r="Z28" s="452"/>
      <c r="AA28" s="452"/>
      <c r="AB28" s="531">
        <f t="shared" si="12"/>
        <v>750000</v>
      </c>
      <c r="AC28" s="452"/>
      <c r="AD28" s="452"/>
      <c r="AE28" s="452"/>
      <c r="AF28" s="452"/>
      <c r="AG28" s="452"/>
      <c r="AH28" s="452"/>
      <c r="AI28" s="452"/>
      <c r="AJ28" s="452"/>
      <c r="AK28" s="452"/>
      <c r="AL28" s="452"/>
      <c r="AM28" s="452"/>
      <c r="AN28" s="452"/>
      <c r="AO28" s="452"/>
      <c r="AP28" s="452"/>
      <c r="AQ28" s="452"/>
      <c r="AR28" s="452"/>
      <c r="AS28" s="452"/>
      <c r="AT28" s="452"/>
      <c r="AU28" s="452"/>
      <c r="AV28" s="452"/>
      <c r="AW28" s="452"/>
      <c r="AX28" s="452"/>
    </row>
    <row r="29" spans="1:50" s="26" customFormat="1" ht="45" x14ac:dyDescent="0.25">
      <c r="A29" s="43">
        <v>5</v>
      </c>
      <c r="B29" s="44">
        <v>250978</v>
      </c>
      <c r="C29" s="44">
        <v>121102402</v>
      </c>
      <c r="D29" s="31">
        <v>21102401</v>
      </c>
      <c r="E29" s="31">
        <v>24</v>
      </c>
      <c r="F29" s="45" t="s">
        <v>58</v>
      </c>
      <c r="G29" s="46" t="s">
        <v>25</v>
      </c>
      <c r="H29" s="46"/>
      <c r="I29" s="46"/>
      <c r="J29" s="27">
        <v>55</v>
      </c>
      <c r="K29" s="47">
        <v>27000</v>
      </c>
      <c r="L29" s="36">
        <v>0</v>
      </c>
      <c r="M29" s="198">
        <f t="shared" si="7"/>
        <v>1485000</v>
      </c>
      <c r="N29" s="208">
        <v>37000</v>
      </c>
      <c r="O29" s="86">
        <v>0</v>
      </c>
      <c r="P29" s="95">
        <f t="shared" si="8"/>
        <v>2035000</v>
      </c>
      <c r="Q29" s="49">
        <v>39000</v>
      </c>
      <c r="R29" s="36">
        <v>0</v>
      </c>
      <c r="S29" s="48">
        <f t="shared" si="9"/>
        <v>2145000</v>
      </c>
      <c r="T29" s="35">
        <f t="shared" si="10"/>
        <v>34333.333333333336</v>
      </c>
      <c r="U29" s="36">
        <v>0</v>
      </c>
      <c r="V29" s="35">
        <f t="shared" si="11"/>
        <v>1888333.3333333335</v>
      </c>
      <c r="X29" s="452"/>
      <c r="Y29" s="765"/>
      <c r="Z29" s="452"/>
      <c r="AA29" s="452"/>
      <c r="AB29" s="531">
        <f t="shared" si="12"/>
        <v>1888333.3333333335</v>
      </c>
      <c r="AC29" s="452"/>
      <c r="AD29" s="452"/>
      <c r="AE29" s="452"/>
      <c r="AF29" s="452"/>
      <c r="AG29" s="452"/>
      <c r="AH29" s="452"/>
      <c r="AI29" s="452"/>
      <c r="AJ29" s="452"/>
      <c r="AK29" s="452"/>
      <c r="AL29" s="452"/>
      <c r="AM29" s="452"/>
      <c r="AN29" s="452"/>
      <c r="AO29" s="452"/>
      <c r="AP29" s="452"/>
      <c r="AQ29" s="452"/>
      <c r="AR29" s="452"/>
      <c r="AS29" s="452"/>
      <c r="AT29" s="452"/>
      <c r="AU29" s="452"/>
      <c r="AV29" s="452"/>
      <c r="AW29" s="452"/>
      <c r="AX29" s="452"/>
    </row>
    <row r="30" spans="1:50" s="26" customFormat="1" ht="60" x14ac:dyDescent="0.25">
      <c r="A30" s="43">
        <v>5</v>
      </c>
      <c r="B30" s="44">
        <v>231804</v>
      </c>
      <c r="C30" s="44">
        <v>121102402</v>
      </c>
      <c r="D30" s="31">
        <v>10121702</v>
      </c>
      <c r="E30" s="31">
        <v>25</v>
      </c>
      <c r="F30" s="45" t="s">
        <v>59</v>
      </c>
      <c r="G30" s="46" t="s">
        <v>25</v>
      </c>
      <c r="H30" s="46"/>
      <c r="I30" s="46"/>
      <c r="J30" s="27">
        <v>390</v>
      </c>
      <c r="K30" s="47">
        <v>2500</v>
      </c>
      <c r="L30" s="36">
        <v>0</v>
      </c>
      <c r="M30" s="198">
        <f t="shared" si="7"/>
        <v>975000</v>
      </c>
      <c r="N30" s="208">
        <v>3400</v>
      </c>
      <c r="O30" s="86">
        <v>0</v>
      </c>
      <c r="P30" s="95">
        <f t="shared" si="8"/>
        <v>1326000</v>
      </c>
      <c r="Q30" s="49">
        <v>3600</v>
      </c>
      <c r="R30" s="36">
        <v>0</v>
      </c>
      <c r="S30" s="48">
        <f t="shared" si="9"/>
        <v>1404000</v>
      </c>
      <c r="T30" s="35">
        <f t="shared" si="10"/>
        <v>3166.6666666666665</v>
      </c>
      <c r="U30" s="36">
        <v>0</v>
      </c>
      <c r="V30" s="35">
        <f t="shared" si="11"/>
        <v>1235000</v>
      </c>
      <c r="X30" s="452"/>
      <c r="Y30" s="765"/>
      <c r="Z30" s="452"/>
      <c r="AA30" s="452"/>
      <c r="AB30" s="531">
        <f t="shared" si="12"/>
        <v>1235000</v>
      </c>
      <c r="AC30" s="452"/>
      <c r="AD30" s="452"/>
      <c r="AE30" s="452"/>
      <c r="AF30" s="452"/>
      <c r="AG30" s="452"/>
      <c r="AH30" s="452"/>
      <c r="AI30" s="452"/>
      <c r="AJ30" s="452"/>
      <c r="AK30" s="452"/>
      <c r="AL30" s="452"/>
      <c r="AM30" s="452"/>
      <c r="AN30" s="452"/>
      <c r="AO30" s="452"/>
      <c r="AP30" s="452"/>
      <c r="AQ30" s="452"/>
      <c r="AR30" s="452"/>
      <c r="AS30" s="452"/>
      <c r="AT30" s="452"/>
      <c r="AU30" s="452"/>
      <c r="AV30" s="452"/>
      <c r="AW30" s="452"/>
      <c r="AX30" s="452"/>
    </row>
    <row r="31" spans="1:50" s="26" customFormat="1" ht="60" x14ac:dyDescent="0.25">
      <c r="A31" s="43">
        <v>5</v>
      </c>
      <c r="B31" s="44">
        <v>231805</v>
      </c>
      <c r="C31" s="44">
        <v>121102402</v>
      </c>
      <c r="D31" s="31">
        <v>21102401</v>
      </c>
      <c r="E31" s="31">
        <v>26</v>
      </c>
      <c r="F31" s="45" t="s">
        <v>60</v>
      </c>
      <c r="G31" s="46" t="s">
        <v>25</v>
      </c>
      <c r="H31" s="46"/>
      <c r="I31" s="46"/>
      <c r="J31" s="27">
        <v>390</v>
      </c>
      <c r="K31" s="47">
        <v>1700</v>
      </c>
      <c r="L31" s="36">
        <v>0</v>
      </c>
      <c r="M31" s="198">
        <f t="shared" si="7"/>
        <v>663000</v>
      </c>
      <c r="N31" s="208">
        <v>2500</v>
      </c>
      <c r="O31" s="86">
        <v>0</v>
      </c>
      <c r="P31" s="95">
        <f t="shared" si="8"/>
        <v>975000</v>
      </c>
      <c r="Q31" s="49">
        <v>2700</v>
      </c>
      <c r="R31" s="36">
        <v>0</v>
      </c>
      <c r="S31" s="48">
        <f t="shared" si="9"/>
        <v>1053000</v>
      </c>
      <c r="T31" s="35">
        <f t="shared" si="10"/>
        <v>2300</v>
      </c>
      <c r="U31" s="36">
        <v>0</v>
      </c>
      <c r="V31" s="35">
        <f t="shared" si="11"/>
        <v>897000</v>
      </c>
      <c r="X31" s="452"/>
      <c r="Y31" s="765"/>
      <c r="Z31" s="452"/>
      <c r="AA31" s="452"/>
      <c r="AB31" s="531">
        <f t="shared" si="12"/>
        <v>897000</v>
      </c>
      <c r="AC31" s="452"/>
      <c r="AD31" s="452"/>
      <c r="AE31" s="452"/>
      <c r="AF31" s="452"/>
      <c r="AG31" s="452"/>
      <c r="AH31" s="452"/>
      <c r="AI31" s="452"/>
      <c r="AJ31" s="452"/>
      <c r="AK31" s="452"/>
      <c r="AL31" s="452"/>
      <c r="AM31" s="452"/>
      <c r="AN31" s="452"/>
      <c r="AO31" s="452"/>
      <c r="AP31" s="452"/>
      <c r="AQ31" s="452"/>
      <c r="AR31" s="452"/>
      <c r="AS31" s="452"/>
      <c r="AT31" s="452"/>
      <c r="AU31" s="452"/>
      <c r="AV31" s="452"/>
      <c r="AW31" s="452"/>
      <c r="AX31" s="452"/>
    </row>
    <row r="32" spans="1:50" s="26" customFormat="1" ht="45" x14ac:dyDescent="0.25">
      <c r="A32" s="43">
        <v>5</v>
      </c>
      <c r="B32" s="44">
        <v>266753</v>
      </c>
      <c r="C32" s="44">
        <v>121102402</v>
      </c>
      <c r="D32" s="31">
        <v>21102401</v>
      </c>
      <c r="E32" s="31">
        <v>27</v>
      </c>
      <c r="F32" s="45" t="s">
        <v>61</v>
      </c>
      <c r="G32" s="46" t="s">
        <v>25</v>
      </c>
      <c r="H32" s="46"/>
      <c r="I32" s="46"/>
      <c r="J32" s="27">
        <v>25</v>
      </c>
      <c r="K32" s="47">
        <v>17000</v>
      </c>
      <c r="L32" s="36">
        <v>0</v>
      </c>
      <c r="M32" s="198">
        <f t="shared" si="7"/>
        <v>425000</v>
      </c>
      <c r="N32" s="208">
        <v>23000</v>
      </c>
      <c r="O32" s="86">
        <v>0</v>
      </c>
      <c r="P32" s="95">
        <f t="shared" si="8"/>
        <v>575000</v>
      </c>
      <c r="Q32" s="49">
        <v>25000</v>
      </c>
      <c r="R32" s="36">
        <v>0</v>
      </c>
      <c r="S32" s="48">
        <f t="shared" si="9"/>
        <v>625000</v>
      </c>
      <c r="T32" s="35">
        <f t="shared" si="10"/>
        <v>21666.666666666668</v>
      </c>
      <c r="U32" s="36">
        <v>0</v>
      </c>
      <c r="V32" s="35">
        <f t="shared" si="11"/>
        <v>541666.66666666674</v>
      </c>
      <c r="X32" s="452"/>
      <c r="Y32" s="765"/>
      <c r="Z32" s="452"/>
      <c r="AA32" s="452"/>
      <c r="AB32" s="531">
        <f t="shared" si="12"/>
        <v>541666.66666666674</v>
      </c>
      <c r="AC32" s="452"/>
      <c r="AD32" s="452"/>
      <c r="AE32" s="452"/>
      <c r="AF32" s="452"/>
      <c r="AG32" s="452"/>
      <c r="AH32" s="452"/>
      <c r="AI32" s="452"/>
      <c r="AJ32" s="452"/>
      <c r="AK32" s="452"/>
      <c r="AL32" s="452"/>
      <c r="AM32" s="452"/>
      <c r="AN32" s="452"/>
      <c r="AO32" s="452"/>
      <c r="AP32" s="452"/>
      <c r="AQ32" s="452"/>
      <c r="AR32" s="452"/>
      <c r="AS32" s="452"/>
      <c r="AT32" s="452"/>
      <c r="AU32" s="452"/>
      <c r="AV32" s="452"/>
      <c r="AW32" s="452"/>
      <c r="AX32" s="452"/>
    </row>
    <row r="33" spans="1:50" s="26" customFormat="1" ht="45" x14ac:dyDescent="0.25">
      <c r="A33" s="43">
        <v>5</v>
      </c>
      <c r="B33" s="44">
        <v>243883</v>
      </c>
      <c r="C33" s="44">
        <v>121102402</v>
      </c>
      <c r="D33" s="31">
        <v>21102401</v>
      </c>
      <c r="E33" s="31">
        <v>28</v>
      </c>
      <c r="F33" s="45" t="s">
        <v>62</v>
      </c>
      <c r="G33" s="46" t="s">
        <v>25</v>
      </c>
      <c r="H33" s="46"/>
      <c r="I33" s="46"/>
      <c r="J33" s="27">
        <v>25</v>
      </c>
      <c r="K33" s="47">
        <v>23000</v>
      </c>
      <c r="L33" s="36">
        <v>0</v>
      </c>
      <c r="M33" s="198">
        <f t="shared" si="7"/>
        <v>575000</v>
      </c>
      <c r="N33" s="208">
        <v>31000</v>
      </c>
      <c r="O33" s="86">
        <v>0</v>
      </c>
      <c r="P33" s="95">
        <f t="shared" si="8"/>
        <v>775000</v>
      </c>
      <c r="Q33" s="49">
        <v>33000</v>
      </c>
      <c r="R33" s="36">
        <v>0</v>
      </c>
      <c r="S33" s="48">
        <f t="shared" si="9"/>
        <v>825000</v>
      </c>
      <c r="T33" s="35">
        <f t="shared" si="10"/>
        <v>29000</v>
      </c>
      <c r="U33" s="36">
        <v>0</v>
      </c>
      <c r="V33" s="35">
        <f t="shared" si="11"/>
        <v>725000</v>
      </c>
      <c r="X33" s="452"/>
      <c r="Y33" s="765"/>
      <c r="Z33" s="452"/>
      <c r="AA33" s="452"/>
      <c r="AB33" s="531">
        <f t="shared" si="12"/>
        <v>725000</v>
      </c>
      <c r="AC33" s="452"/>
      <c r="AD33" s="452"/>
      <c r="AE33" s="452"/>
      <c r="AF33" s="452"/>
      <c r="AG33" s="452"/>
      <c r="AH33" s="452"/>
      <c r="AI33" s="452"/>
      <c r="AJ33" s="452"/>
      <c r="AK33" s="452"/>
      <c r="AL33" s="452"/>
      <c r="AM33" s="452"/>
      <c r="AN33" s="452"/>
      <c r="AO33" s="452"/>
      <c r="AP33" s="452"/>
      <c r="AQ33" s="452"/>
      <c r="AR33" s="452"/>
      <c r="AS33" s="452"/>
      <c r="AT33" s="452"/>
      <c r="AU33" s="452"/>
      <c r="AV33" s="452"/>
      <c r="AW33" s="452"/>
      <c r="AX33" s="452"/>
    </row>
    <row r="34" spans="1:50" s="26" customFormat="1" ht="60" x14ac:dyDescent="0.25">
      <c r="A34" s="43">
        <v>5</v>
      </c>
      <c r="B34" s="44">
        <v>231951</v>
      </c>
      <c r="C34" s="44">
        <v>121102402</v>
      </c>
      <c r="D34" s="31">
        <v>21102401</v>
      </c>
      <c r="E34" s="31">
        <v>29</v>
      </c>
      <c r="F34" s="45" t="s">
        <v>63</v>
      </c>
      <c r="G34" s="46" t="s">
        <v>25</v>
      </c>
      <c r="H34" s="46"/>
      <c r="I34" s="46"/>
      <c r="J34" s="27">
        <v>25</v>
      </c>
      <c r="K34" s="47">
        <v>32000</v>
      </c>
      <c r="L34" s="36">
        <v>0</v>
      </c>
      <c r="M34" s="198">
        <f t="shared" si="7"/>
        <v>800000</v>
      </c>
      <c r="N34" s="208">
        <v>42000</v>
      </c>
      <c r="O34" s="86">
        <v>0</v>
      </c>
      <c r="P34" s="95">
        <f t="shared" si="8"/>
        <v>1050000</v>
      </c>
      <c r="Q34" s="49">
        <v>44000</v>
      </c>
      <c r="R34" s="36">
        <v>0</v>
      </c>
      <c r="S34" s="48">
        <f t="shared" si="9"/>
        <v>1100000</v>
      </c>
      <c r="T34" s="35">
        <f t="shared" si="10"/>
        <v>39333.333333333336</v>
      </c>
      <c r="U34" s="36">
        <v>0</v>
      </c>
      <c r="V34" s="35">
        <f t="shared" si="11"/>
        <v>983333.33333333337</v>
      </c>
      <c r="X34" s="452"/>
      <c r="Y34" s="765"/>
      <c r="Z34" s="452"/>
      <c r="AA34" s="452"/>
      <c r="AB34" s="531">
        <f t="shared" si="12"/>
        <v>983333.33333333337</v>
      </c>
      <c r="AC34" s="452"/>
      <c r="AD34" s="452"/>
      <c r="AE34" s="452"/>
      <c r="AF34" s="452"/>
      <c r="AG34" s="452"/>
      <c r="AH34" s="452"/>
      <c r="AI34" s="452"/>
      <c r="AJ34" s="452"/>
      <c r="AK34" s="452"/>
      <c r="AL34" s="452"/>
      <c r="AM34" s="452"/>
      <c r="AN34" s="452"/>
      <c r="AO34" s="452"/>
      <c r="AP34" s="452"/>
      <c r="AQ34" s="452"/>
      <c r="AR34" s="452"/>
      <c r="AS34" s="452"/>
      <c r="AT34" s="452"/>
      <c r="AU34" s="452"/>
      <c r="AV34" s="452"/>
      <c r="AW34" s="452"/>
      <c r="AX34" s="452"/>
    </row>
    <row r="35" spans="1:50" s="26" customFormat="1" ht="30" x14ac:dyDescent="0.25">
      <c r="A35" s="43">
        <v>5</v>
      </c>
      <c r="B35" s="44">
        <v>250979</v>
      </c>
      <c r="C35" s="44">
        <v>121102402</v>
      </c>
      <c r="D35" s="31">
        <v>21102401</v>
      </c>
      <c r="E35" s="31">
        <v>30</v>
      </c>
      <c r="F35" s="45" t="s">
        <v>64</v>
      </c>
      <c r="G35" s="46" t="s">
        <v>25</v>
      </c>
      <c r="H35" s="46"/>
      <c r="I35" s="46"/>
      <c r="J35" s="27">
        <v>30</v>
      </c>
      <c r="K35" s="47">
        <v>17000</v>
      </c>
      <c r="L35" s="36">
        <v>0</v>
      </c>
      <c r="M35" s="198">
        <f t="shared" si="7"/>
        <v>510000</v>
      </c>
      <c r="N35" s="208">
        <v>23000</v>
      </c>
      <c r="O35" s="86">
        <v>0</v>
      </c>
      <c r="P35" s="95">
        <f t="shared" si="8"/>
        <v>690000</v>
      </c>
      <c r="Q35" s="49">
        <v>25000</v>
      </c>
      <c r="R35" s="36">
        <v>0</v>
      </c>
      <c r="S35" s="48">
        <f t="shared" si="9"/>
        <v>750000</v>
      </c>
      <c r="T35" s="35">
        <f t="shared" si="10"/>
        <v>21666.666666666668</v>
      </c>
      <c r="U35" s="36">
        <v>0</v>
      </c>
      <c r="V35" s="35">
        <f t="shared" si="11"/>
        <v>650000</v>
      </c>
      <c r="X35" s="452"/>
      <c r="Y35" s="765"/>
      <c r="Z35" s="452"/>
      <c r="AA35" s="452"/>
      <c r="AB35" s="531">
        <f t="shared" si="12"/>
        <v>650000</v>
      </c>
      <c r="AC35" s="452"/>
      <c r="AD35" s="452"/>
      <c r="AE35" s="452"/>
      <c r="AF35" s="452"/>
      <c r="AG35" s="452"/>
      <c r="AH35" s="452"/>
      <c r="AI35" s="452"/>
      <c r="AJ35" s="452"/>
      <c r="AK35" s="452"/>
      <c r="AL35" s="452"/>
      <c r="AM35" s="452"/>
      <c r="AN35" s="452"/>
      <c r="AO35" s="452"/>
      <c r="AP35" s="452"/>
      <c r="AQ35" s="452"/>
      <c r="AR35" s="452"/>
      <c r="AS35" s="452"/>
      <c r="AT35" s="452"/>
      <c r="AU35" s="452"/>
      <c r="AV35" s="452"/>
      <c r="AW35" s="452"/>
      <c r="AX35" s="452"/>
    </row>
    <row r="36" spans="1:50" s="26" customFormat="1" ht="45" x14ac:dyDescent="0.25">
      <c r="A36" s="43">
        <v>5</v>
      </c>
      <c r="B36" s="44">
        <v>231808</v>
      </c>
      <c r="C36" s="44">
        <v>121102402</v>
      </c>
      <c r="D36" s="31">
        <v>21102401</v>
      </c>
      <c r="E36" s="31">
        <v>31</v>
      </c>
      <c r="F36" s="45" t="s">
        <v>65</v>
      </c>
      <c r="G36" s="46" t="s">
        <v>25</v>
      </c>
      <c r="H36" s="46"/>
      <c r="I36" s="46"/>
      <c r="J36" s="27">
        <v>30</v>
      </c>
      <c r="K36" s="47">
        <v>30000</v>
      </c>
      <c r="L36" s="36">
        <v>0</v>
      </c>
      <c r="M36" s="198">
        <f t="shared" si="7"/>
        <v>900000</v>
      </c>
      <c r="N36" s="208">
        <v>43000</v>
      </c>
      <c r="O36" s="86">
        <v>0</v>
      </c>
      <c r="P36" s="95">
        <f t="shared" si="8"/>
        <v>1290000</v>
      </c>
      <c r="Q36" s="49">
        <v>44000</v>
      </c>
      <c r="R36" s="36">
        <v>0</v>
      </c>
      <c r="S36" s="48">
        <f t="shared" si="9"/>
        <v>1320000</v>
      </c>
      <c r="T36" s="35">
        <f t="shared" si="10"/>
        <v>39000</v>
      </c>
      <c r="U36" s="36">
        <v>0</v>
      </c>
      <c r="V36" s="35">
        <f t="shared" si="11"/>
        <v>1170000</v>
      </c>
      <c r="X36" s="452"/>
      <c r="Y36" s="765"/>
      <c r="Z36" s="452"/>
      <c r="AA36" s="452"/>
      <c r="AB36" s="531">
        <f t="shared" si="12"/>
        <v>1170000</v>
      </c>
      <c r="AC36" s="452"/>
      <c r="AD36" s="452"/>
      <c r="AE36" s="452"/>
      <c r="AF36" s="452"/>
      <c r="AG36" s="452"/>
      <c r="AH36" s="452"/>
      <c r="AI36" s="452"/>
      <c r="AJ36" s="452"/>
      <c r="AK36" s="452"/>
      <c r="AL36" s="452"/>
      <c r="AM36" s="452"/>
      <c r="AN36" s="452"/>
      <c r="AO36" s="452"/>
      <c r="AP36" s="452"/>
      <c r="AQ36" s="452"/>
      <c r="AR36" s="452"/>
      <c r="AS36" s="452"/>
      <c r="AT36" s="452"/>
      <c r="AU36" s="452"/>
      <c r="AV36" s="452"/>
      <c r="AW36" s="452"/>
      <c r="AX36" s="452"/>
    </row>
    <row r="37" spans="1:50" s="26" customFormat="1" ht="105" x14ac:dyDescent="0.25">
      <c r="A37" s="43">
        <v>5</v>
      </c>
      <c r="B37" s="44">
        <v>231810</v>
      </c>
      <c r="C37" s="44">
        <v>121102402</v>
      </c>
      <c r="D37" s="31">
        <v>21102401</v>
      </c>
      <c r="E37" s="31">
        <v>32</v>
      </c>
      <c r="F37" s="45" t="s">
        <v>66</v>
      </c>
      <c r="G37" s="46" t="s">
        <v>25</v>
      </c>
      <c r="H37" s="46"/>
      <c r="I37" s="46"/>
      <c r="J37" s="27">
        <v>10</v>
      </c>
      <c r="K37" s="47">
        <v>130000</v>
      </c>
      <c r="L37" s="36">
        <v>0</v>
      </c>
      <c r="M37" s="198">
        <f t="shared" si="7"/>
        <v>1300000</v>
      </c>
      <c r="N37" s="208">
        <v>176000</v>
      </c>
      <c r="O37" s="86">
        <v>0</v>
      </c>
      <c r="P37" s="95">
        <f t="shared" si="8"/>
        <v>1760000</v>
      </c>
      <c r="Q37" s="49">
        <v>180000</v>
      </c>
      <c r="R37" s="36">
        <v>0</v>
      </c>
      <c r="S37" s="48">
        <f t="shared" si="9"/>
        <v>1800000</v>
      </c>
      <c r="T37" s="35">
        <f t="shared" si="10"/>
        <v>162000</v>
      </c>
      <c r="U37" s="36">
        <v>0</v>
      </c>
      <c r="V37" s="35">
        <f t="shared" si="11"/>
        <v>1620000</v>
      </c>
      <c r="X37" s="452"/>
      <c r="Y37" s="765"/>
      <c r="Z37" s="452"/>
      <c r="AA37" s="452"/>
      <c r="AB37" s="531">
        <f t="shared" si="12"/>
        <v>1620000</v>
      </c>
      <c r="AC37" s="452"/>
      <c r="AD37" s="452"/>
      <c r="AE37" s="452"/>
      <c r="AF37" s="452"/>
      <c r="AG37" s="452"/>
      <c r="AH37" s="452"/>
      <c r="AI37" s="452"/>
      <c r="AJ37" s="452"/>
      <c r="AK37" s="452"/>
      <c r="AL37" s="452"/>
      <c r="AM37" s="452"/>
      <c r="AN37" s="452"/>
      <c r="AO37" s="452"/>
      <c r="AP37" s="452"/>
      <c r="AQ37" s="452"/>
      <c r="AR37" s="452"/>
      <c r="AS37" s="452"/>
      <c r="AT37" s="452"/>
      <c r="AU37" s="452"/>
      <c r="AV37" s="452"/>
      <c r="AW37" s="452"/>
      <c r="AX37" s="452"/>
    </row>
    <row r="38" spans="1:50" s="26" customFormat="1" ht="150" x14ac:dyDescent="0.25">
      <c r="A38" s="43">
        <v>5</v>
      </c>
      <c r="B38" s="44">
        <v>231809</v>
      </c>
      <c r="C38" s="44">
        <v>121102402</v>
      </c>
      <c r="D38" s="31">
        <v>21102401</v>
      </c>
      <c r="E38" s="31">
        <v>33</v>
      </c>
      <c r="F38" s="45" t="s">
        <v>67</v>
      </c>
      <c r="G38" s="46" t="s">
        <v>25</v>
      </c>
      <c r="H38" s="46"/>
      <c r="I38" s="46"/>
      <c r="J38" s="27">
        <v>25</v>
      </c>
      <c r="K38" s="47">
        <v>170000</v>
      </c>
      <c r="L38" s="36">
        <v>0</v>
      </c>
      <c r="M38" s="198">
        <f t="shared" si="7"/>
        <v>4250000</v>
      </c>
      <c r="N38" s="208">
        <v>185000</v>
      </c>
      <c r="O38" s="86">
        <v>0</v>
      </c>
      <c r="P38" s="95">
        <f t="shared" si="8"/>
        <v>4625000</v>
      </c>
      <c r="Q38" s="49">
        <v>195000</v>
      </c>
      <c r="R38" s="36">
        <v>0</v>
      </c>
      <c r="S38" s="48">
        <f t="shared" si="9"/>
        <v>4875000</v>
      </c>
      <c r="T38" s="35">
        <f t="shared" si="10"/>
        <v>183333.33333333334</v>
      </c>
      <c r="U38" s="36">
        <v>0</v>
      </c>
      <c r="V38" s="35">
        <f t="shared" si="11"/>
        <v>4583333.333333334</v>
      </c>
      <c r="X38" s="452"/>
      <c r="Y38" s="766"/>
      <c r="Z38" s="452"/>
      <c r="AA38" s="452"/>
      <c r="AB38" s="531">
        <f t="shared" si="12"/>
        <v>4583333.333333334</v>
      </c>
      <c r="AC38" s="452"/>
      <c r="AD38" s="452"/>
      <c r="AE38" s="452"/>
      <c r="AF38" s="452"/>
      <c r="AG38" s="452"/>
      <c r="AH38" s="452"/>
      <c r="AI38" s="452"/>
      <c r="AJ38" s="452"/>
      <c r="AK38" s="452"/>
      <c r="AL38" s="452"/>
      <c r="AM38" s="452"/>
      <c r="AN38" s="452"/>
      <c r="AO38" s="452"/>
      <c r="AP38" s="452"/>
      <c r="AQ38" s="452"/>
      <c r="AR38" s="452"/>
      <c r="AS38" s="452"/>
      <c r="AT38" s="452"/>
      <c r="AU38" s="452"/>
      <c r="AV38" s="452"/>
      <c r="AW38" s="452"/>
      <c r="AX38" s="452"/>
    </row>
    <row r="39" spans="1:50" s="26" customFormat="1" ht="15" x14ac:dyDescent="0.25">
      <c r="A39" s="43">
        <v>5</v>
      </c>
      <c r="B39" s="52" t="s">
        <v>68</v>
      </c>
      <c r="C39" s="52" t="s">
        <v>69</v>
      </c>
      <c r="D39" s="31">
        <v>10101703</v>
      </c>
      <c r="E39" s="43">
        <v>34</v>
      </c>
      <c r="F39" s="45" t="s">
        <v>70</v>
      </c>
      <c r="G39" s="46" t="s">
        <v>71</v>
      </c>
      <c r="H39" s="46"/>
      <c r="I39" s="46"/>
      <c r="J39" s="53">
        <v>22000</v>
      </c>
      <c r="K39" s="35">
        <v>0</v>
      </c>
      <c r="L39" s="36">
        <v>0</v>
      </c>
      <c r="M39" s="85">
        <f>K39*J39</f>
        <v>0</v>
      </c>
      <c r="N39" s="85">
        <v>310</v>
      </c>
      <c r="O39" s="86">
        <v>0</v>
      </c>
      <c r="P39" s="244">
        <f>N39*J39</f>
        <v>6820000</v>
      </c>
      <c r="Q39" s="35">
        <v>305</v>
      </c>
      <c r="R39" s="36">
        <v>0</v>
      </c>
      <c r="S39" s="35">
        <f>Q39*J39</f>
        <v>6710000</v>
      </c>
      <c r="T39" s="35">
        <v>350</v>
      </c>
      <c r="U39" s="36">
        <v>0</v>
      </c>
      <c r="V39" s="35">
        <f>T39*J39</f>
        <v>7700000</v>
      </c>
      <c r="W39" s="51">
        <f>SUM(K39+N39+Q39+T39)/3</f>
        <v>321.66666666666669</v>
      </c>
      <c r="X39" s="455">
        <v>0</v>
      </c>
      <c r="Y39" s="460">
        <f>W39*J39</f>
        <v>7076666.666666667</v>
      </c>
      <c r="Z39" s="452"/>
      <c r="AA39" s="452"/>
      <c r="AB39" s="531">
        <f>Y39</f>
        <v>7076666.666666667</v>
      </c>
      <c r="AC39" s="452"/>
      <c r="AD39" s="452"/>
      <c r="AE39" s="452"/>
      <c r="AF39" s="452"/>
      <c r="AG39" s="452"/>
      <c r="AH39" s="452"/>
      <c r="AI39" s="452"/>
      <c r="AJ39" s="452"/>
      <c r="AK39" s="452"/>
      <c r="AL39" s="452"/>
      <c r="AM39" s="452"/>
      <c r="AN39" s="452"/>
      <c r="AO39" s="452"/>
      <c r="AP39" s="452"/>
      <c r="AQ39" s="452"/>
      <c r="AR39" s="452"/>
      <c r="AS39" s="452"/>
      <c r="AT39" s="452"/>
      <c r="AU39" s="452"/>
      <c r="AV39" s="452"/>
      <c r="AW39" s="452"/>
      <c r="AX39" s="452"/>
    </row>
    <row r="40" spans="1:50" s="26" customFormat="1" ht="30" x14ac:dyDescent="0.25">
      <c r="A40" s="43">
        <v>5</v>
      </c>
      <c r="B40" s="44" t="s">
        <v>72</v>
      </c>
      <c r="C40" s="52" t="s">
        <v>73</v>
      </c>
      <c r="D40" s="31">
        <v>10101702</v>
      </c>
      <c r="E40" s="43">
        <v>35</v>
      </c>
      <c r="F40" s="45" t="s">
        <v>74</v>
      </c>
      <c r="G40" s="46" t="s">
        <v>71</v>
      </c>
      <c r="H40" s="46"/>
      <c r="I40" s="46"/>
      <c r="J40" s="53">
        <v>22000</v>
      </c>
      <c r="K40" s="35">
        <v>0</v>
      </c>
      <c r="L40" s="36">
        <v>0</v>
      </c>
      <c r="M40" s="85">
        <f t="shared" ref="M40:M42" si="13">K40*J40</f>
        <v>0</v>
      </c>
      <c r="N40" s="85">
        <v>510</v>
      </c>
      <c r="O40" s="86">
        <v>0</v>
      </c>
      <c r="P40" s="244">
        <f t="shared" ref="P40:P42" si="14">N40*J40</f>
        <v>11220000</v>
      </c>
      <c r="Q40" s="35">
        <v>510</v>
      </c>
      <c r="R40" s="36">
        <v>0</v>
      </c>
      <c r="S40" s="35">
        <f t="shared" ref="S40:S42" si="15">Q40*J40</f>
        <v>11220000</v>
      </c>
      <c r="T40" s="35">
        <v>520</v>
      </c>
      <c r="U40" s="36">
        <v>0</v>
      </c>
      <c r="V40" s="35">
        <f t="shared" ref="V40:V42" si="16">T40*J40</f>
        <v>11440000</v>
      </c>
      <c r="W40" s="51">
        <f>SUM(K40+N40+Q40+T40)/3</f>
        <v>513.33333333333337</v>
      </c>
      <c r="X40" s="455">
        <v>0</v>
      </c>
      <c r="Y40" s="460">
        <f t="shared" ref="Y40:Y42" si="17">W40*J40</f>
        <v>11293333.333333334</v>
      </c>
      <c r="Z40" s="452"/>
      <c r="AA40" s="452"/>
      <c r="AB40" s="531">
        <f t="shared" ref="AB40:AB42" si="18">Y40</f>
        <v>11293333.333333334</v>
      </c>
      <c r="AC40" s="452"/>
      <c r="AD40" s="452"/>
      <c r="AE40" s="452"/>
      <c r="AF40" s="452"/>
      <c r="AG40" s="452"/>
      <c r="AH40" s="452"/>
      <c r="AI40" s="452"/>
      <c r="AJ40" s="452"/>
      <c r="AK40" s="452"/>
      <c r="AL40" s="452"/>
      <c r="AM40" s="452"/>
      <c r="AN40" s="452"/>
      <c r="AO40" s="452"/>
      <c r="AP40" s="452"/>
      <c r="AQ40" s="452"/>
      <c r="AR40" s="452"/>
      <c r="AS40" s="452"/>
      <c r="AT40" s="452"/>
      <c r="AU40" s="452"/>
      <c r="AV40" s="452"/>
      <c r="AW40" s="452"/>
      <c r="AX40" s="452"/>
    </row>
    <row r="41" spans="1:50" s="26" customFormat="1" ht="45" x14ac:dyDescent="0.25">
      <c r="A41" s="43">
        <v>5</v>
      </c>
      <c r="B41" s="44" t="s">
        <v>75</v>
      </c>
      <c r="C41" s="44" t="s">
        <v>76</v>
      </c>
      <c r="D41" s="31">
        <v>121702</v>
      </c>
      <c r="E41" s="43">
        <v>36</v>
      </c>
      <c r="F41" s="45" t="s">
        <v>77</v>
      </c>
      <c r="G41" s="46" t="s">
        <v>78</v>
      </c>
      <c r="H41" s="46"/>
      <c r="I41" s="46"/>
      <c r="J41" s="43">
        <v>15</v>
      </c>
      <c r="K41" s="35">
        <v>230415</v>
      </c>
      <c r="L41" s="36">
        <v>0.05</v>
      </c>
      <c r="M41" s="85">
        <f t="shared" si="13"/>
        <v>3456225</v>
      </c>
      <c r="N41" s="85">
        <v>227450</v>
      </c>
      <c r="O41" s="86">
        <v>0.05</v>
      </c>
      <c r="P41" s="244">
        <f t="shared" si="14"/>
        <v>3411750</v>
      </c>
      <c r="Q41" s="35">
        <v>0</v>
      </c>
      <c r="R41" s="36">
        <v>0.05</v>
      </c>
      <c r="S41" s="35">
        <f t="shared" si="15"/>
        <v>0</v>
      </c>
      <c r="T41" s="35">
        <v>235500</v>
      </c>
      <c r="U41" s="36">
        <v>0.05</v>
      </c>
      <c r="V41" s="35">
        <f t="shared" si="16"/>
        <v>3532500</v>
      </c>
      <c r="W41" s="51">
        <f>SUM(K41+N41+Q41+T41)/3</f>
        <v>231121.66666666666</v>
      </c>
      <c r="X41" s="455">
        <v>0.05</v>
      </c>
      <c r="Y41" s="460">
        <f t="shared" si="17"/>
        <v>3466825</v>
      </c>
      <c r="Z41" s="452"/>
      <c r="AA41" s="452"/>
      <c r="AB41" s="531">
        <f t="shared" si="18"/>
        <v>3466825</v>
      </c>
      <c r="AC41" s="452"/>
      <c r="AD41" s="452"/>
      <c r="AE41" s="452"/>
      <c r="AF41" s="452"/>
      <c r="AG41" s="452"/>
      <c r="AH41" s="452"/>
      <c r="AI41" s="452"/>
      <c r="AJ41" s="452"/>
      <c r="AK41" s="452"/>
      <c r="AL41" s="452"/>
      <c r="AM41" s="452"/>
      <c r="AN41" s="452"/>
      <c r="AO41" s="452"/>
      <c r="AP41" s="452"/>
      <c r="AQ41" s="452"/>
      <c r="AR41" s="452"/>
      <c r="AS41" s="452"/>
      <c r="AT41" s="452"/>
      <c r="AU41" s="452"/>
      <c r="AV41" s="452"/>
      <c r="AW41" s="452"/>
      <c r="AX41" s="452"/>
    </row>
    <row r="42" spans="1:50" s="26" customFormat="1" ht="45" x14ac:dyDescent="0.25">
      <c r="A42" s="43">
        <v>5</v>
      </c>
      <c r="B42" s="44" t="s">
        <v>75</v>
      </c>
      <c r="C42" s="44" t="s">
        <v>79</v>
      </c>
      <c r="D42" s="31">
        <v>10127702</v>
      </c>
      <c r="E42" s="43">
        <v>37</v>
      </c>
      <c r="F42" s="45" t="s">
        <v>80</v>
      </c>
      <c r="G42" s="46" t="s">
        <v>78</v>
      </c>
      <c r="H42" s="46"/>
      <c r="I42" s="46"/>
      <c r="J42" s="43">
        <v>15</v>
      </c>
      <c r="K42" s="35">
        <v>218831</v>
      </c>
      <c r="L42" s="36">
        <v>0.05</v>
      </c>
      <c r="M42" s="85">
        <f t="shared" si="13"/>
        <v>3282465</v>
      </c>
      <c r="N42" s="85">
        <v>198000</v>
      </c>
      <c r="O42" s="86">
        <v>0.05</v>
      </c>
      <c r="P42" s="244">
        <f t="shared" si="14"/>
        <v>2970000</v>
      </c>
      <c r="Q42" s="35">
        <v>0</v>
      </c>
      <c r="R42" s="36">
        <v>0.05</v>
      </c>
      <c r="S42" s="35">
        <f t="shared" si="15"/>
        <v>0</v>
      </c>
      <c r="T42" s="35">
        <v>192000</v>
      </c>
      <c r="U42" s="36">
        <v>0.05</v>
      </c>
      <c r="V42" s="35">
        <f t="shared" si="16"/>
        <v>2880000</v>
      </c>
      <c r="W42" s="51">
        <f>SUM(K42+N42+Q42+T42)/3</f>
        <v>202943.66666666666</v>
      </c>
      <c r="X42" s="455">
        <v>0.05</v>
      </c>
      <c r="Y42" s="460">
        <f t="shared" si="17"/>
        <v>3044155</v>
      </c>
      <c r="Z42" s="452"/>
      <c r="AA42" s="452"/>
      <c r="AB42" s="531">
        <f t="shared" si="18"/>
        <v>3044155</v>
      </c>
      <c r="AC42" s="452"/>
      <c r="AD42" s="452"/>
      <c r="AE42" s="452"/>
      <c r="AF42" s="452"/>
      <c r="AG42" s="452"/>
      <c r="AH42" s="452"/>
      <c r="AI42" s="452"/>
      <c r="AJ42" s="452"/>
      <c r="AK42" s="452"/>
      <c r="AL42" s="452"/>
      <c r="AM42" s="452"/>
      <c r="AN42" s="452"/>
      <c r="AO42" s="452"/>
      <c r="AP42" s="452"/>
      <c r="AQ42" s="452"/>
      <c r="AR42" s="452"/>
      <c r="AS42" s="452"/>
      <c r="AT42" s="452"/>
      <c r="AU42" s="452"/>
      <c r="AV42" s="452"/>
      <c r="AW42" s="452"/>
      <c r="AX42" s="452"/>
    </row>
    <row r="43" spans="1:50" s="26" customFormat="1" ht="50.25" customHeight="1" x14ac:dyDescent="0.3">
      <c r="A43" s="767" t="s">
        <v>81</v>
      </c>
      <c r="B43" s="768"/>
      <c r="C43" s="768"/>
      <c r="D43" s="768"/>
      <c r="E43" s="768"/>
      <c r="F43" s="768"/>
      <c r="G43" s="768"/>
      <c r="H43" s="768"/>
      <c r="I43" s="768"/>
      <c r="J43" s="768"/>
      <c r="K43" s="768"/>
      <c r="L43" s="769"/>
      <c r="M43" s="58"/>
      <c r="N43" s="96"/>
      <c r="O43" s="96"/>
      <c r="P43" s="95"/>
      <c r="Q43" s="50"/>
      <c r="R43" s="50"/>
      <c r="S43" s="51"/>
      <c r="T43" s="50"/>
      <c r="U43" s="50"/>
      <c r="V43" s="51"/>
      <c r="W43" s="50"/>
      <c r="X43" s="379"/>
      <c r="Y43" s="460"/>
      <c r="Z43" s="452"/>
      <c r="AA43" s="452"/>
      <c r="AB43" s="532">
        <f>SUM(AB6:AB42)</f>
        <v>68310690.416666672</v>
      </c>
      <c r="AC43" s="452"/>
      <c r="AD43" s="452"/>
      <c r="AE43" s="452"/>
      <c r="AF43" s="452"/>
      <c r="AG43" s="452"/>
      <c r="AH43" s="452"/>
      <c r="AI43" s="452"/>
      <c r="AJ43" s="452"/>
      <c r="AK43" s="452"/>
      <c r="AL43" s="452"/>
      <c r="AM43" s="452"/>
      <c r="AN43" s="452"/>
      <c r="AO43" s="452"/>
      <c r="AP43" s="452"/>
      <c r="AQ43" s="452"/>
      <c r="AR43" s="452"/>
      <c r="AS43" s="452"/>
      <c r="AT43" s="452"/>
      <c r="AU43" s="452"/>
      <c r="AV43" s="452"/>
      <c r="AW43" s="452"/>
      <c r="AX43" s="452"/>
    </row>
    <row r="44" spans="1:50" s="26" customFormat="1" ht="15" x14ac:dyDescent="0.25">
      <c r="E44" s="342"/>
      <c r="M44" s="92"/>
      <c r="N44" s="92"/>
      <c r="O44" s="92"/>
      <c r="P44" s="242"/>
      <c r="X44" s="452"/>
      <c r="Y44" s="452"/>
      <c r="Z44" s="452"/>
      <c r="AA44" s="452"/>
      <c r="AB44" s="452"/>
      <c r="AC44" s="452"/>
      <c r="AD44" s="452"/>
      <c r="AE44" s="452"/>
      <c r="AF44" s="452"/>
      <c r="AG44" s="452"/>
      <c r="AH44" s="452"/>
      <c r="AI44" s="452"/>
      <c r="AJ44" s="452"/>
      <c r="AK44" s="452"/>
      <c r="AL44" s="452"/>
      <c r="AM44" s="452"/>
      <c r="AN44" s="452"/>
      <c r="AO44" s="452"/>
      <c r="AP44" s="452"/>
      <c r="AQ44" s="452"/>
      <c r="AR44" s="452"/>
      <c r="AS44" s="452"/>
      <c r="AT44" s="452"/>
      <c r="AU44" s="452"/>
      <c r="AV44" s="452"/>
      <c r="AW44" s="452"/>
      <c r="AX44" s="452"/>
    </row>
    <row r="45" spans="1:50" s="26" customFormat="1" ht="21" customHeight="1" x14ac:dyDescent="0.25">
      <c r="A45" s="604" t="s">
        <v>82</v>
      </c>
      <c r="B45" s="605"/>
      <c r="C45" s="605"/>
      <c r="D45" s="605"/>
      <c r="E45" s="772" t="s">
        <v>82</v>
      </c>
      <c r="F45" s="772"/>
      <c r="G45" s="772"/>
      <c r="H45" s="772"/>
      <c r="I45" s="772"/>
      <c r="J45" s="772"/>
      <c r="K45" s="605"/>
      <c r="L45" s="605"/>
      <c r="M45" s="605"/>
      <c r="N45" s="605"/>
      <c r="O45" s="605"/>
      <c r="P45" s="605"/>
      <c r="Q45" s="605"/>
      <c r="R45" s="605"/>
      <c r="S45" s="605"/>
      <c r="T45" s="605"/>
      <c r="U45" s="605"/>
      <c r="V45" s="605"/>
      <c r="W45" s="605"/>
      <c r="X45" s="605"/>
      <c r="Y45" s="605"/>
      <c r="Z45" s="605"/>
      <c r="AA45" s="605"/>
      <c r="AB45" s="605"/>
      <c r="AC45" s="605"/>
      <c r="AD45" s="605"/>
      <c r="AE45" s="606"/>
      <c r="AF45" s="54"/>
      <c r="AG45" s="54"/>
      <c r="AH45" s="54"/>
      <c r="AI45" s="54"/>
      <c r="AJ45" s="54"/>
      <c r="AK45" s="54"/>
      <c r="AL45" s="54"/>
      <c r="AM45" s="54"/>
      <c r="AN45" s="54"/>
      <c r="AO45" s="54"/>
      <c r="AP45" s="54"/>
      <c r="AQ45" s="54"/>
      <c r="AR45" s="54"/>
      <c r="AS45" s="54"/>
      <c r="AT45" s="54"/>
      <c r="AU45" s="54"/>
      <c r="AV45" s="54"/>
      <c r="AW45" s="54"/>
      <c r="AX45" s="452"/>
    </row>
    <row r="46" spans="1:50" s="26" customFormat="1" ht="14.55" customHeight="1" x14ac:dyDescent="0.25">
      <c r="A46" s="756" t="s">
        <v>83</v>
      </c>
      <c r="B46" s="756" t="s">
        <v>84</v>
      </c>
      <c r="C46" s="756" t="s">
        <v>85</v>
      </c>
      <c r="D46" s="770" t="s">
        <v>86</v>
      </c>
      <c r="E46" s="756" t="s">
        <v>6</v>
      </c>
      <c r="F46" s="756" t="s">
        <v>87</v>
      </c>
      <c r="G46" s="756" t="s">
        <v>88</v>
      </c>
      <c r="H46" s="600"/>
      <c r="I46" s="600"/>
      <c r="J46" s="757" t="s">
        <v>89</v>
      </c>
      <c r="K46" s="747" t="s">
        <v>90</v>
      </c>
      <c r="L46" s="748"/>
      <c r="M46" s="749"/>
      <c r="N46" s="747" t="s">
        <v>91</v>
      </c>
      <c r="O46" s="754"/>
      <c r="P46" s="755"/>
      <c r="Q46" s="747" t="s">
        <v>92</v>
      </c>
      <c r="R46" s="748"/>
      <c r="S46" s="749"/>
      <c r="T46" s="747" t="s">
        <v>93</v>
      </c>
      <c r="U46" s="748"/>
      <c r="V46" s="749"/>
      <c r="W46" s="747" t="s">
        <v>94</v>
      </c>
      <c r="X46" s="748"/>
      <c r="Y46" s="749"/>
      <c r="Z46" s="750" t="s">
        <v>95</v>
      </c>
      <c r="AA46" s="751"/>
      <c r="AB46" s="752"/>
      <c r="AC46" s="750" t="s">
        <v>15</v>
      </c>
      <c r="AD46" s="751"/>
      <c r="AE46" s="753"/>
      <c r="AF46" s="452"/>
      <c r="AG46" s="452"/>
      <c r="AH46" s="452"/>
      <c r="AI46" s="452"/>
      <c r="AJ46" s="452"/>
      <c r="AK46" s="452"/>
      <c r="AL46" s="452"/>
      <c r="AM46" s="452"/>
      <c r="AN46" s="452"/>
      <c r="AO46" s="452"/>
      <c r="AP46" s="452"/>
      <c r="AQ46" s="452"/>
      <c r="AR46" s="452"/>
      <c r="AS46" s="452"/>
      <c r="AT46" s="452"/>
      <c r="AU46" s="452"/>
      <c r="AV46" s="452"/>
      <c r="AW46" s="452"/>
      <c r="AX46" s="452"/>
    </row>
    <row r="47" spans="1:50" s="26" customFormat="1" ht="31.2" x14ac:dyDescent="0.25">
      <c r="A47" s="740"/>
      <c r="B47" s="740"/>
      <c r="C47" s="740"/>
      <c r="D47" s="741"/>
      <c r="E47" s="740"/>
      <c r="F47" s="740"/>
      <c r="G47" s="740"/>
      <c r="H47" s="42"/>
      <c r="I47" s="42"/>
      <c r="J47" s="736"/>
      <c r="K47" s="42" t="s">
        <v>16</v>
      </c>
      <c r="L47" s="42" t="s">
        <v>17</v>
      </c>
      <c r="M47" s="124" t="s">
        <v>18</v>
      </c>
      <c r="N47" s="124" t="s">
        <v>16</v>
      </c>
      <c r="O47" s="124" t="s">
        <v>17</v>
      </c>
      <c r="P47" s="243" t="s">
        <v>18</v>
      </c>
      <c r="Q47" s="42" t="s">
        <v>16</v>
      </c>
      <c r="R47" s="42" t="s">
        <v>17</v>
      </c>
      <c r="S47" s="42" t="s">
        <v>18</v>
      </c>
      <c r="T47" s="42" t="s">
        <v>16</v>
      </c>
      <c r="U47" s="42" t="s">
        <v>17</v>
      </c>
      <c r="V47" s="42" t="s">
        <v>18</v>
      </c>
      <c r="W47" s="42" t="s">
        <v>16</v>
      </c>
      <c r="X47" s="459" t="s">
        <v>17</v>
      </c>
      <c r="Y47" s="459" t="s">
        <v>18</v>
      </c>
      <c r="Z47" s="459" t="s">
        <v>16</v>
      </c>
      <c r="AA47" s="459" t="s">
        <v>17</v>
      </c>
      <c r="AB47" s="459" t="s">
        <v>18</v>
      </c>
      <c r="AC47" s="459" t="s">
        <v>16</v>
      </c>
      <c r="AD47" s="461" t="s">
        <v>17</v>
      </c>
      <c r="AE47" s="459" t="s">
        <v>18</v>
      </c>
      <c r="AF47" s="452"/>
      <c r="AG47" s="452"/>
      <c r="AH47" s="452"/>
      <c r="AI47" s="452"/>
      <c r="AJ47" s="452"/>
      <c r="AK47" s="452"/>
      <c r="AL47" s="452"/>
      <c r="AM47" s="452"/>
      <c r="AN47" s="452"/>
      <c r="AO47" s="452"/>
      <c r="AP47" s="452"/>
      <c r="AQ47" s="452"/>
      <c r="AR47" s="452"/>
      <c r="AS47" s="452"/>
      <c r="AT47" s="452"/>
      <c r="AU47" s="452"/>
      <c r="AV47" s="452"/>
      <c r="AW47" s="452"/>
      <c r="AX47" s="452"/>
    </row>
    <row r="48" spans="1:50" s="26" customFormat="1" ht="15" x14ac:dyDescent="0.25">
      <c r="A48" s="46">
        <v>5</v>
      </c>
      <c r="B48" s="350">
        <v>110151509</v>
      </c>
      <c r="C48" s="350">
        <v>244622</v>
      </c>
      <c r="D48" s="350">
        <v>10151502</v>
      </c>
      <c r="E48" s="46">
        <v>1</v>
      </c>
      <c r="F48" s="351" t="s">
        <v>96</v>
      </c>
      <c r="G48" s="352" t="s">
        <v>97</v>
      </c>
      <c r="H48" s="352"/>
      <c r="I48" s="352"/>
      <c r="J48" s="356">
        <v>200</v>
      </c>
      <c r="K48" s="35">
        <v>4200</v>
      </c>
      <c r="L48" s="353">
        <v>0</v>
      </c>
      <c r="M48" s="58">
        <f>K48*J48</f>
        <v>840000</v>
      </c>
      <c r="N48" s="58">
        <v>4550</v>
      </c>
      <c r="O48" s="354">
        <v>0</v>
      </c>
      <c r="P48" s="95">
        <f t="shared" ref="P48:P110" si="19">J48*N48</f>
        <v>910000</v>
      </c>
      <c r="Q48" s="51">
        <v>0</v>
      </c>
      <c r="R48" s="353">
        <v>0</v>
      </c>
      <c r="S48" s="58">
        <f t="shared" ref="S48:S101" si="20">J48*Q48</f>
        <v>0</v>
      </c>
      <c r="T48" s="51">
        <v>0</v>
      </c>
      <c r="U48" s="353">
        <v>0</v>
      </c>
      <c r="V48" s="51">
        <f t="shared" ref="V48:V101" si="21">J48*T48</f>
        <v>0</v>
      </c>
      <c r="W48" s="51">
        <v>6400</v>
      </c>
      <c r="X48" s="462">
        <v>0</v>
      </c>
      <c r="Y48" s="460">
        <f t="shared" ref="Y48:Y101" si="22">J48*W48</f>
        <v>1280000</v>
      </c>
      <c r="Z48" s="460">
        <v>3000</v>
      </c>
      <c r="AA48" s="462">
        <v>0</v>
      </c>
      <c r="AB48" s="460">
        <f t="shared" ref="AB48:AB101" si="23">J48*Z48</f>
        <v>600000</v>
      </c>
      <c r="AC48" s="374">
        <f>SUM(K48+N48+Q48+T48+W48+Z48)/4</f>
        <v>4537.5</v>
      </c>
      <c r="AD48" s="463">
        <v>0</v>
      </c>
      <c r="AE48" s="374">
        <f>AC48*J48</f>
        <v>907500</v>
      </c>
      <c r="AF48" s="452"/>
      <c r="AG48" s="452"/>
      <c r="AH48" s="452"/>
      <c r="AI48" s="452"/>
      <c r="AJ48" s="452"/>
      <c r="AK48" s="452"/>
      <c r="AL48" s="452"/>
      <c r="AM48" s="452"/>
      <c r="AN48" s="452"/>
      <c r="AO48" s="452"/>
      <c r="AP48" s="452"/>
      <c r="AQ48" s="452"/>
      <c r="AR48" s="452"/>
      <c r="AS48" s="452"/>
      <c r="AT48" s="452"/>
      <c r="AU48" s="452"/>
      <c r="AV48" s="452"/>
      <c r="AW48" s="452"/>
      <c r="AX48" s="452"/>
    </row>
    <row r="49" spans="1:50" s="26" customFormat="1" ht="15" x14ac:dyDescent="0.25">
      <c r="A49" s="46">
        <v>5</v>
      </c>
      <c r="B49" s="350">
        <v>110151509</v>
      </c>
      <c r="C49" s="350">
        <v>239486</v>
      </c>
      <c r="D49" s="350">
        <v>10151805</v>
      </c>
      <c r="E49" s="46">
        <v>2</v>
      </c>
      <c r="F49" s="351" t="s">
        <v>98</v>
      </c>
      <c r="G49" s="352" t="s">
        <v>97</v>
      </c>
      <c r="H49" s="352"/>
      <c r="I49" s="352"/>
      <c r="J49" s="356">
        <v>200</v>
      </c>
      <c r="K49" s="35">
        <v>2700</v>
      </c>
      <c r="L49" s="353">
        <v>0</v>
      </c>
      <c r="M49" s="58">
        <f t="shared" ref="M49:M110" si="24">K49*J49</f>
        <v>540000</v>
      </c>
      <c r="N49" s="58">
        <v>2250</v>
      </c>
      <c r="O49" s="354">
        <v>0</v>
      </c>
      <c r="P49" s="95">
        <f t="shared" si="19"/>
        <v>450000</v>
      </c>
      <c r="Q49" s="51">
        <v>0</v>
      </c>
      <c r="R49" s="353">
        <v>0</v>
      </c>
      <c r="S49" s="58">
        <f t="shared" si="20"/>
        <v>0</v>
      </c>
      <c r="T49" s="51">
        <v>0</v>
      </c>
      <c r="U49" s="353">
        <v>0</v>
      </c>
      <c r="V49" s="51">
        <f t="shared" si="21"/>
        <v>0</v>
      </c>
      <c r="W49" s="51">
        <v>4000</v>
      </c>
      <c r="X49" s="462">
        <v>0</v>
      </c>
      <c r="Y49" s="460">
        <f t="shared" si="22"/>
        <v>800000</v>
      </c>
      <c r="Z49" s="460">
        <v>1300</v>
      </c>
      <c r="AA49" s="462">
        <v>0</v>
      </c>
      <c r="AB49" s="460">
        <f t="shared" si="23"/>
        <v>260000</v>
      </c>
      <c r="AC49" s="374">
        <f>SUM(K49+N49+Q49+T49+W49+Z49)/4</f>
        <v>2562.5</v>
      </c>
      <c r="AD49" s="463">
        <v>0</v>
      </c>
      <c r="AE49" s="374">
        <f t="shared" ref="AE49:AE110" si="25">AC49*J49</f>
        <v>512500</v>
      </c>
      <c r="AF49" s="452"/>
      <c r="AG49" s="452"/>
      <c r="AH49" s="452"/>
      <c r="AI49" s="452"/>
      <c r="AJ49" s="452"/>
      <c r="AK49" s="452"/>
      <c r="AL49" s="452"/>
      <c r="AM49" s="452"/>
      <c r="AN49" s="452"/>
      <c r="AO49" s="452"/>
      <c r="AP49" s="452"/>
      <c r="AQ49" s="452"/>
      <c r="AR49" s="452"/>
      <c r="AS49" s="452"/>
      <c r="AT49" s="452"/>
      <c r="AU49" s="452"/>
      <c r="AV49" s="452"/>
      <c r="AW49" s="452"/>
      <c r="AX49" s="452"/>
    </row>
    <row r="50" spans="1:50" s="26" customFormat="1" ht="15" x14ac:dyDescent="0.25">
      <c r="A50" s="46">
        <v>5</v>
      </c>
      <c r="B50" s="350">
        <v>110151509</v>
      </c>
      <c r="C50" s="350">
        <v>234188</v>
      </c>
      <c r="D50" s="350">
        <v>10151500</v>
      </c>
      <c r="E50" s="46">
        <v>3</v>
      </c>
      <c r="F50" s="351" t="s">
        <v>99</v>
      </c>
      <c r="G50" s="352" t="s">
        <v>97</v>
      </c>
      <c r="H50" s="352"/>
      <c r="I50" s="352"/>
      <c r="J50" s="356">
        <v>200</v>
      </c>
      <c r="K50" s="35">
        <v>9800</v>
      </c>
      <c r="L50" s="353">
        <v>0</v>
      </c>
      <c r="M50" s="58">
        <f t="shared" si="24"/>
        <v>1960000</v>
      </c>
      <c r="N50" s="58">
        <v>11950</v>
      </c>
      <c r="O50" s="354">
        <v>0</v>
      </c>
      <c r="P50" s="95">
        <f t="shared" si="19"/>
        <v>2390000</v>
      </c>
      <c r="Q50" s="51">
        <v>0</v>
      </c>
      <c r="R50" s="353">
        <v>0</v>
      </c>
      <c r="S50" s="58">
        <f t="shared" si="20"/>
        <v>0</v>
      </c>
      <c r="T50" s="51">
        <v>0</v>
      </c>
      <c r="U50" s="353">
        <v>0</v>
      </c>
      <c r="V50" s="51">
        <f t="shared" si="21"/>
        <v>0</v>
      </c>
      <c r="W50" s="51">
        <v>3800</v>
      </c>
      <c r="X50" s="462">
        <v>0</v>
      </c>
      <c r="Y50" s="460">
        <f t="shared" si="22"/>
        <v>760000</v>
      </c>
      <c r="Z50" s="460">
        <v>8300</v>
      </c>
      <c r="AA50" s="462">
        <v>0</v>
      </c>
      <c r="AB50" s="460">
        <f t="shared" si="23"/>
        <v>1660000</v>
      </c>
      <c r="AC50" s="374">
        <f>SUM(K50+N50+Q50+T50+W50+Z50)/4</f>
        <v>8462.5</v>
      </c>
      <c r="AD50" s="463">
        <v>0</v>
      </c>
      <c r="AE50" s="374">
        <f t="shared" si="25"/>
        <v>1692500</v>
      </c>
      <c r="AF50" s="452"/>
      <c r="AG50" s="452"/>
      <c r="AH50" s="452"/>
      <c r="AI50" s="452"/>
      <c r="AJ50" s="452"/>
      <c r="AK50" s="452"/>
      <c r="AL50" s="452"/>
      <c r="AM50" s="452"/>
      <c r="AN50" s="452"/>
      <c r="AO50" s="452"/>
      <c r="AP50" s="452"/>
      <c r="AQ50" s="452"/>
      <c r="AR50" s="452"/>
      <c r="AS50" s="452"/>
      <c r="AT50" s="452"/>
      <c r="AU50" s="452"/>
      <c r="AV50" s="452"/>
      <c r="AW50" s="452"/>
      <c r="AX50" s="452"/>
    </row>
    <row r="51" spans="1:50" s="26" customFormat="1" ht="15" x14ac:dyDescent="0.25">
      <c r="A51" s="46">
        <v>5</v>
      </c>
      <c r="B51" s="350">
        <v>110151509</v>
      </c>
      <c r="C51" s="350">
        <v>233222</v>
      </c>
      <c r="D51" s="350">
        <v>10151515</v>
      </c>
      <c r="E51" s="46">
        <v>4</v>
      </c>
      <c r="F51" s="351" t="s">
        <v>100</v>
      </c>
      <c r="G51" s="352" t="s">
        <v>97</v>
      </c>
      <c r="H51" s="352"/>
      <c r="I51" s="352"/>
      <c r="J51" s="356">
        <v>200</v>
      </c>
      <c r="K51" s="35">
        <v>9800</v>
      </c>
      <c r="L51" s="353">
        <v>0</v>
      </c>
      <c r="M51" s="58">
        <f t="shared" si="24"/>
        <v>1960000</v>
      </c>
      <c r="N51" s="58">
        <v>0</v>
      </c>
      <c r="O51" s="354">
        <v>0</v>
      </c>
      <c r="P51" s="95">
        <f t="shared" si="19"/>
        <v>0</v>
      </c>
      <c r="Q51" s="51">
        <v>0</v>
      </c>
      <c r="R51" s="353">
        <v>0</v>
      </c>
      <c r="S51" s="58">
        <f t="shared" si="20"/>
        <v>0</v>
      </c>
      <c r="T51" s="51">
        <v>0</v>
      </c>
      <c r="U51" s="353">
        <v>0</v>
      </c>
      <c r="V51" s="51">
        <f t="shared" si="21"/>
        <v>0</v>
      </c>
      <c r="W51" s="51">
        <v>2000</v>
      </c>
      <c r="X51" s="462">
        <v>0</v>
      </c>
      <c r="Y51" s="460">
        <f t="shared" si="22"/>
        <v>400000</v>
      </c>
      <c r="Z51" s="460">
        <v>6300</v>
      </c>
      <c r="AA51" s="462">
        <v>0</v>
      </c>
      <c r="AB51" s="460">
        <f t="shared" si="23"/>
        <v>1260000</v>
      </c>
      <c r="AC51" s="374">
        <f>SUM(K51+N51+Q51+T51+W51+Z51)/3</f>
        <v>6033.333333333333</v>
      </c>
      <c r="AD51" s="463">
        <v>0</v>
      </c>
      <c r="AE51" s="374">
        <f t="shared" si="25"/>
        <v>1206666.6666666665</v>
      </c>
      <c r="AF51" s="452"/>
      <c r="AG51" s="452"/>
      <c r="AH51" s="452"/>
      <c r="AI51" s="452"/>
      <c r="AJ51" s="452"/>
      <c r="AK51" s="452"/>
      <c r="AL51" s="452"/>
      <c r="AM51" s="452"/>
      <c r="AN51" s="452"/>
      <c r="AO51" s="452"/>
      <c r="AP51" s="452"/>
      <c r="AQ51" s="452"/>
      <c r="AR51" s="452"/>
      <c r="AS51" s="452"/>
      <c r="AT51" s="452"/>
      <c r="AU51" s="452"/>
      <c r="AV51" s="452"/>
      <c r="AW51" s="452"/>
      <c r="AX51" s="452"/>
    </row>
    <row r="52" spans="1:50" s="26" customFormat="1" ht="15" x14ac:dyDescent="0.25">
      <c r="A52" s="46">
        <v>5</v>
      </c>
      <c r="B52" s="350">
        <v>110151509</v>
      </c>
      <c r="C52" s="350">
        <v>233344</v>
      </c>
      <c r="D52" s="350">
        <v>10151512</v>
      </c>
      <c r="E52" s="46">
        <v>5</v>
      </c>
      <c r="F52" s="351" t="s">
        <v>101</v>
      </c>
      <c r="G52" s="352" t="s">
        <v>97</v>
      </c>
      <c r="H52" s="352"/>
      <c r="I52" s="352"/>
      <c r="J52" s="356">
        <v>200</v>
      </c>
      <c r="K52" s="35">
        <v>5900</v>
      </c>
      <c r="L52" s="353">
        <v>0</v>
      </c>
      <c r="M52" s="58">
        <f t="shared" si="24"/>
        <v>1180000</v>
      </c>
      <c r="N52" s="58">
        <v>0</v>
      </c>
      <c r="O52" s="354">
        <v>0</v>
      </c>
      <c r="P52" s="95">
        <f t="shared" si="19"/>
        <v>0</v>
      </c>
      <c r="Q52" s="51">
        <v>0</v>
      </c>
      <c r="R52" s="353">
        <v>0</v>
      </c>
      <c r="S52" s="58">
        <f t="shared" si="20"/>
        <v>0</v>
      </c>
      <c r="T52" s="51">
        <v>0</v>
      </c>
      <c r="U52" s="353">
        <v>0</v>
      </c>
      <c r="V52" s="51">
        <f t="shared" si="21"/>
        <v>0</v>
      </c>
      <c r="W52" s="51">
        <v>3000</v>
      </c>
      <c r="X52" s="462">
        <v>0</v>
      </c>
      <c r="Y52" s="460">
        <f t="shared" si="22"/>
        <v>600000</v>
      </c>
      <c r="Z52" s="460">
        <v>2400</v>
      </c>
      <c r="AA52" s="462">
        <v>0</v>
      </c>
      <c r="AB52" s="460">
        <f t="shared" si="23"/>
        <v>480000</v>
      </c>
      <c r="AC52" s="374">
        <f>SUM(K52+N52+Q52+T52+W52+Z52)/3</f>
        <v>3766.6666666666665</v>
      </c>
      <c r="AD52" s="463">
        <v>0</v>
      </c>
      <c r="AE52" s="374">
        <f t="shared" si="25"/>
        <v>753333.33333333326</v>
      </c>
      <c r="AF52" s="452"/>
      <c r="AG52" s="452"/>
      <c r="AH52" s="452"/>
      <c r="AI52" s="452"/>
      <c r="AJ52" s="452"/>
      <c r="AK52" s="452"/>
      <c r="AL52" s="452"/>
      <c r="AM52" s="452"/>
      <c r="AN52" s="452"/>
      <c r="AO52" s="452"/>
      <c r="AP52" s="452"/>
      <c r="AQ52" s="452"/>
      <c r="AR52" s="452"/>
      <c r="AS52" s="452"/>
      <c r="AT52" s="452"/>
      <c r="AU52" s="452"/>
      <c r="AV52" s="452"/>
      <c r="AW52" s="452"/>
      <c r="AX52" s="452"/>
    </row>
    <row r="53" spans="1:50" s="26" customFormat="1" ht="15" x14ac:dyDescent="0.25">
      <c r="A53" s="46">
        <v>5</v>
      </c>
      <c r="B53" s="350">
        <v>110151509</v>
      </c>
      <c r="C53" s="350">
        <v>283232</v>
      </c>
      <c r="D53" s="350">
        <v>10151808</v>
      </c>
      <c r="E53" s="46">
        <v>6</v>
      </c>
      <c r="F53" s="351" t="s">
        <v>102</v>
      </c>
      <c r="G53" s="352" t="s">
        <v>103</v>
      </c>
      <c r="H53" s="352"/>
      <c r="I53" s="352"/>
      <c r="J53" s="356">
        <v>200</v>
      </c>
      <c r="K53" s="35">
        <v>16800</v>
      </c>
      <c r="L53" s="353">
        <v>0</v>
      </c>
      <c r="M53" s="58">
        <f t="shared" si="24"/>
        <v>3360000</v>
      </c>
      <c r="N53" s="58">
        <v>3100</v>
      </c>
      <c r="O53" s="354">
        <v>0</v>
      </c>
      <c r="P53" s="95">
        <f t="shared" si="19"/>
        <v>620000</v>
      </c>
      <c r="Q53" s="51">
        <v>0</v>
      </c>
      <c r="R53" s="353">
        <v>0</v>
      </c>
      <c r="S53" s="58">
        <f t="shared" si="20"/>
        <v>0</v>
      </c>
      <c r="T53" s="51">
        <v>0</v>
      </c>
      <c r="U53" s="353">
        <v>0</v>
      </c>
      <c r="V53" s="51">
        <f t="shared" si="21"/>
        <v>0</v>
      </c>
      <c r="W53" s="51"/>
      <c r="X53" s="462">
        <v>0</v>
      </c>
      <c r="Y53" s="460">
        <f t="shared" si="22"/>
        <v>0</v>
      </c>
      <c r="Z53" s="460">
        <v>17700</v>
      </c>
      <c r="AA53" s="462">
        <v>0</v>
      </c>
      <c r="AB53" s="460">
        <f t="shared" si="23"/>
        <v>3540000</v>
      </c>
      <c r="AC53" s="374">
        <f>SUM(K53+N53+Q53+T53+W53+Z53)/3</f>
        <v>12533.333333333334</v>
      </c>
      <c r="AD53" s="463">
        <v>0</v>
      </c>
      <c r="AE53" s="374">
        <f t="shared" si="25"/>
        <v>2506666.666666667</v>
      </c>
      <c r="AF53" s="452"/>
      <c r="AG53" s="452"/>
      <c r="AH53" s="452"/>
      <c r="AI53" s="452"/>
      <c r="AJ53" s="452"/>
      <c r="AK53" s="452"/>
      <c r="AL53" s="452"/>
      <c r="AM53" s="452"/>
      <c r="AN53" s="452"/>
      <c r="AO53" s="452"/>
      <c r="AP53" s="452"/>
      <c r="AQ53" s="452"/>
      <c r="AR53" s="452"/>
      <c r="AS53" s="452"/>
      <c r="AT53" s="452"/>
      <c r="AU53" s="452"/>
      <c r="AV53" s="452"/>
      <c r="AW53" s="452"/>
      <c r="AX53" s="452"/>
    </row>
    <row r="54" spans="1:50" s="26" customFormat="1" ht="15" x14ac:dyDescent="0.25">
      <c r="A54" s="46">
        <v>5</v>
      </c>
      <c r="B54" s="350">
        <v>110151509</v>
      </c>
      <c r="C54" s="350">
        <v>239497</v>
      </c>
      <c r="D54" s="350">
        <v>10151507</v>
      </c>
      <c r="E54" s="46">
        <v>7</v>
      </c>
      <c r="F54" s="351" t="s">
        <v>104</v>
      </c>
      <c r="G54" s="352" t="s">
        <v>105</v>
      </c>
      <c r="H54" s="352"/>
      <c r="I54" s="352"/>
      <c r="J54" s="356">
        <v>200</v>
      </c>
      <c r="K54" s="35">
        <v>12300</v>
      </c>
      <c r="L54" s="353">
        <v>0</v>
      </c>
      <c r="M54" s="58">
        <f t="shared" si="24"/>
        <v>2460000</v>
      </c>
      <c r="N54" s="58">
        <v>3100</v>
      </c>
      <c r="O54" s="354">
        <v>0</v>
      </c>
      <c r="P54" s="95">
        <f t="shared" si="19"/>
        <v>620000</v>
      </c>
      <c r="Q54" s="51">
        <v>0</v>
      </c>
      <c r="R54" s="353">
        <v>0</v>
      </c>
      <c r="S54" s="58">
        <f t="shared" si="20"/>
        <v>0</v>
      </c>
      <c r="T54" s="51">
        <v>0</v>
      </c>
      <c r="U54" s="353">
        <v>0</v>
      </c>
      <c r="V54" s="51">
        <f t="shared" si="21"/>
        <v>0</v>
      </c>
      <c r="W54" s="51"/>
      <c r="X54" s="462">
        <v>0</v>
      </c>
      <c r="Y54" s="460">
        <f t="shared" si="22"/>
        <v>0</v>
      </c>
      <c r="Z54" s="460">
        <v>1700</v>
      </c>
      <c r="AA54" s="462">
        <v>0</v>
      </c>
      <c r="AB54" s="460">
        <f t="shared" si="23"/>
        <v>340000</v>
      </c>
      <c r="AC54" s="374">
        <f>SUM(K54+N54+Q54+T54+W54+Z54)/3</f>
        <v>5700</v>
      </c>
      <c r="AD54" s="463">
        <v>0</v>
      </c>
      <c r="AE54" s="374">
        <f t="shared" si="25"/>
        <v>1140000</v>
      </c>
      <c r="AF54" s="452"/>
      <c r="AG54" s="452"/>
      <c r="AH54" s="452"/>
      <c r="AI54" s="452"/>
      <c r="AJ54" s="452"/>
      <c r="AK54" s="452"/>
      <c r="AL54" s="452"/>
      <c r="AM54" s="452"/>
      <c r="AN54" s="452"/>
      <c r="AO54" s="452"/>
      <c r="AP54" s="452"/>
      <c r="AQ54" s="452"/>
      <c r="AR54" s="452"/>
      <c r="AS54" s="452"/>
      <c r="AT54" s="452"/>
      <c r="AU54" s="452"/>
      <c r="AV54" s="452"/>
      <c r="AW54" s="452"/>
      <c r="AX54" s="452"/>
    </row>
    <row r="55" spans="1:50" s="26" customFormat="1" ht="15" x14ac:dyDescent="0.25">
      <c r="A55" s="46">
        <v>5</v>
      </c>
      <c r="B55" s="350">
        <v>110151509</v>
      </c>
      <c r="C55" s="350">
        <v>240738</v>
      </c>
      <c r="D55" s="350">
        <v>10151513</v>
      </c>
      <c r="E55" s="46">
        <v>8</v>
      </c>
      <c r="F55" s="351" t="s">
        <v>106</v>
      </c>
      <c r="G55" s="352" t="s">
        <v>107</v>
      </c>
      <c r="H55" s="352"/>
      <c r="I55" s="352"/>
      <c r="J55" s="356">
        <v>100</v>
      </c>
      <c r="K55" s="35">
        <v>11900</v>
      </c>
      <c r="L55" s="353">
        <v>0</v>
      </c>
      <c r="M55" s="58">
        <f t="shared" si="24"/>
        <v>1190000</v>
      </c>
      <c r="N55" s="58">
        <v>6300</v>
      </c>
      <c r="O55" s="354">
        <v>0</v>
      </c>
      <c r="P55" s="95">
        <f t="shared" si="19"/>
        <v>630000</v>
      </c>
      <c r="Q55" s="51">
        <v>0</v>
      </c>
      <c r="R55" s="353">
        <v>0</v>
      </c>
      <c r="S55" s="58">
        <f t="shared" si="20"/>
        <v>0</v>
      </c>
      <c r="T55" s="51">
        <v>0</v>
      </c>
      <c r="U55" s="353">
        <v>0</v>
      </c>
      <c r="V55" s="51">
        <f t="shared" si="21"/>
        <v>0</v>
      </c>
      <c r="W55" s="51">
        <v>10400</v>
      </c>
      <c r="X55" s="462">
        <v>0</v>
      </c>
      <c r="Y55" s="460">
        <f t="shared" si="22"/>
        <v>1040000</v>
      </c>
      <c r="Z55" s="460">
        <v>9000</v>
      </c>
      <c r="AA55" s="462">
        <v>0</v>
      </c>
      <c r="AB55" s="460">
        <f t="shared" si="23"/>
        <v>900000</v>
      </c>
      <c r="AC55" s="374">
        <f>SUM(K55+N55+Q55+T55+W55+Z55)/4</f>
        <v>9400</v>
      </c>
      <c r="AD55" s="463">
        <v>0</v>
      </c>
      <c r="AE55" s="374">
        <f t="shared" si="25"/>
        <v>940000</v>
      </c>
      <c r="AF55" s="452"/>
      <c r="AG55" s="452"/>
      <c r="AH55" s="452"/>
      <c r="AI55" s="452"/>
      <c r="AJ55" s="452"/>
      <c r="AK55" s="452"/>
      <c r="AL55" s="452"/>
      <c r="AM55" s="452"/>
      <c r="AN55" s="452"/>
      <c r="AO55" s="452"/>
      <c r="AP55" s="452"/>
      <c r="AQ55" s="452"/>
      <c r="AR55" s="452"/>
      <c r="AS55" s="452"/>
      <c r="AT55" s="452"/>
      <c r="AU55" s="452"/>
      <c r="AV55" s="452"/>
      <c r="AW55" s="452"/>
      <c r="AX55" s="452"/>
    </row>
    <row r="56" spans="1:50" s="26" customFormat="1" ht="15" x14ac:dyDescent="0.25">
      <c r="A56" s="46">
        <v>5</v>
      </c>
      <c r="B56" s="350">
        <v>110151509</v>
      </c>
      <c r="C56" s="350">
        <v>244615</v>
      </c>
      <c r="D56" s="350">
        <v>10151501</v>
      </c>
      <c r="E56" s="46">
        <v>9</v>
      </c>
      <c r="F56" s="351" t="s">
        <v>108</v>
      </c>
      <c r="G56" s="352" t="s">
        <v>107</v>
      </c>
      <c r="H56" s="352"/>
      <c r="I56" s="352"/>
      <c r="J56" s="356">
        <v>100</v>
      </c>
      <c r="K56" s="35">
        <v>16500</v>
      </c>
      <c r="L56" s="353">
        <v>0</v>
      </c>
      <c r="M56" s="58">
        <f t="shared" si="24"/>
        <v>1650000</v>
      </c>
      <c r="N56" s="58">
        <v>16400</v>
      </c>
      <c r="O56" s="354">
        <v>0</v>
      </c>
      <c r="P56" s="95">
        <f t="shared" si="19"/>
        <v>1640000</v>
      </c>
      <c r="Q56" s="51">
        <v>0</v>
      </c>
      <c r="R56" s="353">
        <v>0</v>
      </c>
      <c r="S56" s="58">
        <f t="shared" si="20"/>
        <v>0</v>
      </c>
      <c r="T56" s="51">
        <v>0</v>
      </c>
      <c r="U56" s="353">
        <v>0</v>
      </c>
      <c r="V56" s="51">
        <f t="shared" si="21"/>
        <v>0</v>
      </c>
      <c r="W56" s="51">
        <v>16900</v>
      </c>
      <c r="X56" s="462">
        <v>0</v>
      </c>
      <c r="Y56" s="460">
        <f t="shared" si="22"/>
        <v>1690000</v>
      </c>
      <c r="Z56" s="460">
        <v>14200</v>
      </c>
      <c r="AA56" s="462">
        <v>0</v>
      </c>
      <c r="AB56" s="460">
        <f t="shared" si="23"/>
        <v>1420000</v>
      </c>
      <c r="AC56" s="374">
        <f>SUM(K56+N56+Q56+T56+W56+Z56)/4</f>
        <v>16000</v>
      </c>
      <c r="AD56" s="463">
        <v>0</v>
      </c>
      <c r="AE56" s="374">
        <f t="shared" si="25"/>
        <v>1600000</v>
      </c>
      <c r="AF56" s="452"/>
      <c r="AG56" s="452"/>
      <c r="AH56" s="452"/>
      <c r="AI56" s="452"/>
      <c r="AJ56" s="452"/>
      <c r="AK56" s="452"/>
      <c r="AL56" s="452"/>
      <c r="AM56" s="452"/>
      <c r="AN56" s="452"/>
      <c r="AO56" s="452"/>
      <c r="AP56" s="452"/>
      <c r="AQ56" s="452"/>
      <c r="AR56" s="452"/>
      <c r="AS56" s="452"/>
      <c r="AT56" s="452"/>
      <c r="AU56" s="452"/>
      <c r="AV56" s="452"/>
      <c r="AW56" s="452"/>
      <c r="AX56" s="452"/>
    </row>
    <row r="57" spans="1:50" s="26" customFormat="1" ht="15" x14ac:dyDescent="0.25">
      <c r="A57" s="46">
        <v>5</v>
      </c>
      <c r="B57" s="350">
        <v>110151509</v>
      </c>
      <c r="C57" s="350">
        <v>233229</v>
      </c>
      <c r="D57" s="350">
        <v>10151523</v>
      </c>
      <c r="E57" s="46">
        <v>10</v>
      </c>
      <c r="F57" s="351" t="s">
        <v>109</v>
      </c>
      <c r="G57" s="352" t="s">
        <v>97</v>
      </c>
      <c r="H57" s="352"/>
      <c r="I57" s="352"/>
      <c r="J57" s="356">
        <v>200</v>
      </c>
      <c r="K57" s="35">
        <v>6400</v>
      </c>
      <c r="L57" s="353">
        <v>0</v>
      </c>
      <c r="M57" s="58">
        <f t="shared" si="24"/>
        <v>1280000</v>
      </c>
      <c r="N57" s="58">
        <v>1550</v>
      </c>
      <c r="O57" s="354">
        <v>0</v>
      </c>
      <c r="P57" s="95">
        <f t="shared" si="19"/>
        <v>310000</v>
      </c>
      <c r="Q57" s="51">
        <v>0</v>
      </c>
      <c r="R57" s="353">
        <v>0</v>
      </c>
      <c r="S57" s="58">
        <f t="shared" si="20"/>
        <v>0</v>
      </c>
      <c r="T57" s="51">
        <v>0</v>
      </c>
      <c r="U57" s="353">
        <v>0</v>
      </c>
      <c r="V57" s="51">
        <f t="shared" si="21"/>
        <v>0</v>
      </c>
      <c r="W57" s="51">
        <v>7600</v>
      </c>
      <c r="X57" s="462">
        <v>0</v>
      </c>
      <c r="Y57" s="460">
        <f t="shared" si="22"/>
        <v>1520000</v>
      </c>
      <c r="Z57" s="460">
        <v>4200</v>
      </c>
      <c r="AA57" s="462">
        <v>0</v>
      </c>
      <c r="AB57" s="460">
        <f t="shared" si="23"/>
        <v>840000</v>
      </c>
      <c r="AC57" s="374">
        <f>SUM(K57+N57+Q57+T57+W57+Z57)/4</f>
        <v>4937.5</v>
      </c>
      <c r="AD57" s="463">
        <v>0</v>
      </c>
      <c r="AE57" s="374">
        <f t="shared" si="25"/>
        <v>987500</v>
      </c>
      <c r="AF57" s="452"/>
      <c r="AG57" s="452"/>
      <c r="AH57" s="452"/>
      <c r="AI57" s="452"/>
      <c r="AJ57" s="452"/>
      <c r="AK57" s="452"/>
      <c r="AL57" s="452"/>
      <c r="AM57" s="452"/>
      <c r="AN57" s="452"/>
      <c r="AO57" s="452"/>
      <c r="AP57" s="452"/>
      <c r="AQ57" s="452"/>
      <c r="AR57" s="452"/>
      <c r="AS57" s="452"/>
      <c r="AT57" s="452"/>
      <c r="AU57" s="452"/>
      <c r="AV57" s="452"/>
      <c r="AW57" s="452"/>
      <c r="AX57" s="452"/>
    </row>
    <row r="58" spans="1:50" s="26" customFormat="1" ht="15" x14ac:dyDescent="0.25">
      <c r="A58" s="46">
        <v>5</v>
      </c>
      <c r="B58" s="350">
        <v>110151509</v>
      </c>
      <c r="C58" s="350">
        <v>233257</v>
      </c>
      <c r="D58" s="350">
        <v>10151526</v>
      </c>
      <c r="E58" s="46">
        <v>11</v>
      </c>
      <c r="F58" s="351" t="s">
        <v>110</v>
      </c>
      <c r="G58" s="352" t="s">
        <v>111</v>
      </c>
      <c r="H58" s="352"/>
      <c r="I58" s="352"/>
      <c r="J58" s="356">
        <v>200</v>
      </c>
      <c r="K58" s="35">
        <v>17890</v>
      </c>
      <c r="L58" s="353">
        <v>0</v>
      </c>
      <c r="M58" s="58">
        <f t="shared" si="24"/>
        <v>3578000</v>
      </c>
      <c r="N58" s="58">
        <v>4500</v>
      </c>
      <c r="O58" s="354">
        <v>0</v>
      </c>
      <c r="P58" s="95">
        <f t="shared" si="19"/>
        <v>900000</v>
      </c>
      <c r="Q58" s="51">
        <v>0</v>
      </c>
      <c r="R58" s="353">
        <v>0</v>
      </c>
      <c r="S58" s="58">
        <f t="shared" si="20"/>
        <v>0</v>
      </c>
      <c r="T58" s="51">
        <v>0</v>
      </c>
      <c r="U58" s="353">
        <v>0</v>
      </c>
      <c r="V58" s="51">
        <f t="shared" si="21"/>
        <v>0</v>
      </c>
      <c r="W58" s="51">
        <v>7600</v>
      </c>
      <c r="X58" s="462">
        <v>0</v>
      </c>
      <c r="Y58" s="460">
        <f t="shared" si="22"/>
        <v>1520000</v>
      </c>
      <c r="Z58" s="460">
        <v>2400</v>
      </c>
      <c r="AA58" s="462">
        <v>0</v>
      </c>
      <c r="AB58" s="460">
        <f t="shared" si="23"/>
        <v>480000</v>
      </c>
      <c r="AC58" s="374">
        <f>SUM(K58+N58+Q58+T58+W58+Z58)/4</f>
        <v>8097.5</v>
      </c>
      <c r="AD58" s="463">
        <v>0</v>
      </c>
      <c r="AE58" s="374">
        <f t="shared" si="25"/>
        <v>1619500</v>
      </c>
      <c r="AF58" s="452"/>
      <c r="AG58" s="452"/>
      <c r="AH58" s="452"/>
      <c r="AI58" s="452"/>
      <c r="AJ58" s="452"/>
      <c r="AK58" s="452"/>
      <c r="AL58" s="452"/>
      <c r="AM58" s="452"/>
      <c r="AN58" s="452"/>
      <c r="AO58" s="452"/>
      <c r="AP58" s="452"/>
      <c r="AQ58" s="452"/>
      <c r="AR58" s="452"/>
      <c r="AS58" s="452"/>
      <c r="AT58" s="452"/>
      <c r="AU58" s="452"/>
      <c r="AV58" s="452"/>
      <c r="AW58" s="452"/>
      <c r="AX58" s="452"/>
    </row>
    <row r="59" spans="1:50" s="26" customFormat="1" ht="15" x14ac:dyDescent="0.25">
      <c r="A59" s="46">
        <v>5</v>
      </c>
      <c r="B59" s="350">
        <v>110171607</v>
      </c>
      <c r="C59" s="350">
        <v>233323</v>
      </c>
      <c r="D59" s="350">
        <v>10171801</v>
      </c>
      <c r="E59" s="46">
        <v>12</v>
      </c>
      <c r="F59" s="351" t="s">
        <v>112</v>
      </c>
      <c r="G59" s="352" t="s">
        <v>113</v>
      </c>
      <c r="H59" s="352"/>
      <c r="I59" s="352"/>
      <c r="J59" s="356">
        <v>250</v>
      </c>
      <c r="K59" s="35">
        <v>83200</v>
      </c>
      <c r="L59" s="353">
        <v>0</v>
      </c>
      <c r="M59" s="58">
        <f t="shared" si="24"/>
        <v>20800000</v>
      </c>
      <c r="N59" s="58">
        <v>38300</v>
      </c>
      <c r="O59" s="354">
        <v>0</v>
      </c>
      <c r="P59" s="95">
        <f t="shared" si="19"/>
        <v>9575000</v>
      </c>
      <c r="Q59" s="51">
        <v>55600</v>
      </c>
      <c r="R59" s="353">
        <v>0</v>
      </c>
      <c r="S59" s="58">
        <f t="shared" si="20"/>
        <v>13900000</v>
      </c>
      <c r="T59" s="51">
        <v>0</v>
      </c>
      <c r="U59" s="353">
        <v>0</v>
      </c>
      <c r="V59" s="51">
        <f t="shared" si="21"/>
        <v>0</v>
      </c>
      <c r="W59" s="51">
        <v>72700</v>
      </c>
      <c r="X59" s="462">
        <v>0</v>
      </c>
      <c r="Y59" s="460">
        <f t="shared" si="22"/>
        <v>18175000</v>
      </c>
      <c r="Z59" s="460">
        <v>61000</v>
      </c>
      <c r="AA59" s="462">
        <v>0</v>
      </c>
      <c r="AB59" s="460">
        <f t="shared" si="23"/>
        <v>15250000</v>
      </c>
      <c r="AC59" s="374">
        <f>SUM(K59+N59+Q59+T59+W59+Z59)/5</f>
        <v>62160</v>
      </c>
      <c r="AD59" s="463">
        <v>0</v>
      </c>
      <c r="AE59" s="374">
        <f t="shared" si="25"/>
        <v>15540000</v>
      </c>
      <c r="AF59" s="452"/>
      <c r="AG59" s="452"/>
      <c r="AH59" s="452"/>
      <c r="AI59" s="452"/>
      <c r="AJ59" s="452"/>
      <c r="AK59" s="452"/>
      <c r="AL59" s="452"/>
      <c r="AM59" s="452"/>
      <c r="AN59" s="452"/>
      <c r="AO59" s="452"/>
      <c r="AP59" s="452"/>
      <c r="AQ59" s="452"/>
      <c r="AR59" s="452"/>
      <c r="AS59" s="452"/>
      <c r="AT59" s="452"/>
      <c r="AU59" s="452"/>
      <c r="AV59" s="452"/>
      <c r="AW59" s="452"/>
      <c r="AX59" s="452"/>
    </row>
    <row r="60" spans="1:50" s="26" customFormat="1" ht="30" x14ac:dyDescent="0.25">
      <c r="A60" s="46">
        <v>5</v>
      </c>
      <c r="B60" s="350">
        <v>110171607</v>
      </c>
      <c r="C60" s="350">
        <v>281976</v>
      </c>
      <c r="D60" s="350">
        <v>10171608</v>
      </c>
      <c r="E60" s="46">
        <v>13</v>
      </c>
      <c r="F60" s="351" t="s">
        <v>114</v>
      </c>
      <c r="G60" s="352" t="s">
        <v>113</v>
      </c>
      <c r="H60" s="352"/>
      <c r="I60" s="352"/>
      <c r="J60" s="384">
        <v>90</v>
      </c>
      <c r="K60" s="35">
        <v>41500</v>
      </c>
      <c r="L60" s="353">
        <v>0</v>
      </c>
      <c r="M60" s="58">
        <f t="shared" si="24"/>
        <v>3735000</v>
      </c>
      <c r="N60" s="58">
        <v>0</v>
      </c>
      <c r="O60" s="354">
        <v>0</v>
      </c>
      <c r="P60" s="95">
        <f t="shared" si="19"/>
        <v>0</v>
      </c>
      <c r="Q60" s="51">
        <v>30300</v>
      </c>
      <c r="R60" s="353">
        <v>0</v>
      </c>
      <c r="S60" s="58">
        <f t="shared" si="20"/>
        <v>2727000</v>
      </c>
      <c r="T60" s="51">
        <v>0</v>
      </c>
      <c r="U60" s="353">
        <v>0</v>
      </c>
      <c r="V60" s="51">
        <f t="shared" si="21"/>
        <v>0</v>
      </c>
      <c r="W60" s="51"/>
      <c r="X60" s="462">
        <v>0</v>
      </c>
      <c r="Y60" s="460">
        <f t="shared" si="22"/>
        <v>0</v>
      </c>
      <c r="Z60" s="460">
        <v>25000</v>
      </c>
      <c r="AA60" s="462">
        <v>0</v>
      </c>
      <c r="AB60" s="460">
        <f t="shared" si="23"/>
        <v>2250000</v>
      </c>
      <c r="AC60" s="374">
        <f>SUM(K60+N60+Q60+T60+W60+Z60)/3</f>
        <v>32266.666666666668</v>
      </c>
      <c r="AD60" s="463">
        <v>0</v>
      </c>
      <c r="AE60" s="374">
        <f t="shared" si="25"/>
        <v>2904000</v>
      </c>
      <c r="AF60" s="452"/>
      <c r="AG60" s="452"/>
      <c r="AH60" s="452"/>
      <c r="AI60" s="452"/>
      <c r="AJ60" s="452"/>
      <c r="AK60" s="452"/>
      <c r="AL60" s="452"/>
      <c r="AM60" s="452"/>
      <c r="AN60" s="452"/>
      <c r="AO60" s="452"/>
      <c r="AP60" s="452"/>
      <c r="AQ60" s="452"/>
      <c r="AR60" s="452"/>
      <c r="AS60" s="452"/>
      <c r="AT60" s="452"/>
      <c r="AU60" s="452"/>
      <c r="AV60" s="452"/>
      <c r="AW60" s="452"/>
      <c r="AX60" s="452"/>
    </row>
    <row r="61" spans="1:50" s="26" customFormat="1" ht="15" x14ac:dyDescent="0.25">
      <c r="A61" s="46">
        <v>5</v>
      </c>
      <c r="B61" s="350">
        <v>110171607</v>
      </c>
      <c r="C61" s="350">
        <v>281976</v>
      </c>
      <c r="D61" s="350">
        <v>10171608</v>
      </c>
      <c r="E61" s="46">
        <v>14</v>
      </c>
      <c r="F61" s="351" t="s">
        <v>115</v>
      </c>
      <c r="G61" s="352" t="s">
        <v>113</v>
      </c>
      <c r="H61" s="352"/>
      <c r="I61" s="352"/>
      <c r="J61" s="356">
        <v>130</v>
      </c>
      <c r="K61" s="35"/>
      <c r="L61" s="353">
        <v>0</v>
      </c>
      <c r="M61" s="58">
        <f t="shared" si="24"/>
        <v>0</v>
      </c>
      <c r="N61" s="58">
        <v>0</v>
      </c>
      <c r="O61" s="354">
        <v>0</v>
      </c>
      <c r="P61" s="95">
        <f t="shared" si="19"/>
        <v>0</v>
      </c>
      <c r="Q61" s="51">
        <v>13900</v>
      </c>
      <c r="R61" s="353">
        <v>0</v>
      </c>
      <c r="S61" s="58">
        <f t="shared" si="20"/>
        <v>1807000</v>
      </c>
      <c r="T61" s="51">
        <v>12850</v>
      </c>
      <c r="U61" s="353">
        <v>0</v>
      </c>
      <c r="V61" s="51">
        <f t="shared" si="21"/>
        <v>1670500</v>
      </c>
      <c r="W61" s="51">
        <v>17000</v>
      </c>
      <c r="X61" s="462">
        <v>0</v>
      </c>
      <c r="Y61" s="460">
        <f t="shared" si="22"/>
        <v>2210000</v>
      </c>
      <c r="Z61" s="460">
        <v>10500</v>
      </c>
      <c r="AA61" s="462">
        <v>0</v>
      </c>
      <c r="AB61" s="460">
        <f t="shared" si="23"/>
        <v>1365000</v>
      </c>
      <c r="AC61" s="374">
        <f>SUM(K61+N61+Q61+T61+W61+Z61)/4</f>
        <v>13562.5</v>
      </c>
      <c r="AD61" s="463">
        <v>0</v>
      </c>
      <c r="AE61" s="374">
        <f t="shared" si="25"/>
        <v>1763125</v>
      </c>
      <c r="AF61" s="452"/>
      <c r="AG61" s="452"/>
      <c r="AH61" s="452"/>
      <c r="AI61" s="452"/>
      <c r="AJ61" s="452"/>
      <c r="AK61" s="452"/>
      <c r="AL61" s="452"/>
      <c r="AM61" s="452"/>
      <c r="AN61" s="452"/>
      <c r="AO61" s="452"/>
      <c r="AP61" s="452"/>
      <c r="AQ61" s="452"/>
      <c r="AR61" s="452"/>
      <c r="AS61" s="452"/>
      <c r="AT61" s="452"/>
      <c r="AU61" s="452"/>
      <c r="AV61" s="452"/>
      <c r="AW61" s="452"/>
      <c r="AX61" s="452"/>
    </row>
    <row r="62" spans="1:50" s="26" customFormat="1" ht="15" x14ac:dyDescent="0.25">
      <c r="A62" s="46">
        <v>5</v>
      </c>
      <c r="B62" s="29">
        <v>110171607</v>
      </c>
      <c r="C62" s="29">
        <v>233318</v>
      </c>
      <c r="D62" s="29">
        <v>10171608</v>
      </c>
      <c r="E62" s="46">
        <v>15</v>
      </c>
      <c r="F62" s="351" t="s">
        <v>116</v>
      </c>
      <c r="G62" s="352" t="s">
        <v>113</v>
      </c>
      <c r="H62" s="352"/>
      <c r="I62" s="352"/>
      <c r="J62" s="356">
        <v>70</v>
      </c>
      <c r="K62" s="35">
        <v>265712</v>
      </c>
      <c r="L62" s="353">
        <v>0</v>
      </c>
      <c r="M62" s="58">
        <f t="shared" si="24"/>
        <v>18599840</v>
      </c>
      <c r="N62" s="58">
        <v>190550</v>
      </c>
      <c r="O62" s="354">
        <v>0</v>
      </c>
      <c r="P62" s="95">
        <f t="shared" si="19"/>
        <v>13338500</v>
      </c>
      <c r="Q62" s="51">
        <v>0</v>
      </c>
      <c r="R62" s="353">
        <v>0</v>
      </c>
      <c r="S62" s="58">
        <f t="shared" si="20"/>
        <v>0</v>
      </c>
      <c r="T62" s="51">
        <v>0</v>
      </c>
      <c r="U62" s="353">
        <v>0</v>
      </c>
      <c r="V62" s="51">
        <f t="shared" si="21"/>
        <v>0</v>
      </c>
      <c r="W62" s="51">
        <v>217100</v>
      </c>
      <c r="X62" s="462">
        <v>0</v>
      </c>
      <c r="Y62" s="460">
        <f t="shared" si="22"/>
        <v>15197000</v>
      </c>
      <c r="Z62" s="460">
        <v>190000</v>
      </c>
      <c r="AA62" s="462">
        <v>0</v>
      </c>
      <c r="AB62" s="460">
        <f t="shared" si="23"/>
        <v>13300000</v>
      </c>
      <c r="AC62" s="374">
        <f>SUM(K62+N62+Q62+T62+W62+Z62)/4</f>
        <v>215840.5</v>
      </c>
      <c r="AD62" s="463">
        <v>0</v>
      </c>
      <c r="AE62" s="374">
        <f t="shared" si="25"/>
        <v>15108835</v>
      </c>
      <c r="AF62" s="452"/>
      <c r="AG62" s="452"/>
      <c r="AH62" s="452"/>
      <c r="AI62" s="452"/>
      <c r="AJ62" s="452"/>
      <c r="AK62" s="452"/>
      <c r="AL62" s="452"/>
      <c r="AM62" s="452"/>
      <c r="AN62" s="452"/>
      <c r="AO62" s="452"/>
      <c r="AP62" s="452"/>
      <c r="AQ62" s="452"/>
      <c r="AR62" s="452"/>
      <c r="AS62" s="452"/>
      <c r="AT62" s="452"/>
      <c r="AU62" s="452"/>
      <c r="AV62" s="452"/>
      <c r="AW62" s="452"/>
      <c r="AX62" s="452"/>
    </row>
    <row r="63" spans="1:50" s="26" customFormat="1" ht="30" x14ac:dyDescent="0.25">
      <c r="A63" s="46">
        <v>5</v>
      </c>
      <c r="B63" s="350">
        <v>110171703</v>
      </c>
      <c r="C63" s="350">
        <v>244544</v>
      </c>
      <c r="D63" s="350">
        <v>10171608</v>
      </c>
      <c r="E63" s="46">
        <v>16</v>
      </c>
      <c r="F63" s="351" t="s">
        <v>117</v>
      </c>
      <c r="G63" s="352" t="s">
        <v>113</v>
      </c>
      <c r="H63" s="352"/>
      <c r="I63" s="352"/>
      <c r="J63" s="356">
        <v>30</v>
      </c>
      <c r="K63" s="35">
        <v>253000</v>
      </c>
      <c r="L63" s="353">
        <v>0</v>
      </c>
      <c r="M63" s="58">
        <f t="shared" si="24"/>
        <v>7590000</v>
      </c>
      <c r="N63" s="58">
        <v>0</v>
      </c>
      <c r="O63" s="354">
        <v>0</v>
      </c>
      <c r="P63" s="95">
        <f t="shared" si="19"/>
        <v>0</v>
      </c>
      <c r="Q63" s="51">
        <v>174300</v>
      </c>
      <c r="R63" s="353">
        <v>0</v>
      </c>
      <c r="S63" s="58">
        <f t="shared" si="20"/>
        <v>5229000</v>
      </c>
      <c r="T63" s="51">
        <v>0</v>
      </c>
      <c r="U63" s="353">
        <v>0</v>
      </c>
      <c r="V63" s="51">
        <f t="shared" si="21"/>
        <v>0</v>
      </c>
      <c r="W63" s="51">
        <v>211500</v>
      </c>
      <c r="X63" s="462">
        <v>0</v>
      </c>
      <c r="Y63" s="460">
        <f t="shared" si="22"/>
        <v>6345000</v>
      </c>
      <c r="Z63" s="460">
        <v>172000</v>
      </c>
      <c r="AA63" s="462">
        <v>0</v>
      </c>
      <c r="AB63" s="460">
        <f t="shared" si="23"/>
        <v>5160000</v>
      </c>
      <c r="AC63" s="374">
        <f>SUM(K63+N63+Q63+T63+W63+Z63)/4</f>
        <v>202700</v>
      </c>
      <c r="AD63" s="463">
        <v>0</v>
      </c>
      <c r="AE63" s="374">
        <f t="shared" si="25"/>
        <v>6081000</v>
      </c>
      <c r="AF63" s="452"/>
      <c r="AG63" s="452"/>
      <c r="AH63" s="452"/>
      <c r="AI63" s="452"/>
      <c r="AJ63" s="452"/>
      <c r="AK63" s="452"/>
      <c r="AL63" s="452"/>
      <c r="AM63" s="452"/>
      <c r="AN63" s="452"/>
      <c r="AO63" s="452"/>
      <c r="AP63" s="452"/>
      <c r="AQ63" s="452"/>
      <c r="AR63" s="452"/>
      <c r="AS63" s="452"/>
      <c r="AT63" s="452"/>
      <c r="AU63" s="452"/>
      <c r="AV63" s="452"/>
      <c r="AW63" s="452"/>
      <c r="AX63" s="452"/>
    </row>
    <row r="64" spans="1:50" s="26" customFormat="1" ht="15" x14ac:dyDescent="0.25">
      <c r="A64" s="46">
        <v>5</v>
      </c>
      <c r="B64" s="350">
        <v>110171703</v>
      </c>
      <c r="C64" s="350">
        <v>244544</v>
      </c>
      <c r="D64" s="350">
        <v>10171608</v>
      </c>
      <c r="E64" s="46">
        <v>17</v>
      </c>
      <c r="F64" s="355" t="s">
        <v>118</v>
      </c>
      <c r="G64" s="352" t="s">
        <v>113</v>
      </c>
      <c r="H64" s="352"/>
      <c r="I64" s="352"/>
      <c r="J64" s="356">
        <v>20</v>
      </c>
      <c r="K64" s="35">
        <v>245000</v>
      </c>
      <c r="L64" s="353">
        <v>0</v>
      </c>
      <c r="M64" s="58">
        <f t="shared" si="24"/>
        <v>4900000</v>
      </c>
      <c r="N64" s="58">
        <v>0</v>
      </c>
      <c r="O64" s="354">
        <v>0</v>
      </c>
      <c r="P64" s="95">
        <f t="shared" si="19"/>
        <v>0</v>
      </c>
      <c r="Q64" s="51">
        <v>172800</v>
      </c>
      <c r="R64" s="353">
        <v>0</v>
      </c>
      <c r="S64" s="58">
        <f t="shared" si="20"/>
        <v>3456000</v>
      </c>
      <c r="T64" s="51">
        <v>175750</v>
      </c>
      <c r="U64" s="353">
        <v>0</v>
      </c>
      <c r="V64" s="51">
        <f t="shared" si="21"/>
        <v>3515000</v>
      </c>
      <c r="W64" s="51">
        <v>192100</v>
      </c>
      <c r="X64" s="462">
        <v>0</v>
      </c>
      <c r="Y64" s="460">
        <f t="shared" si="22"/>
        <v>3842000</v>
      </c>
      <c r="Z64" s="460">
        <v>175000</v>
      </c>
      <c r="AA64" s="462">
        <v>0</v>
      </c>
      <c r="AB64" s="460">
        <f t="shared" si="23"/>
        <v>3500000</v>
      </c>
      <c r="AC64" s="374">
        <f>SUM(K64+N64+Q64+T64+W64+Z64)/5</f>
        <v>192130</v>
      </c>
      <c r="AD64" s="463">
        <v>0</v>
      </c>
      <c r="AE64" s="374">
        <f t="shared" si="25"/>
        <v>3842600</v>
      </c>
      <c r="AF64" s="452"/>
      <c r="AG64" s="452"/>
      <c r="AH64" s="452"/>
      <c r="AI64" s="452"/>
      <c r="AJ64" s="452"/>
      <c r="AK64" s="452"/>
      <c r="AL64" s="452"/>
      <c r="AM64" s="452"/>
      <c r="AN64" s="452"/>
      <c r="AO64" s="452"/>
      <c r="AP64" s="452"/>
      <c r="AQ64" s="452"/>
      <c r="AR64" s="452"/>
      <c r="AS64" s="452"/>
      <c r="AT64" s="452"/>
      <c r="AU64" s="452"/>
      <c r="AV64" s="452"/>
      <c r="AW64" s="452"/>
      <c r="AX64" s="452"/>
    </row>
    <row r="65" spans="1:50" s="26" customFormat="1" ht="15" x14ac:dyDescent="0.25">
      <c r="A65" s="46">
        <v>5</v>
      </c>
      <c r="B65" s="350">
        <v>110171607</v>
      </c>
      <c r="C65" s="350">
        <v>271314</v>
      </c>
      <c r="D65" s="350">
        <v>10171608</v>
      </c>
      <c r="E65" s="46">
        <v>18</v>
      </c>
      <c r="F65" s="351" t="s">
        <v>119</v>
      </c>
      <c r="G65" s="352" t="s">
        <v>120</v>
      </c>
      <c r="H65" s="352"/>
      <c r="I65" s="352"/>
      <c r="J65" s="356">
        <v>20</v>
      </c>
      <c r="K65" s="35">
        <v>154000</v>
      </c>
      <c r="L65" s="353">
        <v>0</v>
      </c>
      <c r="M65" s="58">
        <f t="shared" si="24"/>
        <v>3080000</v>
      </c>
      <c r="N65" s="58">
        <v>0</v>
      </c>
      <c r="O65" s="354">
        <v>0</v>
      </c>
      <c r="P65" s="95">
        <f t="shared" si="19"/>
        <v>0</v>
      </c>
      <c r="Q65" s="51">
        <v>0</v>
      </c>
      <c r="R65" s="353">
        <v>0</v>
      </c>
      <c r="S65" s="58">
        <f t="shared" si="20"/>
        <v>0</v>
      </c>
      <c r="T65" s="51">
        <v>0</v>
      </c>
      <c r="U65" s="353">
        <v>0</v>
      </c>
      <c r="V65" s="51">
        <f t="shared" si="21"/>
        <v>0</v>
      </c>
      <c r="W65" s="51">
        <v>0</v>
      </c>
      <c r="X65" s="462">
        <v>0</v>
      </c>
      <c r="Y65" s="460">
        <f t="shared" si="22"/>
        <v>0</v>
      </c>
      <c r="Z65" s="460">
        <v>120000</v>
      </c>
      <c r="AA65" s="462">
        <v>0</v>
      </c>
      <c r="AB65" s="460">
        <f t="shared" si="23"/>
        <v>2400000</v>
      </c>
      <c r="AC65" s="374">
        <f>SUM(K65+N65+Q65+T65+W65+Z65)/2</f>
        <v>137000</v>
      </c>
      <c r="AD65" s="463">
        <v>0</v>
      </c>
      <c r="AE65" s="374">
        <f t="shared" si="25"/>
        <v>2740000</v>
      </c>
      <c r="AF65" s="452"/>
      <c r="AG65" s="452"/>
      <c r="AH65" s="452"/>
      <c r="AI65" s="452"/>
      <c r="AJ65" s="452"/>
      <c r="AK65" s="452"/>
      <c r="AL65" s="452"/>
      <c r="AM65" s="452"/>
      <c r="AN65" s="452"/>
      <c r="AO65" s="452"/>
      <c r="AP65" s="452"/>
      <c r="AQ65" s="452"/>
      <c r="AR65" s="452"/>
      <c r="AS65" s="452"/>
      <c r="AT65" s="452"/>
      <c r="AU65" s="452"/>
      <c r="AV65" s="452"/>
      <c r="AW65" s="452"/>
      <c r="AX65" s="452"/>
    </row>
    <row r="66" spans="1:50" s="26" customFormat="1" ht="30" x14ac:dyDescent="0.25">
      <c r="A66" s="46">
        <v>5</v>
      </c>
      <c r="B66" s="350">
        <v>110171607</v>
      </c>
      <c r="C66" s="350">
        <v>244364</v>
      </c>
      <c r="D66" s="350">
        <v>10171600</v>
      </c>
      <c r="E66" s="46">
        <v>19</v>
      </c>
      <c r="F66" s="351" t="s">
        <v>121</v>
      </c>
      <c r="G66" s="352" t="s">
        <v>122</v>
      </c>
      <c r="H66" s="352"/>
      <c r="I66" s="352"/>
      <c r="J66" s="356">
        <v>10</v>
      </c>
      <c r="K66" s="35">
        <v>103000</v>
      </c>
      <c r="L66" s="353">
        <v>0</v>
      </c>
      <c r="M66" s="58">
        <f t="shared" si="24"/>
        <v>1030000</v>
      </c>
      <c r="N66" s="58">
        <v>0</v>
      </c>
      <c r="O66" s="354">
        <v>0</v>
      </c>
      <c r="P66" s="95">
        <f t="shared" si="19"/>
        <v>0</v>
      </c>
      <c r="Q66" s="51">
        <v>0</v>
      </c>
      <c r="R66" s="353">
        <v>0</v>
      </c>
      <c r="S66" s="58">
        <f t="shared" si="20"/>
        <v>0</v>
      </c>
      <c r="T66" s="51">
        <v>0</v>
      </c>
      <c r="U66" s="353">
        <v>0</v>
      </c>
      <c r="V66" s="51">
        <f t="shared" si="21"/>
        <v>0</v>
      </c>
      <c r="W66" s="51">
        <v>0</v>
      </c>
      <c r="X66" s="462">
        <v>0</v>
      </c>
      <c r="Y66" s="460">
        <f t="shared" si="22"/>
        <v>0</v>
      </c>
      <c r="Z66" s="460">
        <v>75000</v>
      </c>
      <c r="AA66" s="462">
        <v>0</v>
      </c>
      <c r="AB66" s="460">
        <f t="shared" si="23"/>
        <v>750000</v>
      </c>
      <c r="AC66" s="374">
        <f>SUM(K66+N66+Q66+T66+W66+Z66)/2</f>
        <v>89000</v>
      </c>
      <c r="AD66" s="463">
        <v>0</v>
      </c>
      <c r="AE66" s="374">
        <f t="shared" si="25"/>
        <v>890000</v>
      </c>
      <c r="AF66" s="452"/>
      <c r="AG66" s="452"/>
      <c r="AH66" s="452"/>
      <c r="AI66" s="452"/>
      <c r="AJ66" s="452"/>
      <c r="AK66" s="452"/>
      <c r="AL66" s="452"/>
      <c r="AM66" s="452"/>
      <c r="AN66" s="452"/>
      <c r="AO66" s="452"/>
      <c r="AP66" s="452"/>
      <c r="AQ66" s="452"/>
      <c r="AR66" s="452"/>
      <c r="AS66" s="452"/>
      <c r="AT66" s="452"/>
      <c r="AU66" s="452"/>
      <c r="AV66" s="452"/>
      <c r="AW66" s="452"/>
      <c r="AX66" s="452"/>
    </row>
    <row r="67" spans="1:50" s="26" customFormat="1" ht="30" x14ac:dyDescent="0.25">
      <c r="A67" s="46">
        <v>5</v>
      </c>
      <c r="B67" s="350">
        <v>110171607</v>
      </c>
      <c r="C67" s="350">
        <v>244364</v>
      </c>
      <c r="D67" s="350">
        <v>10171600</v>
      </c>
      <c r="E67" s="46">
        <v>20</v>
      </c>
      <c r="F67" s="351" t="s">
        <v>123</v>
      </c>
      <c r="G67" s="352" t="s">
        <v>122</v>
      </c>
      <c r="H67" s="352"/>
      <c r="I67" s="352"/>
      <c r="J67" s="356">
        <v>10</v>
      </c>
      <c r="K67" s="35">
        <v>230000</v>
      </c>
      <c r="L67" s="353">
        <v>0</v>
      </c>
      <c r="M67" s="58">
        <f t="shared" si="24"/>
        <v>2300000</v>
      </c>
      <c r="N67" s="58">
        <v>0</v>
      </c>
      <c r="O67" s="354">
        <v>0</v>
      </c>
      <c r="P67" s="95">
        <f t="shared" si="19"/>
        <v>0</v>
      </c>
      <c r="Q67" s="51">
        <v>0</v>
      </c>
      <c r="R67" s="353">
        <v>0</v>
      </c>
      <c r="S67" s="58">
        <f t="shared" si="20"/>
        <v>0</v>
      </c>
      <c r="T67" s="51">
        <v>59575</v>
      </c>
      <c r="U67" s="353">
        <v>0</v>
      </c>
      <c r="V67" s="51">
        <f t="shared" si="21"/>
        <v>595750</v>
      </c>
      <c r="W67" s="51">
        <v>0</v>
      </c>
      <c r="X67" s="462">
        <v>0</v>
      </c>
      <c r="Y67" s="460">
        <f t="shared" si="22"/>
        <v>0</v>
      </c>
      <c r="Z67" s="460">
        <v>165000</v>
      </c>
      <c r="AA67" s="462">
        <v>0</v>
      </c>
      <c r="AB67" s="460">
        <f t="shared" si="23"/>
        <v>1650000</v>
      </c>
      <c r="AC67" s="374">
        <f>SUM(K67+N67+Q67+T67+W67+Z67)/3</f>
        <v>151525</v>
      </c>
      <c r="AD67" s="463">
        <v>0</v>
      </c>
      <c r="AE67" s="374">
        <f t="shared" si="25"/>
        <v>1515250</v>
      </c>
      <c r="AF67" s="452"/>
      <c r="AG67" s="452"/>
      <c r="AH67" s="452"/>
      <c r="AI67" s="452"/>
      <c r="AJ67" s="452"/>
      <c r="AK67" s="452"/>
      <c r="AL67" s="452"/>
      <c r="AM67" s="452"/>
      <c r="AN67" s="452"/>
      <c r="AO67" s="452"/>
      <c r="AP67" s="452"/>
      <c r="AQ67" s="452"/>
      <c r="AR67" s="452"/>
      <c r="AS67" s="452"/>
      <c r="AT67" s="452"/>
      <c r="AU67" s="452"/>
      <c r="AV67" s="452"/>
      <c r="AW67" s="452"/>
      <c r="AX67" s="452"/>
    </row>
    <row r="68" spans="1:50" s="26" customFormat="1" ht="30" x14ac:dyDescent="0.25">
      <c r="A68" s="46">
        <v>5</v>
      </c>
      <c r="B68" s="350">
        <v>110171607</v>
      </c>
      <c r="C68" s="350">
        <v>244364</v>
      </c>
      <c r="D68" s="350">
        <v>10171600</v>
      </c>
      <c r="E68" s="46">
        <v>21</v>
      </c>
      <c r="F68" s="351" t="s">
        <v>124</v>
      </c>
      <c r="G68" s="352" t="s">
        <v>113</v>
      </c>
      <c r="H68" s="352"/>
      <c r="I68" s="352"/>
      <c r="J68" s="356">
        <v>15</v>
      </c>
      <c r="K68" s="35">
        <v>83200</v>
      </c>
      <c r="L68" s="353">
        <v>0</v>
      </c>
      <c r="M68" s="58">
        <f t="shared" si="24"/>
        <v>1248000</v>
      </c>
      <c r="N68" s="58">
        <v>0</v>
      </c>
      <c r="O68" s="354">
        <v>0</v>
      </c>
      <c r="P68" s="95">
        <f t="shared" si="19"/>
        <v>0</v>
      </c>
      <c r="Q68" s="51">
        <v>0</v>
      </c>
      <c r="R68" s="353">
        <v>0</v>
      </c>
      <c r="S68" s="58">
        <f t="shared" si="20"/>
        <v>0</v>
      </c>
      <c r="T68" s="51">
        <v>41095</v>
      </c>
      <c r="U68" s="353">
        <v>0</v>
      </c>
      <c r="V68" s="51">
        <f t="shared" si="21"/>
        <v>616425</v>
      </c>
      <c r="W68" s="51">
        <v>0</v>
      </c>
      <c r="X68" s="462">
        <v>0</v>
      </c>
      <c r="Y68" s="460">
        <f t="shared" si="22"/>
        <v>0</v>
      </c>
      <c r="Z68" s="460">
        <v>49000</v>
      </c>
      <c r="AA68" s="462">
        <v>0</v>
      </c>
      <c r="AB68" s="460">
        <f t="shared" si="23"/>
        <v>735000</v>
      </c>
      <c r="AC68" s="374">
        <f>SUM(K68+N68+Q68+T68+W68+Z68)/3</f>
        <v>57765</v>
      </c>
      <c r="AD68" s="463">
        <v>0</v>
      </c>
      <c r="AE68" s="374">
        <f t="shared" si="25"/>
        <v>866475</v>
      </c>
      <c r="AF68" s="452"/>
      <c r="AG68" s="452"/>
      <c r="AH68" s="452"/>
      <c r="AI68" s="452"/>
      <c r="AJ68" s="452"/>
      <c r="AK68" s="452"/>
      <c r="AL68" s="452"/>
      <c r="AM68" s="452"/>
      <c r="AN68" s="452"/>
      <c r="AO68" s="452"/>
      <c r="AP68" s="452"/>
      <c r="AQ68" s="452"/>
      <c r="AR68" s="452"/>
      <c r="AS68" s="452"/>
      <c r="AT68" s="452"/>
      <c r="AU68" s="452"/>
      <c r="AV68" s="452"/>
      <c r="AW68" s="452"/>
      <c r="AX68" s="452"/>
    </row>
    <row r="69" spans="1:50" s="26" customFormat="1" ht="30" x14ac:dyDescent="0.25">
      <c r="A69" s="46">
        <v>5</v>
      </c>
      <c r="B69" s="350">
        <v>110171607</v>
      </c>
      <c r="C69" s="350">
        <v>244364</v>
      </c>
      <c r="D69" s="350">
        <v>10171600</v>
      </c>
      <c r="E69" s="46">
        <v>22</v>
      </c>
      <c r="F69" s="351" t="s">
        <v>125</v>
      </c>
      <c r="G69" s="352" t="s">
        <v>122</v>
      </c>
      <c r="H69" s="352"/>
      <c r="I69" s="352"/>
      <c r="J69" s="356">
        <v>15</v>
      </c>
      <c r="K69" s="35">
        <v>423000</v>
      </c>
      <c r="L69" s="353">
        <v>0</v>
      </c>
      <c r="M69" s="58">
        <f t="shared" si="24"/>
        <v>6345000</v>
      </c>
      <c r="N69" s="58">
        <v>0</v>
      </c>
      <c r="O69" s="354">
        <v>0</v>
      </c>
      <c r="P69" s="95">
        <f t="shared" si="19"/>
        <v>0</v>
      </c>
      <c r="Q69" s="51">
        <v>0</v>
      </c>
      <c r="R69" s="353">
        <v>0</v>
      </c>
      <c r="S69" s="58">
        <f t="shared" si="20"/>
        <v>0</v>
      </c>
      <c r="T69" s="51">
        <v>0</v>
      </c>
      <c r="U69" s="353">
        <v>0</v>
      </c>
      <c r="V69" s="51">
        <f t="shared" si="21"/>
        <v>0</v>
      </c>
      <c r="W69" s="51">
        <v>0</v>
      </c>
      <c r="X69" s="462">
        <v>0</v>
      </c>
      <c r="Y69" s="460">
        <f t="shared" si="22"/>
        <v>0</v>
      </c>
      <c r="Z69" s="460">
        <v>310000</v>
      </c>
      <c r="AA69" s="462">
        <v>0</v>
      </c>
      <c r="AB69" s="460">
        <f t="shared" si="23"/>
        <v>4650000</v>
      </c>
      <c r="AC69" s="374">
        <f>SUM(K69+N69+Q69+T69+W69+Z69)/2</f>
        <v>366500</v>
      </c>
      <c r="AD69" s="463">
        <v>0</v>
      </c>
      <c r="AE69" s="374">
        <f t="shared" si="25"/>
        <v>5497500</v>
      </c>
      <c r="AF69" s="452"/>
      <c r="AG69" s="452"/>
      <c r="AH69" s="452"/>
      <c r="AI69" s="452"/>
      <c r="AJ69" s="452"/>
      <c r="AK69" s="452"/>
      <c r="AL69" s="452"/>
      <c r="AM69" s="452"/>
      <c r="AN69" s="452"/>
      <c r="AO69" s="452"/>
      <c r="AP69" s="452"/>
      <c r="AQ69" s="452"/>
      <c r="AR69" s="452"/>
      <c r="AS69" s="452"/>
      <c r="AT69" s="452"/>
      <c r="AU69" s="452"/>
      <c r="AV69" s="452"/>
      <c r="AW69" s="452"/>
      <c r="AX69" s="452"/>
    </row>
    <row r="70" spans="1:50" s="26" customFormat="1" ht="30" x14ac:dyDescent="0.25">
      <c r="A70" s="46">
        <v>5</v>
      </c>
      <c r="B70" s="350">
        <v>110171607</v>
      </c>
      <c r="C70" s="350">
        <v>244364</v>
      </c>
      <c r="D70" s="350">
        <v>10171600</v>
      </c>
      <c r="E70" s="46">
        <v>23</v>
      </c>
      <c r="F70" s="351" t="s">
        <v>126</v>
      </c>
      <c r="G70" s="352" t="s">
        <v>127</v>
      </c>
      <c r="H70" s="352"/>
      <c r="I70" s="352"/>
      <c r="J70" s="356">
        <v>15</v>
      </c>
      <c r="K70" s="35">
        <v>395000</v>
      </c>
      <c r="L70" s="353">
        <v>0</v>
      </c>
      <c r="M70" s="58">
        <f t="shared" si="24"/>
        <v>5925000</v>
      </c>
      <c r="N70" s="58">
        <v>0</v>
      </c>
      <c r="O70" s="354">
        <v>0</v>
      </c>
      <c r="P70" s="95">
        <f t="shared" si="19"/>
        <v>0</v>
      </c>
      <c r="Q70" s="51">
        <v>0</v>
      </c>
      <c r="R70" s="353">
        <v>0</v>
      </c>
      <c r="S70" s="58">
        <f t="shared" si="20"/>
        <v>0</v>
      </c>
      <c r="T70" s="51">
        <v>0</v>
      </c>
      <c r="U70" s="353">
        <v>0</v>
      </c>
      <c r="V70" s="51">
        <f t="shared" si="21"/>
        <v>0</v>
      </c>
      <c r="W70" s="51">
        <v>0</v>
      </c>
      <c r="X70" s="462">
        <v>0</v>
      </c>
      <c r="Y70" s="460">
        <f t="shared" si="22"/>
        <v>0</v>
      </c>
      <c r="Z70" s="460">
        <v>278000</v>
      </c>
      <c r="AA70" s="462">
        <v>0</v>
      </c>
      <c r="AB70" s="460">
        <f t="shared" si="23"/>
        <v>4170000</v>
      </c>
      <c r="AC70" s="374">
        <f>SUM(K70+N70+Q70+T70+W70+Z70)/2</f>
        <v>336500</v>
      </c>
      <c r="AD70" s="463">
        <v>0</v>
      </c>
      <c r="AE70" s="374">
        <f t="shared" si="25"/>
        <v>5047500</v>
      </c>
      <c r="AF70" s="452"/>
      <c r="AG70" s="452"/>
      <c r="AH70" s="452"/>
      <c r="AI70" s="452"/>
      <c r="AJ70" s="452"/>
      <c r="AK70" s="452"/>
      <c r="AL70" s="452"/>
      <c r="AM70" s="452"/>
      <c r="AN70" s="452"/>
      <c r="AO70" s="452"/>
      <c r="AP70" s="452"/>
      <c r="AQ70" s="452"/>
      <c r="AR70" s="452"/>
      <c r="AS70" s="452"/>
      <c r="AT70" s="452"/>
      <c r="AU70" s="452"/>
      <c r="AV70" s="452"/>
      <c r="AW70" s="452"/>
      <c r="AX70" s="452"/>
    </row>
    <row r="71" spans="1:50" s="26" customFormat="1" ht="30" x14ac:dyDescent="0.25">
      <c r="A71" s="46">
        <v>5</v>
      </c>
      <c r="B71" s="350">
        <v>110171607</v>
      </c>
      <c r="C71" s="350">
        <v>244364</v>
      </c>
      <c r="D71" s="350">
        <v>10171600</v>
      </c>
      <c r="E71" s="46">
        <v>24</v>
      </c>
      <c r="F71" s="351" t="s">
        <v>128</v>
      </c>
      <c r="G71" s="352" t="s">
        <v>122</v>
      </c>
      <c r="H71" s="352"/>
      <c r="I71" s="352"/>
      <c r="J71" s="356">
        <v>15</v>
      </c>
      <c r="K71" s="377">
        <v>269000</v>
      </c>
      <c r="L71" s="353">
        <v>0</v>
      </c>
      <c r="M71" s="58">
        <f t="shared" si="24"/>
        <v>4035000</v>
      </c>
      <c r="N71" s="58">
        <v>0</v>
      </c>
      <c r="O71" s="354">
        <v>0</v>
      </c>
      <c r="P71" s="95">
        <f t="shared" si="19"/>
        <v>0</v>
      </c>
      <c r="Q71" s="51">
        <v>0</v>
      </c>
      <c r="R71" s="353">
        <v>0</v>
      </c>
      <c r="S71" s="58">
        <f t="shared" si="20"/>
        <v>0</v>
      </c>
      <c r="T71" s="51">
        <v>0</v>
      </c>
      <c r="U71" s="353">
        <v>0</v>
      </c>
      <c r="V71" s="51">
        <f t="shared" si="21"/>
        <v>0</v>
      </c>
      <c r="W71" s="51">
        <v>0</v>
      </c>
      <c r="X71" s="462">
        <v>0</v>
      </c>
      <c r="Y71" s="460">
        <f t="shared" si="22"/>
        <v>0</v>
      </c>
      <c r="Z71" s="460">
        <v>95000</v>
      </c>
      <c r="AA71" s="462">
        <v>0</v>
      </c>
      <c r="AB71" s="460">
        <f t="shared" si="23"/>
        <v>1425000</v>
      </c>
      <c r="AC71" s="374">
        <f>SUM(K71+N71+Q71+T71+W71+Z71)/2</f>
        <v>182000</v>
      </c>
      <c r="AD71" s="463">
        <v>0</v>
      </c>
      <c r="AE71" s="374">
        <f t="shared" si="25"/>
        <v>2730000</v>
      </c>
      <c r="AF71" s="452"/>
      <c r="AG71" s="452"/>
      <c r="AH71" s="452"/>
      <c r="AI71" s="452"/>
      <c r="AJ71" s="452"/>
      <c r="AK71" s="452"/>
      <c r="AL71" s="452"/>
      <c r="AM71" s="452"/>
      <c r="AN71" s="452"/>
      <c r="AO71" s="452"/>
      <c r="AP71" s="452"/>
      <c r="AQ71" s="452"/>
      <c r="AR71" s="452"/>
      <c r="AS71" s="452"/>
      <c r="AT71" s="452"/>
      <c r="AU71" s="452"/>
      <c r="AV71" s="452"/>
      <c r="AW71" s="452"/>
      <c r="AX71" s="452"/>
    </row>
    <row r="72" spans="1:50" s="26" customFormat="1" ht="30" x14ac:dyDescent="0.25">
      <c r="A72" s="46">
        <v>5</v>
      </c>
      <c r="B72" s="350">
        <v>110171607</v>
      </c>
      <c r="C72" s="350">
        <v>241044</v>
      </c>
      <c r="D72" s="350">
        <v>10171608</v>
      </c>
      <c r="E72" s="46">
        <v>25</v>
      </c>
      <c r="F72" s="351" t="s">
        <v>129</v>
      </c>
      <c r="G72" s="352" t="s">
        <v>113</v>
      </c>
      <c r="H72" s="352"/>
      <c r="I72" s="352"/>
      <c r="J72" s="356">
        <v>30</v>
      </c>
      <c r="K72" s="377">
        <v>269000</v>
      </c>
      <c r="L72" s="353">
        <v>0</v>
      </c>
      <c r="M72" s="58">
        <f t="shared" si="24"/>
        <v>8070000</v>
      </c>
      <c r="N72" s="58">
        <v>0</v>
      </c>
      <c r="O72" s="354">
        <v>0</v>
      </c>
      <c r="P72" s="95">
        <f t="shared" si="19"/>
        <v>0</v>
      </c>
      <c r="Q72" s="51">
        <v>0</v>
      </c>
      <c r="R72" s="353">
        <v>0</v>
      </c>
      <c r="S72" s="58">
        <f t="shared" si="20"/>
        <v>0</v>
      </c>
      <c r="T72" s="51">
        <v>0</v>
      </c>
      <c r="U72" s="353">
        <v>0</v>
      </c>
      <c r="V72" s="51">
        <f t="shared" si="21"/>
        <v>0</v>
      </c>
      <c r="W72" s="51">
        <v>0</v>
      </c>
      <c r="X72" s="462">
        <v>0</v>
      </c>
      <c r="Y72" s="460">
        <f t="shared" si="22"/>
        <v>0</v>
      </c>
      <c r="Z72" s="460">
        <v>179000</v>
      </c>
      <c r="AA72" s="462">
        <v>0</v>
      </c>
      <c r="AB72" s="460">
        <f t="shared" si="23"/>
        <v>5370000</v>
      </c>
      <c r="AC72" s="374">
        <f>SUM(K72+N72+Q72+T72+W72+Z72)/2</f>
        <v>224000</v>
      </c>
      <c r="AD72" s="463">
        <v>0</v>
      </c>
      <c r="AE72" s="374">
        <f t="shared" si="25"/>
        <v>6720000</v>
      </c>
      <c r="AF72" s="452"/>
      <c r="AG72" s="452"/>
      <c r="AH72" s="452"/>
      <c r="AI72" s="452"/>
      <c r="AJ72" s="452"/>
      <c r="AK72" s="452"/>
      <c r="AL72" s="452"/>
      <c r="AM72" s="452"/>
      <c r="AN72" s="452"/>
      <c r="AO72" s="452"/>
      <c r="AP72" s="452"/>
      <c r="AQ72" s="452"/>
      <c r="AR72" s="452"/>
      <c r="AS72" s="452"/>
      <c r="AT72" s="452"/>
      <c r="AU72" s="452"/>
      <c r="AV72" s="452"/>
      <c r="AW72" s="452"/>
      <c r="AX72" s="452"/>
    </row>
    <row r="73" spans="1:50" s="26" customFormat="1" ht="15" x14ac:dyDescent="0.25">
      <c r="A73" s="46">
        <v>5</v>
      </c>
      <c r="B73" s="350">
        <v>110171607</v>
      </c>
      <c r="C73" s="350">
        <v>270898</v>
      </c>
      <c r="D73" s="350">
        <v>10171601</v>
      </c>
      <c r="E73" s="46">
        <v>26</v>
      </c>
      <c r="F73" s="351" t="s">
        <v>130</v>
      </c>
      <c r="G73" s="352" t="s">
        <v>113</v>
      </c>
      <c r="H73" s="352"/>
      <c r="I73" s="352"/>
      <c r="J73" s="356">
        <v>10</v>
      </c>
      <c r="K73" s="377">
        <v>187000</v>
      </c>
      <c r="L73" s="353">
        <v>0</v>
      </c>
      <c r="M73" s="58">
        <f t="shared" si="24"/>
        <v>1870000</v>
      </c>
      <c r="N73" s="58">
        <v>0</v>
      </c>
      <c r="O73" s="354">
        <v>0</v>
      </c>
      <c r="P73" s="95">
        <f t="shared" si="19"/>
        <v>0</v>
      </c>
      <c r="Q73" s="51">
        <v>0</v>
      </c>
      <c r="R73" s="353">
        <v>0</v>
      </c>
      <c r="S73" s="58">
        <f t="shared" si="20"/>
        <v>0</v>
      </c>
      <c r="T73" s="51">
        <v>0</v>
      </c>
      <c r="U73" s="353">
        <v>0</v>
      </c>
      <c r="V73" s="51">
        <f t="shared" si="21"/>
        <v>0</v>
      </c>
      <c r="W73" s="51">
        <v>139400</v>
      </c>
      <c r="X73" s="462">
        <v>0</v>
      </c>
      <c r="Y73" s="460">
        <f t="shared" si="22"/>
        <v>1394000</v>
      </c>
      <c r="Z73" s="460">
        <v>140000</v>
      </c>
      <c r="AA73" s="462">
        <v>0</v>
      </c>
      <c r="AB73" s="460">
        <f t="shared" si="23"/>
        <v>1400000</v>
      </c>
      <c r="AC73" s="374">
        <f>SUM(K73+N73+Q73+T73+W73+Z73)/3</f>
        <v>155466.66666666666</v>
      </c>
      <c r="AD73" s="463">
        <v>0</v>
      </c>
      <c r="AE73" s="374">
        <f t="shared" si="25"/>
        <v>1554666.6666666665</v>
      </c>
      <c r="AF73" s="452"/>
      <c r="AG73" s="452"/>
      <c r="AH73" s="452"/>
      <c r="AI73" s="452"/>
      <c r="AJ73" s="452"/>
      <c r="AK73" s="452"/>
      <c r="AL73" s="452"/>
      <c r="AM73" s="452"/>
      <c r="AN73" s="452"/>
      <c r="AO73" s="452"/>
      <c r="AP73" s="452"/>
      <c r="AQ73" s="452"/>
      <c r="AR73" s="452"/>
      <c r="AS73" s="452"/>
      <c r="AT73" s="452"/>
      <c r="AU73" s="452"/>
      <c r="AV73" s="452"/>
      <c r="AW73" s="452"/>
      <c r="AX73" s="452"/>
    </row>
    <row r="74" spans="1:50" s="26" customFormat="1" ht="15" x14ac:dyDescent="0.25">
      <c r="A74" s="46">
        <v>5</v>
      </c>
      <c r="B74" s="29">
        <v>11071607</v>
      </c>
      <c r="C74" s="29">
        <v>270897</v>
      </c>
      <c r="D74" s="29">
        <v>1321015</v>
      </c>
      <c r="E74" s="46">
        <v>27</v>
      </c>
      <c r="F74" s="351" t="s">
        <v>131</v>
      </c>
      <c r="G74" s="352" t="s">
        <v>113</v>
      </c>
      <c r="H74" s="352"/>
      <c r="I74" s="352"/>
      <c r="J74" s="356">
        <v>90</v>
      </c>
      <c r="K74" s="377">
        <v>276000</v>
      </c>
      <c r="L74" s="353">
        <v>0</v>
      </c>
      <c r="M74" s="58">
        <f t="shared" si="24"/>
        <v>24840000</v>
      </c>
      <c r="N74" s="58">
        <v>189700</v>
      </c>
      <c r="O74" s="354">
        <v>0</v>
      </c>
      <c r="P74" s="95">
        <f t="shared" si="19"/>
        <v>17073000</v>
      </c>
      <c r="Q74" s="51">
        <v>0</v>
      </c>
      <c r="R74" s="353">
        <v>0</v>
      </c>
      <c r="S74" s="58">
        <f t="shared" si="20"/>
        <v>0</v>
      </c>
      <c r="T74" s="51">
        <v>0</v>
      </c>
      <c r="U74" s="353">
        <v>0</v>
      </c>
      <c r="V74" s="51">
        <f t="shared" si="21"/>
        <v>0</v>
      </c>
      <c r="W74" s="357">
        <v>216100</v>
      </c>
      <c r="X74" s="462">
        <v>0</v>
      </c>
      <c r="Y74" s="460">
        <f t="shared" si="22"/>
        <v>19449000</v>
      </c>
      <c r="Z74" s="460">
        <v>198000</v>
      </c>
      <c r="AA74" s="462">
        <v>0</v>
      </c>
      <c r="AB74" s="460">
        <f t="shared" si="23"/>
        <v>17820000</v>
      </c>
      <c r="AC74" s="374">
        <f>SUM(K74+N74+Q74+T74+W74+Z74)/4</f>
        <v>219950</v>
      </c>
      <c r="AD74" s="463">
        <v>0</v>
      </c>
      <c r="AE74" s="374">
        <f t="shared" si="25"/>
        <v>19795500</v>
      </c>
      <c r="AF74" s="452"/>
      <c r="AG74" s="452"/>
      <c r="AH74" s="452"/>
      <c r="AI74" s="452"/>
      <c r="AJ74" s="452"/>
      <c r="AK74" s="452"/>
      <c r="AL74" s="452"/>
      <c r="AM74" s="452"/>
      <c r="AN74" s="452"/>
      <c r="AO74" s="452"/>
      <c r="AP74" s="452"/>
      <c r="AQ74" s="452"/>
      <c r="AR74" s="452"/>
      <c r="AS74" s="452"/>
      <c r="AT74" s="452"/>
      <c r="AU74" s="452"/>
      <c r="AV74" s="452"/>
      <c r="AW74" s="452"/>
      <c r="AX74" s="452"/>
    </row>
    <row r="75" spans="1:50" s="26" customFormat="1" ht="15" x14ac:dyDescent="0.25">
      <c r="A75" s="46">
        <v>5</v>
      </c>
      <c r="B75" s="350">
        <v>110171607</v>
      </c>
      <c r="C75" s="350">
        <v>242557</v>
      </c>
      <c r="D75" s="350">
        <v>10171608</v>
      </c>
      <c r="E75" s="46">
        <v>28</v>
      </c>
      <c r="F75" s="351" t="s">
        <v>132</v>
      </c>
      <c r="G75" s="352" t="s">
        <v>113</v>
      </c>
      <c r="H75" s="352"/>
      <c r="I75" s="352"/>
      <c r="J75" s="356">
        <v>15</v>
      </c>
      <c r="K75" s="377">
        <v>264000</v>
      </c>
      <c r="L75" s="353">
        <v>0</v>
      </c>
      <c r="M75" s="58">
        <f t="shared" si="24"/>
        <v>3960000</v>
      </c>
      <c r="N75" s="58">
        <v>0</v>
      </c>
      <c r="O75" s="354">
        <v>0</v>
      </c>
      <c r="P75" s="95">
        <f t="shared" si="19"/>
        <v>0</v>
      </c>
      <c r="Q75" s="51">
        <v>166300</v>
      </c>
      <c r="R75" s="353">
        <v>0</v>
      </c>
      <c r="S75" s="58">
        <f t="shared" si="20"/>
        <v>2494500</v>
      </c>
      <c r="T75" s="51">
        <v>0</v>
      </c>
      <c r="U75" s="353">
        <v>0</v>
      </c>
      <c r="V75" s="51">
        <f t="shared" si="21"/>
        <v>0</v>
      </c>
      <c r="W75" s="51">
        <v>214900</v>
      </c>
      <c r="X75" s="462">
        <v>0</v>
      </c>
      <c r="Y75" s="460">
        <f t="shared" si="22"/>
        <v>3223500</v>
      </c>
      <c r="Z75" s="460">
        <v>190000</v>
      </c>
      <c r="AA75" s="462">
        <v>0</v>
      </c>
      <c r="AB75" s="460">
        <f t="shared" si="23"/>
        <v>2850000</v>
      </c>
      <c r="AC75" s="374">
        <f>SUM(K75+N75+Q75+T75+W75+Z75)/4</f>
        <v>208800</v>
      </c>
      <c r="AD75" s="463">
        <v>0</v>
      </c>
      <c r="AE75" s="374">
        <f t="shared" si="25"/>
        <v>3132000</v>
      </c>
      <c r="AF75" s="452"/>
      <c r="AG75" s="452"/>
      <c r="AH75" s="452"/>
      <c r="AI75" s="452"/>
      <c r="AJ75" s="452"/>
      <c r="AK75" s="452"/>
      <c r="AL75" s="452"/>
      <c r="AM75" s="452"/>
      <c r="AN75" s="452"/>
      <c r="AO75" s="452"/>
      <c r="AP75" s="452"/>
      <c r="AQ75" s="452"/>
      <c r="AR75" s="452"/>
      <c r="AS75" s="452"/>
      <c r="AT75" s="452"/>
      <c r="AU75" s="452"/>
      <c r="AV75" s="452"/>
      <c r="AW75" s="452"/>
      <c r="AX75" s="452"/>
    </row>
    <row r="76" spans="1:50" s="26" customFormat="1" ht="30" x14ac:dyDescent="0.25">
      <c r="A76" s="46">
        <v>5</v>
      </c>
      <c r="B76" s="350">
        <v>110171607</v>
      </c>
      <c r="C76" s="350">
        <v>234159</v>
      </c>
      <c r="D76" s="350">
        <v>10171608</v>
      </c>
      <c r="E76" s="46">
        <v>29</v>
      </c>
      <c r="F76" s="351" t="s">
        <v>133</v>
      </c>
      <c r="G76" s="352" t="s">
        <v>134</v>
      </c>
      <c r="H76" s="352"/>
      <c r="I76" s="352"/>
      <c r="J76" s="356">
        <v>30</v>
      </c>
      <c r="K76" s="377">
        <v>26228</v>
      </c>
      <c r="L76" s="353">
        <v>0</v>
      </c>
      <c r="M76" s="58">
        <f t="shared" si="24"/>
        <v>786840</v>
      </c>
      <c r="N76" s="58">
        <v>0</v>
      </c>
      <c r="O76" s="354">
        <v>0</v>
      </c>
      <c r="P76" s="95">
        <f t="shared" si="19"/>
        <v>0</v>
      </c>
      <c r="Q76" s="51">
        <v>0</v>
      </c>
      <c r="R76" s="353">
        <v>0</v>
      </c>
      <c r="S76" s="58">
        <f t="shared" si="20"/>
        <v>0</v>
      </c>
      <c r="T76" s="51">
        <v>0</v>
      </c>
      <c r="U76" s="353">
        <v>0</v>
      </c>
      <c r="V76" s="51">
        <f t="shared" si="21"/>
        <v>0</v>
      </c>
      <c r="W76" s="51">
        <v>0</v>
      </c>
      <c r="X76" s="462">
        <v>0</v>
      </c>
      <c r="Y76" s="460">
        <f t="shared" si="22"/>
        <v>0</v>
      </c>
      <c r="Z76" s="460">
        <v>21000</v>
      </c>
      <c r="AA76" s="462">
        <v>0</v>
      </c>
      <c r="AB76" s="460">
        <f t="shared" si="23"/>
        <v>630000</v>
      </c>
      <c r="AC76" s="374">
        <f>SUM(K76+N76+Q76+T76+W76+Z76)/2</f>
        <v>23614</v>
      </c>
      <c r="AD76" s="463">
        <v>0</v>
      </c>
      <c r="AE76" s="374">
        <f t="shared" si="25"/>
        <v>708420</v>
      </c>
      <c r="AF76" s="464"/>
      <c r="AG76" s="452"/>
      <c r="AH76" s="452"/>
      <c r="AI76" s="452"/>
      <c r="AJ76" s="452"/>
      <c r="AK76" s="452"/>
      <c r="AL76" s="452"/>
      <c r="AM76" s="452"/>
      <c r="AN76" s="452"/>
      <c r="AO76" s="452"/>
      <c r="AP76" s="452"/>
      <c r="AQ76" s="452"/>
      <c r="AR76" s="452"/>
      <c r="AS76" s="452"/>
      <c r="AT76" s="452"/>
      <c r="AU76" s="452"/>
      <c r="AV76" s="452"/>
      <c r="AW76" s="452"/>
      <c r="AX76" s="452"/>
    </row>
    <row r="77" spans="1:50" s="26" customFormat="1" ht="30" x14ac:dyDescent="0.25">
      <c r="A77" s="46">
        <v>5</v>
      </c>
      <c r="B77" s="350">
        <v>110171607</v>
      </c>
      <c r="C77" s="350">
        <v>240116</v>
      </c>
      <c r="D77" s="350">
        <v>10171608</v>
      </c>
      <c r="E77" s="46">
        <v>30</v>
      </c>
      <c r="F77" s="351" t="s">
        <v>135</v>
      </c>
      <c r="G77" s="352" t="s">
        <v>107</v>
      </c>
      <c r="H77" s="352"/>
      <c r="I77" s="352"/>
      <c r="J77" s="356">
        <v>30</v>
      </c>
      <c r="K77" s="377">
        <v>10680</v>
      </c>
      <c r="L77" s="353">
        <v>0</v>
      </c>
      <c r="M77" s="58">
        <f t="shared" si="24"/>
        <v>320400</v>
      </c>
      <c r="N77" s="58">
        <v>0</v>
      </c>
      <c r="O77" s="354">
        <v>0</v>
      </c>
      <c r="P77" s="95">
        <f t="shared" si="19"/>
        <v>0</v>
      </c>
      <c r="Q77" s="51">
        <v>0</v>
      </c>
      <c r="R77" s="353">
        <v>0</v>
      </c>
      <c r="S77" s="58">
        <f t="shared" si="20"/>
        <v>0</v>
      </c>
      <c r="T77" s="51">
        <v>0</v>
      </c>
      <c r="U77" s="353">
        <v>0</v>
      </c>
      <c r="V77" s="51">
        <f t="shared" si="21"/>
        <v>0</v>
      </c>
      <c r="W77" s="51">
        <v>0</v>
      </c>
      <c r="X77" s="462">
        <v>0</v>
      </c>
      <c r="Y77" s="460">
        <f t="shared" si="22"/>
        <v>0</v>
      </c>
      <c r="Z77" s="460">
        <v>8600</v>
      </c>
      <c r="AA77" s="462">
        <v>0</v>
      </c>
      <c r="AB77" s="460">
        <f t="shared" si="23"/>
        <v>258000</v>
      </c>
      <c r="AC77" s="374">
        <f>SUM(K77+N77+Q77+T77+W77+Z77)/2</f>
        <v>9640</v>
      </c>
      <c r="AD77" s="463">
        <v>0</v>
      </c>
      <c r="AE77" s="374">
        <f t="shared" si="25"/>
        <v>289200</v>
      </c>
      <c r="AF77" s="464"/>
      <c r="AG77" s="452"/>
      <c r="AH77" s="452"/>
      <c r="AI77" s="452"/>
      <c r="AJ77" s="452"/>
      <c r="AK77" s="452"/>
      <c r="AL77" s="452"/>
      <c r="AM77" s="452"/>
      <c r="AN77" s="452"/>
      <c r="AO77" s="452"/>
      <c r="AP77" s="452"/>
      <c r="AQ77" s="452"/>
      <c r="AR77" s="452"/>
      <c r="AS77" s="452"/>
      <c r="AT77" s="452"/>
      <c r="AU77" s="452"/>
      <c r="AV77" s="452"/>
      <c r="AW77" s="452"/>
      <c r="AX77" s="452"/>
    </row>
    <row r="78" spans="1:50" s="26" customFormat="1" ht="15" x14ac:dyDescent="0.25">
      <c r="A78" s="46">
        <v>5</v>
      </c>
      <c r="B78" s="350">
        <v>110171607</v>
      </c>
      <c r="C78" s="350">
        <v>274200</v>
      </c>
      <c r="D78" s="350">
        <v>11101527</v>
      </c>
      <c r="E78" s="46">
        <v>31</v>
      </c>
      <c r="F78" s="351" t="s">
        <v>136</v>
      </c>
      <c r="G78" s="352" t="s">
        <v>107</v>
      </c>
      <c r="H78" s="352"/>
      <c r="I78" s="352"/>
      <c r="J78" s="356">
        <v>700</v>
      </c>
      <c r="K78" s="377">
        <v>10400</v>
      </c>
      <c r="L78" s="353">
        <v>0</v>
      </c>
      <c r="M78" s="58">
        <f t="shared" si="24"/>
        <v>7280000</v>
      </c>
      <c r="N78" s="58">
        <v>0</v>
      </c>
      <c r="O78" s="354">
        <v>0</v>
      </c>
      <c r="P78" s="95">
        <f t="shared" si="19"/>
        <v>0</v>
      </c>
      <c r="Q78" s="51">
        <v>0</v>
      </c>
      <c r="R78" s="353">
        <v>0</v>
      </c>
      <c r="S78" s="58">
        <f t="shared" si="20"/>
        <v>0</v>
      </c>
      <c r="T78" s="51">
        <v>0</v>
      </c>
      <c r="U78" s="353">
        <v>0</v>
      </c>
      <c r="V78" s="51">
        <f t="shared" si="21"/>
        <v>0</v>
      </c>
      <c r="W78" s="51">
        <v>0</v>
      </c>
      <c r="X78" s="462">
        <v>0</v>
      </c>
      <c r="Y78" s="460">
        <f t="shared" si="22"/>
        <v>0</v>
      </c>
      <c r="Z78" s="460">
        <v>13000</v>
      </c>
      <c r="AA78" s="462">
        <v>0</v>
      </c>
      <c r="AB78" s="460">
        <f t="shared" si="23"/>
        <v>9100000</v>
      </c>
      <c r="AC78" s="374">
        <f>SUM(K78+N78+Q78+T78+W78+Z78)/2</f>
        <v>11700</v>
      </c>
      <c r="AD78" s="463">
        <v>0</v>
      </c>
      <c r="AE78" s="374">
        <f t="shared" si="25"/>
        <v>8190000</v>
      </c>
      <c r="AF78" s="464"/>
      <c r="AG78" s="452"/>
      <c r="AH78" s="452"/>
      <c r="AI78" s="452"/>
      <c r="AJ78" s="452"/>
      <c r="AK78" s="452"/>
      <c r="AL78" s="452"/>
      <c r="AM78" s="452"/>
      <c r="AN78" s="452"/>
      <c r="AO78" s="452"/>
      <c r="AP78" s="452"/>
      <c r="AQ78" s="452"/>
      <c r="AR78" s="452"/>
      <c r="AS78" s="452"/>
      <c r="AT78" s="452"/>
      <c r="AU78" s="452"/>
      <c r="AV78" s="452"/>
      <c r="AW78" s="452"/>
      <c r="AX78" s="452"/>
    </row>
    <row r="79" spans="1:50" s="26" customFormat="1" ht="60" x14ac:dyDescent="0.25">
      <c r="A79" s="352">
        <v>5</v>
      </c>
      <c r="B79" s="350">
        <v>110171607</v>
      </c>
      <c r="C79" s="350">
        <v>230941</v>
      </c>
      <c r="D79" s="350">
        <v>10191509</v>
      </c>
      <c r="E79" s="46">
        <v>32</v>
      </c>
      <c r="F79" s="351" t="s">
        <v>137</v>
      </c>
      <c r="G79" s="352" t="s">
        <v>107</v>
      </c>
      <c r="H79" s="352"/>
      <c r="I79" s="352"/>
      <c r="J79" s="356">
        <v>150</v>
      </c>
      <c r="K79" s="377">
        <v>129000</v>
      </c>
      <c r="L79" s="353">
        <v>0</v>
      </c>
      <c r="M79" s="58">
        <f t="shared" si="24"/>
        <v>19350000</v>
      </c>
      <c r="N79" s="58">
        <v>92400</v>
      </c>
      <c r="O79" s="354">
        <v>0</v>
      </c>
      <c r="P79" s="95">
        <f t="shared" si="19"/>
        <v>13860000</v>
      </c>
      <c r="Q79" s="51">
        <v>0</v>
      </c>
      <c r="R79" s="353">
        <v>0</v>
      </c>
      <c r="S79" s="58">
        <f t="shared" si="20"/>
        <v>0</v>
      </c>
      <c r="T79" s="51">
        <v>0</v>
      </c>
      <c r="U79" s="353">
        <v>0</v>
      </c>
      <c r="V79" s="51">
        <f t="shared" si="21"/>
        <v>0</v>
      </c>
      <c r="W79" s="51">
        <v>0</v>
      </c>
      <c r="X79" s="462">
        <v>0</v>
      </c>
      <c r="Y79" s="460">
        <f t="shared" si="22"/>
        <v>0</v>
      </c>
      <c r="Z79" s="460">
        <v>106500</v>
      </c>
      <c r="AA79" s="462">
        <v>0</v>
      </c>
      <c r="AB79" s="460">
        <f t="shared" si="23"/>
        <v>15975000</v>
      </c>
      <c r="AC79" s="374">
        <f>SUM(K79+N79+Q79+T79+W79+Z79)/3</f>
        <v>109300</v>
      </c>
      <c r="AD79" s="463">
        <v>0</v>
      </c>
      <c r="AE79" s="374">
        <f t="shared" si="25"/>
        <v>16395000</v>
      </c>
      <c r="AF79" s="452"/>
      <c r="AG79" s="452"/>
      <c r="AH79" s="452"/>
      <c r="AI79" s="452"/>
      <c r="AJ79" s="452"/>
      <c r="AK79" s="452"/>
      <c r="AL79" s="452"/>
      <c r="AM79" s="452"/>
      <c r="AN79" s="452"/>
      <c r="AO79" s="452"/>
      <c r="AP79" s="452"/>
      <c r="AQ79" s="452"/>
      <c r="AR79" s="452"/>
      <c r="AS79" s="452"/>
      <c r="AT79" s="452"/>
      <c r="AU79" s="452"/>
      <c r="AV79" s="452"/>
      <c r="AW79" s="452"/>
      <c r="AX79" s="452"/>
    </row>
    <row r="80" spans="1:50" s="26" customFormat="1" ht="15" x14ac:dyDescent="0.25">
      <c r="A80" s="46">
        <v>5</v>
      </c>
      <c r="B80" s="350">
        <v>110171703</v>
      </c>
      <c r="C80" s="350">
        <v>234175</v>
      </c>
      <c r="D80" s="350">
        <v>51211624</v>
      </c>
      <c r="E80" s="46">
        <v>33</v>
      </c>
      <c r="F80" s="351" t="s">
        <v>138</v>
      </c>
      <c r="G80" s="352" t="s">
        <v>139</v>
      </c>
      <c r="H80" s="352"/>
      <c r="I80" s="352"/>
      <c r="J80" s="356">
        <v>80</v>
      </c>
      <c r="K80" s="377">
        <v>15600</v>
      </c>
      <c r="L80" s="353">
        <v>0</v>
      </c>
      <c r="M80" s="58">
        <f t="shared" si="24"/>
        <v>1248000</v>
      </c>
      <c r="N80" s="58">
        <v>24100</v>
      </c>
      <c r="O80" s="354">
        <v>0</v>
      </c>
      <c r="P80" s="95">
        <f t="shared" si="19"/>
        <v>1928000</v>
      </c>
      <c r="Q80" s="51">
        <v>0</v>
      </c>
      <c r="R80" s="353">
        <v>0</v>
      </c>
      <c r="S80" s="58">
        <f t="shared" si="20"/>
        <v>0</v>
      </c>
      <c r="T80" s="51">
        <v>11780</v>
      </c>
      <c r="U80" s="353">
        <v>0</v>
      </c>
      <c r="V80" s="51">
        <f t="shared" si="21"/>
        <v>942400</v>
      </c>
      <c r="W80" s="51">
        <v>0</v>
      </c>
      <c r="X80" s="462">
        <v>0</v>
      </c>
      <c r="Y80" s="460">
        <f t="shared" si="22"/>
        <v>0</v>
      </c>
      <c r="Z80" s="460">
        <v>17800</v>
      </c>
      <c r="AA80" s="462">
        <v>0</v>
      </c>
      <c r="AB80" s="460">
        <f t="shared" si="23"/>
        <v>1424000</v>
      </c>
      <c r="AC80" s="374">
        <f>SUM(K80+N80+Q80+T80+W80+Z80)/4</f>
        <v>17320</v>
      </c>
      <c r="AD80" s="463">
        <v>0</v>
      </c>
      <c r="AE80" s="374">
        <f t="shared" si="25"/>
        <v>1385600</v>
      </c>
      <c r="AF80" s="452"/>
      <c r="AG80" s="452"/>
      <c r="AH80" s="452"/>
      <c r="AI80" s="452"/>
      <c r="AJ80" s="452"/>
      <c r="AK80" s="452"/>
      <c r="AL80" s="452"/>
      <c r="AM80" s="452"/>
      <c r="AN80" s="452"/>
      <c r="AO80" s="452"/>
      <c r="AP80" s="452"/>
      <c r="AQ80" s="452"/>
      <c r="AR80" s="452"/>
      <c r="AS80" s="452"/>
      <c r="AT80" s="452"/>
      <c r="AU80" s="452"/>
      <c r="AV80" s="452"/>
      <c r="AW80" s="452"/>
      <c r="AX80" s="452"/>
    </row>
    <row r="81" spans="1:50" s="26" customFormat="1" ht="60" x14ac:dyDescent="0.25">
      <c r="A81" s="46">
        <v>5</v>
      </c>
      <c r="B81" s="350">
        <v>110171607</v>
      </c>
      <c r="C81" s="350">
        <v>233280</v>
      </c>
      <c r="D81" s="350">
        <v>10191509</v>
      </c>
      <c r="E81" s="46">
        <v>34</v>
      </c>
      <c r="F81" s="351" t="s">
        <v>140</v>
      </c>
      <c r="G81" s="352" t="s">
        <v>107</v>
      </c>
      <c r="H81" s="352"/>
      <c r="I81" s="352"/>
      <c r="J81" s="382">
        <v>80</v>
      </c>
      <c r="K81" s="383">
        <v>119000</v>
      </c>
      <c r="L81" s="353">
        <v>0</v>
      </c>
      <c r="M81" s="58">
        <f t="shared" si="24"/>
        <v>9520000</v>
      </c>
      <c r="N81" s="358">
        <v>0</v>
      </c>
      <c r="O81" s="354">
        <v>0</v>
      </c>
      <c r="P81" s="95">
        <f t="shared" si="19"/>
        <v>0</v>
      </c>
      <c r="Q81" s="359">
        <v>81300</v>
      </c>
      <c r="R81" s="353">
        <v>0</v>
      </c>
      <c r="S81" s="358">
        <f t="shared" si="20"/>
        <v>6504000</v>
      </c>
      <c r="T81" s="359">
        <v>0</v>
      </c>
      <c r="U81" s="353">
        <v>0</v>
      </c>
      <c r="V81" s="359">
        <f t="shared" si="21"/>
        <v>0</v>
      </c>
      <c r="W81" s="359">
        <v>0</v>
      </c>
      <c r="X81" s="462">
        <v>0</v>
      </c>
      <c r="Y81" s="465">
        <f t="shared" si="22"/>
        <v>0</v>
      </c>
      <c r="Z81" s="465">
        <v>0</v>
      </c>
      <c r="AA81" s="462">
        <v>0</v>
      </c>
      <c r="AB81" s="465">
        <f t="shared" si="23"/>
        <v>0</v>
      </c>
      <c r="AC81" s="374">
        <f>SUM(K81+N81+Q81+T81+W81+Z81)/2</f>
        <v>100150</v>
      </c>
      <c r="AD81" s="463">
        <v>0</v>
      </c>
      <c r="AE81" s="374">
        <f t="shared" si="25"/>
        <v>8012000</v>
      </c>
      <c r="AF81" s="452"/>
      <c r="AG81" s="452"/>
      <c r="AH81" s="452"/>
      <c r="AI81" s="452"/>
      <c r="AJ81" s="452"/>
      <c r="AK81" s="452"/>
      <c r="AL81" s="452"/>
      <c r="AM81" s="452"/>
      <c r="AN81" s="452"/>
      <c r="AO81" s="452"/>
      <c r="AP81" s="452"/>
      <c r="AQ81" s="452"/>
      <c r="AR81" s="452"/>
      <c r="AS81" s="452"/>
      <c r="AT81" s="452"/>
      <c r="AU81" s="452"/>
      <c r="AV81" s="452"/>
      <c r="AW81" s="452"/>
      <c r="AX81" s="452"/>
    </row>
    <row r="82" spans="1:50" s="26" customFormat="1" ht="30" x14ac:dyDescent="0.25">
      <c r="A82" s="46">
        <v>5</v>
      </c>
      <c r="B82" s="350">
        <v>110171607</v>
      </c>
      <c r="C82" s="350">
        <v>284153</v>
      </c>
      <c r="D82" s="350">
        <v>10171608</v>
      </c>
      <c r="E82" s="46">
        <v>35</v>
      </c>
      <c r="F82" s="351" t="s">
        <v>141</v>
      </c>
      <c r="G82" s="352" t="s">
        <v>142</v>
      </c>
      <c r="H82" s="352"/>
      <c r="I82" s="352"/>
      <c r="J82" s="356">
        <v>16000</v>
      </c>
      <c r="K82" s="377">
        <v>700</v>
      </c>
      <c r="L82" s="353">
        <v>0</v>
      </c>
      <c r="M82" s="58">
        <f t="shared" si="24"/>
        <v>11200000</v>
      </c>
      <c r="N82" s="58">
        <v>0</v>
      </c>
      <c r="O82" s="354">
        <v>0</v>
      </c>
      <c r="P82" s="95">
        <f t="shared" si="19"/>
        <v>0</v>
      </c>
      <c r="Q82" s="51">
        <v>350</v>
      </c>
      <c r="R82" s="353">
        <v>0</v>
      </c>
      <c r="S82" s="58">
        <f t="shared" si="20"/>
        <v>5600000</v>
      </c>
      <c r="T82" s="51">
        <v>0</v>
      </c>
      <c r="U82" s="353">
        <v>0</v>
      </c>
      <c r="V82" s="51">
        <f t="shared" si="21"/>
        <v>0</v>
      </c>
      <c r="W82" s="51">
        <v>0</v>
      </c>
      <c r="X82" s="462">
        <v>0</v>
      </c>
      <c r="Y82" s="460">
        <f t="shared" si="22"/>
        <v>0</v>
      </c>
      <c r="Z82" s="460">
        <v>0</v>
      </c>
      <c r="AA82" s="462">
        <v>0</v>
      </c>
      <c r="AB82" s="460">
        <f t="shared" si="23"/>
        <v>0</v>
      </c>
      <c r="AC82" s="374">
        <f>SUM(K82+N82+Q82+T82+W82+Z82)/2</f>
        <v>525</v>
      </c>
      <c r="AD82" s="463">
        <v>0</v>
      </c>
      <c r="AE82" s="374">
        <f t="shared" si="25"/>
        <v>8400000</v>
      </c>
      <c r="AF82" s="452"/>
      <c r="AG82" s="452"/>
      <c r="AH82" s="452"/>
      <c r="AI82" s="452"/>
      <c r="AJ82" s="452"/>
      <c r="AK82" s="452"/>
      <c r="AL82" s="452"/>
      <c r="AM82" s="452"/>
      <c r="AN82" s="452"/>
      <c r="AO82" s="452"/>
      <c r="AP82" s="452"/>
      <c r="AQ82" s="452"/>
      <c r="AR82" s="452"/>
      <c r="AS82" s="452"/>
      <c r="AT82" s="452"/>
      <c r="AU82" s="452"/>
      <c r="AV82" s="452"/>
      <c r="AW82" s="452"/>
      <c r="AX82" s="452"/>
    </row>
    <row r="83" spans="1:50" s="26" customFormat="1" ht="15" x14ac:dyDescent="0.25">
      <c r="A83" s="46">
        <v>5</v>
      </c>
      <c r="B83" s="350">
        <v>110171703</v>
      </c>
      <c r="C83" s="350">
        <v>241603</v>
      </c>
      <c r="D83" s="350">
        <v>10171702</v>
      </c>
      <c r="E83" s="46">
        <v>36</v>
      </c>
      <c r="F83" s="351" t="s">
        <v>143</v>
      </c>
      <c r="G83" s="352" t="s">
        <v>144</v>
      </c>
      <c r="H83" s="352"/>
      <c r="I83" s="352"/>
      <c r="J83" s="356">
        <v>10</v>
      </c>
      <c r="K83" s="377">
        <v>23400</v>
      </c>
      <c r="L83" s="353">
        <v>0</v>
      </c>
      <c r="M83" s="58">
        <f t="shared" si="24"/>
        <v>234000</v>
      </c>
      <c r="N83" s="58">
        <v>0</v>
      </c>
      <c r="O83" s="354">
        <v>0</v>
      </c>
      <c r="P83" s="95">
        <f t="shared" si="19"/>
        <v>0</v>
      </c>
      <c r="Q83" s="51">
        <v>0</v>
      </c>
      <c r="R83" s="353">
        <v>0</v>
      </c>
      <c r="S83" s="58">
        <f t="shared" si="20"/>
        <v>0</v>
      </c>
      <c r="T83" s="51">
        <v>17892</v>
      </c>
      <c r="U83" s="353">
        <v>0</v>
      </c>
      <c r="V83" s="51">
        <f t="shared" si="21"/>
        <v>178920</v>
      </c>
      <c r="W83" s="51">
        <v>0</v>
      </c>
      <c r="X83" s="462">
        <v>0</v>
      </c>
      <c r="Y83" s="460">
        <f t="shared" si="22"/>
        <v>0</v>
      </c>
      <c r="Z83" s="460">
        <v>19000</v>
      </c>
      <c r="AA83" s="462">
        <v>0</v>
      </c>
      <c r="AB83" s="460">
        <f t="shared" si="23"/>
        <v>190000</v>
      </c>
      <c r="AC83" s="374">
        <f>SUM(K83+N83+Q83+T83+W83+Z83)/3</f>
        <v>20097.333333333332</v>
      </c>
      <c r="AD83" s="463">
        <v>0</v>
      </c>
      <c r="AE83" s="374">
        <f t="shared" si="25"/>
        <v>200973.33333333331</v>
      </c>
      <c r="AF83" s="452"/>
      <c r="AG83" s="452"/>
      <c r="AH83" s="452"/>
      <c r="AI83" s="452"/>
      <c r="AJ83" s="452"/>
      <c r="AK83" s="452"/>
      <c r="AL83" s="452"/>
      <c r="AM83" s="452"/>
      <c r="AN83" s="452"/>
      <c r="AO83" s="452"/>
      <c r="AP83" s="452"/>
      <c r="AQ83" s="452"/>
      <c r="AR83" s="452"/>
      <c r="AS83" s="452"/>
      <c r="AT83" s="452"/>
      <c r="AU83" s="452"/>
      <c r="AV83" s="452"/>
      <c r="AW83" s="452"/>
      <c r="AX83" s="452"/>
    </row>
    <row r="84" spans="1:50" s="26" customFormat="1" ht="15" x14ac:dyDescent="0.25">
      <c r="A84" s="46">
        <v>5</v>
      </c>
      <c r="B84" s="350">
        <v>110171703</v>
      </c>
      <c r="C84" s="350">
        <v>238522</v>
      </c>
      <c r="D84" s="350">
        <v>10171702</v>
      </c>
      <c r="E84" s="46">
        <v>37</v>
      </c>
      <c r="F84" s="351" t="s">
        <v>145</v>
      </c>
      <c r="G84" s="352" t="s">
        <v>134</v>
      </c>
      <c r="H84" s="352"/>
      <c r="I84" s="352"/>
      <c r="J84" s="356">
        <v>10</v>
      </c>
      <c r="K84" s="377">
        <v>78000</v>
      </c>
      <c r="L84" s="353">
        <v>0</v>
      </c>
      <c r="M84" s="58">
        <f t="shared" si="24"/>
        <v>780000</v>
      </c>
      <c r="N84" s="58">
        <v>0</v>
      </c>
      <c r="O84" s="354">
        <v>0</v>
      </c>
      <c r="P84" s="95">
        <f t="shared" si="19"/>
        <v>0</v>
      </c>
      <c r="Q84" s="51">
        <v>0</v>
      </c>
      <c r="R84" s="353">
        <v>0</v>
      </c>
      <c r="S84" s="58">
        <f t="shared" si="20"/>
        <v>0</v>
      </c>
      <c r="T84" s="51">
        <v>0</v>
      </c>
      <c r="U84" s="353">
        <v>0</v>
      </c>
      <c r="V84" s="51">
        <f t="shared" si="21"/>
        <v>0</v>
      </c>
      <c r="W84" s="51">
        <v>0</v>
      </c>
      <c r="X84" s="462">
        <v>0</v>
      </c>
      <c r="Y84" s="460">
        <f t="shared" si="22"/>
        <v>0</v>
      </c>
      <c r="Z84" s="460">
        <v>55000</v>
      </c>
      <c r="AA84" s="462">
        <v>0</v>
      </c>
      <c r="AB84" s="460">
        <f t="shared" si="23"/>
        <v>550000</v>
      </c>
      <c r="AC84" s="374">
        <f t="shared" ref="AC84:AC90" si="26">SUM(K84+N84+Q84+T84+W84+Z84)/2</f>
        <v>66500</v>
      </c>
      <c r="AD84" s="463">
        <v>0</v>
      </c>
      <c r="AE84" s="374">
        <f t="shared" si="25"/>
        <v>665000</v>
      </c>
      <c r="AF84" s="452"/>
      <c r="AG84" s="452"/>
      <c r="AH84" s="452"/>
      <c r="AI84" s="452"/>
      <c r="AJ84" s="452"/>
      <c r="AK84" s="452"/>
      <c r="AL84" s="452"/>
      <c r="AM84" s="452"/>
      <c r="AN84" s="452"/>
      <c r="AO84" s="452"/>
      <c r="AP84" s="452"/>
      <c r="AQ84" s="452"/>
      <c r="AR84" s="452"/>
      <c r="AS84" s="452"/>
      <c r="AT84" s="452"/>
      <c r="AU84" s="452"/>
      <c r="AV84" s="452"/>
      <c r="AW84" s="452"/>
      <c r="AX84" s="452"/>
    </row>
    <row r="85" spans="1:50" s="26" customFormat="1" ht="30" x14ac:dyDescent="0.25">
      <c r="A85" s="46">
        <v>5</v>
      </c>
      <c r="B85" s="350">
        <v>110171703</v>
      </c>
      <c r="C85" s="350">
        <v>230942</v>
      </c>
      <c r="D85" s="350">
        <v>10171702</v>
      </c>
      <c r="E85" s="46">
        <v>38</v>
      </c>
      <c r="F85" s="351" t="s">
        <v>146</v>
      </c>
      <c r="G85" s="352" t="s">
        <v>107</v>
      </c>
      <c r="H85" s="352"/>
      <c r="I85" s="352"/>
      <c r="J85" s="356">
        <v>10</v>
      </c>
      <c r="K85" s="377">
        <v>79000</v>
      </c>
      <c r="L85" s="353">
        <v>0</v>
      </c>
      <c r="M85" s="58">
        <f t="shared" si="24"/>
        <v>790000</v>
      </c>
      <c r="N85" s="58">
        <v>0</v>
      </c>
      <c r="O85" s="354">
        <v>0</v>
      </c>
      <c r="P85" s="95">
        <f t="shared" si="19"/>
        <v>0</v>
      </c>
      <c r="Q85" s="51">
        <v>0</v>
      </c>
      <c r="R85" s="353">
        <v>0</v>
      </c>
      <c r="S85" s="58">
        <f t="shared" si="20"/>
        <v>0</v>
      </c>
      <c r="T85" s="51">
        <v>0</v>
      </c>
      <c r="U85" s="353">
        <v>0</v>
      </c>
      <c r="V85" s="51">
        <f t="shared" si="21"/>
        <v>0</v>
      </c>
      <c r="W85" s="51">
        <v>0</v>
      </c>
      <c r="X85" s="462">
        <v>0</v>
      </c>
      <c r="Y85" s="460">
        <f t="shared" si="22"/>
        <v>0</v>
      </c>
      <c r="Z85" s="460">
        <v>49500</v>
      </c>
      <c r="AA85" s="462">
        <v>0</v>
      </c>
      <c r="AB85" s="460">
        <f t="shared" si="23"/>
        <v>495000</v>
      </c>
      <c r="AC85" s="374">
        <f t="shared" si="26"/>
        <v>64250</v>
      </c>
      <c r="AD85" s="463">
        <v>0</v>
      </c>
      <c r="AE85" s="374">
        <f t="shared" si="25"/>
        <v>642500</v>
      </c>
      <c r="AF85" s="452"/>
      <c r="AG85" s="452"/>
      <c r="AH85" s="452"/>
      <c r="AI85" s="452"/>
      <c r="AJ85" s="452"/>
      <c r="AK85" s="452"/>
      <c r="AL85" s="452"/>
      <c r="AM85" s="452"/>
      <c r="AN85" s="452"/>
      <c r="AO85" s="452"/>
      <c r="AP85" s="452"/>
      <c r="AQ85" s="452"/>
      <c r="AR85" s="452"/>
      <c r="AS85" s="452"/>
      <c r="AT85" s="452"/>
      <c r="AU85" s="452"/>
      <c r="AV85" s="452"/>
      <c r="AW85" s="452"/>
      <c r="AX85" s="452"/>
    </row>
    <row r="86" spans="1:50" s="26" customFormat="1" ht="15" x14ac:dyDescent="0.25">
      <c r="A86" s="46">
        <v>5</v>
      </c>
      <c r="B86" s="350">
        <v>110171703</v>
      </c>
      <c r="C86" s="350">
        <v>270922</v>
      </c>
      <c r="D86" s="350">
        <v>10171702</v>
      </c>
      <c r="E86" s="46">
        <v>39</v>
      </c>
      <c r="F86" s="351" t="s">
        <v>147</v>
      </c>
      <c r="G86" s="352" t="s">
        <v>148</v>
      </c>
      <c r="H86" s="352"/>
      <c r="I86" s="352"/>
      <c r="J86" s="356">
        <v>10</v>
      </c>
      <c r="K86" s="377">
        <v>36000</v>
      </c>
      <c r="L86" s="353">
        <v>0</v>
      </c>
      <c r="M86" s="58">
        <f t="shared" si="24"/>
        <v>360000</v>
      </c>
      <c r="N86" s="58">
        <v>0</v>
      </c>
      <c r="O86" s="354">
        <v>0</v>
      </c>
      <c r="P86" s="95">
        <f t="shared" si="19"/>
        <v>0</v>
      </c>
      <c r="Q86" s="51">
        <v>0</v>
      </c>
      <c r="R86" s="353">
        <v>0</v>
      </c>
      <c r="S86" s="58">
        <f t="shared" si="20"/>
        <v>0</v>
      </c>
      <c r="T86" s="51">
        <v>0</v>
      </c>
      <c r="U86" s="353">
        <v>0</v>
      </c>
      <c r="V86" s="51">
        <f t="shared" si="21"/>
        <v>0</v>
      </c>
      <c r="W86" s="51">
        <v>0</v>
      </c>
      <c r="X86" s="462">
        <v>0</v>
      </c>
      <c r="Y86" s="460">
        <f t="shared" si="22"/>
        <v>0</v>
      </c>
      <c r="Z86" s="460">
        <v>26500</v>
      </c>
      <c r="AA86" s="462">
        <v>0</v>
      </c>
      <c r="AB86" s="460">
        <f t="shared" si="23"/>
        <v>265000</v>
      </c>
      <c r="AC86" s="374">
        <f t="shared" si="26"/>
        <v>31250</v>
      </c>
      <c r="AD86" s="463">
        <v>0</v>
      </c>
      <c r="AE86" s="374">
        <f t="shared" si="25"/>
        <v>312500</v>
      </c>
      <c r="AF86" s="452"/>
      <c r="AG86" s="452"/>
      <c r="AH86" s="452"/>
      <c r="AI86" s="452"/>
      <c r="AJ86" s="452"/>
      <c r="AK86" s="452"/>
      <c r="AL86" s="452"/>
      <c r="AM86" s="452"/>
      <c r="AN86" s="452"/>
      <c r="AO86" s="452"/>
      <c r="AP86" s="452"/>
      <c r="AQ86" s="452"/>
      <c r="AR86" s="452"/>
      <c r="AS86" s="452"/>
      <c r="AT86" s="452"/>
      <c r="AU86" s="452"/>
      <c r="AV86" s="452"/>
      <c r="AW86" s="452"/>
      <c r="AX86" s="452"/>
    </row>
    <row r="87" spans="1:50" s="26" customFormat="1" ht="30" x14ac:dyDescent="0.25">
      <c r="A87" s="46">
        <v>5</v>
      </c>
      <c r="B87" s="350">
        <v>110171607</v>
      </c>
      <c r="C87" s="350">
        <v>287716</v>
      </c>
      <c r="D87" s="350">
        <v>12161913</v>
      </c>
      <c r="E87" s="46">
        <v>40</v>
      </c>
      <c r="F87" s="351" t="s">
        <v>149</v>
      </c>
      <c r="G87" s="352" t="s">
        <v>134</v>
      </c>
      <c r="H87" s="352"/>
      <c r="I87" s="352"/>
      <c r="J87" s="356">
        <v>15</v>
      </c>
      <c r="K87" s="377">
        <v>19000</v>
      </c>
      <c r="L87" s="353">
        <v>0</v>
      </c>
      <c r="M87" s="58">
        <f t="shared" si="24"/>
        <v>285000</v>
      </c>
      <c r="N87" s="58">
        <v>0</v>
      </c>
      <c r="O87" s="354">
        <v>0</v>
      </c>
      <c r="P87" s="95">
        <f t="shared" si="19"/>
        <v>0</v>
      </c>
      <c r="Q87" s="51">
        <v>0</v>
      </c>
      <c r="R87" s="353">
        <v>0</v>
      </c>
      <c r="S87" s="58">
        <f t="shared" si="20"/>
        <v>0</v>
      </c>
      <c r="T87" s="51">
        <v>0</v>
      </c>
      <c r="U87" s="353">
        <v>0</v>
      </c>
      <c r="V87" s="51">
        <f t="shared" si="21"/>
        <v>0</v>
      </c>
      <c r="W87" s="51">
        <v>0</v>
      </c>
      <c r="X87" s="462">
        <v>0</v>
      </c>
      <c r="Y87" s="460">
        <f t="shared" si="22"/>
        <v>0</v>
      </c>
      <c r="Z87" s="460">
        <v>13800</v>
      </c>
      <c r="AA87" s="462">
        <v>0</v>
      </c>
      <c r="AB87" s="460">
        <f t="shared" si="23"/>
        <v>207000</v>
      </c>
      <c r="AC87" s="374">
        <f t="shared" si="26"/>
        <v>16400</v>
      </c>
      <c r="AD87" s="463">
        <v>0</v>
      </c>
      <c r="AE87" s="374">
        <f t="shared" si="25"/>
        <v>246000</v>
      </c>
      <c r="AF87" s="452"/>
      <c r="AG87" s="452"/>
      <c r="AH87" s="452"/>
      <c r="AI87" s="452"/>
      <c r="AJ87" s="452"/>
      <c r="AK87" s="452"/>
      <c r="AL87" s="452"/>
      <c r="AM87" s="452"/>
      <c r="AN87" s="452"/>
      <c r="AO87" s="452"/>
      <c r="AP87" s="452"/>
      <c r="AQ87" s="452"/>
      <c r="AR87" s="452"/>
      <c r="AS87" s="452"/>
      <c r="AT87" s="452"/>
      <c r="AU87" s="452"/>
      <c r="AV87" s="452"/>
      <c r="AW87" s="452"/>
      <c r="AX87" s="452"/>
    </row>
    <row r="88" spans="1:50" s="26" customFormat="1" ht="30" x14ac:dyDescent="0.25">
      <c r="A88" s="46">
        <v>5</v>
      </c>
      <c r="B88" s="350">
        <v>110171703</v>
      </c>
      <c r="C88" s="350">
        <v>244585</v>
      </c>
      <c r="D88" s="350">
        <v>10171702</v>
      </c>
      <c r="E88" s="46">
        <v>41</v>
      </c>
      <c r="F88" s="351" t="s">
        <v>150</v>
      </c>
      <c r="G88" s="352" t="s">
        <v>151</v>
      </c>
      <c r="H88" s="352"/>
      <c r="I88" s="352"/>
      <c r="J88" s="356">
        <v>10</v>
      </c>
      <c r="K88" s="377">
        <v>19800</v>
      </c>
      <c r="L88" s="353">
        <v>0</v>
      </c>
      <c r="M88" s="58">
        <f t="shared" si="24"/>
        <v>198000</v>
      </c>
      <c r="N88" s="58">
        <v>0</v>
      </c>
      <c r="O88" s="354">
        <v>0</v>
      </c>
      <c r="P88" s="95">
        <f t="shared" si="19"/>
        <v>0</v>
      </c>
      <c r="Q88" s="51">
        <v>0</v>
      </c>
      <c r="R88" s="353">
        <v>0</v>
      </c>
      <c r="S88" s="58">
        <f t="shared" si="20"/>
        <v>0</v>
      </c>
      <c r="T88" s="51">
        <v>0</v>
      </c>
      <c r="U88" s="353">
        <v>0</v>
      </c>
      <c r="V88" s="51">
        <f t="shared" si="21"/>
        <v>0</v>
      </c>
      <c r="W88" s="51">
        <v>0</v>
      </c>
      <c r="X88" s="462">
        <v>0</v>
      </c>
      <c r="Y88" s="460">
        <f t="shared" si="22"/>
        <v>0</v>
      </c>
      <c r="Z88" s="460">
        <v>15000</v>
      </c>
      <c r="AA88" s="462">
        <v>0</v>
      </c>
      <c r="AB88" s="460">
        <f t="shared" si="23"/>
        <v>150000</v>
      </c>
      <c r="AC88" s="374">
        <f t="shared" si="26"/>
        <v>17400</v>
      </c>
      <c r="AD88" s="463">
        <v>0</v>
      </c>
      <c r="AE88" s="374">
        <f t="shared" si="25"/>
        <v>174000</v>
      </c>
      <c r="AF88" s="452"/>
      <c r="AG88" s="452"/>
      <c r="AH88" s="452"/>
      <c r="AI88" s="452"/>
      <c r="AJ88" s="452"/>
      <c r="AK88" s="452"/>
      <c r="AL88" s="452"/>
      <c r="AM88" s="452"/>
      <c r="AN88" s="452"/>
      <c r="AO88" s="452"/>
      <c r="AP88" s="452"/>
      <c r="AQ88" s="452"/>
      <c r="AR88" s="452"/>
      <c r="AS88" s="452"/>
      <c r="AT88" s="452"/>
      <c r="AU88" s="452"/>
      <c r="AV88" s="452"/>
      <c r="AW88" s="452"/>
      <c r="AX88" s="452"/>
    </row>
    <row r="89" spans="1:50" s="26" customFormat="1" ht="30" x14ac:dyDescent="0.25">
      <c r="A89" s="46">
        <v>5</v>
      </c>
      <c r="B89" s="350">
        <v>127112030</v>
      </c>
      <c r="C89" s="350">
        <v>278911</v>
      </c>
      <c r="D89" s="350">
        <v>21100000</v>
      </c>
      <c r="E89" s="46">
        <v>42</v>
      </c>
      <c r="F89" s="351" t="s">
        <v>152</v>
      </c>
      <c r="G89" s="352" t="s">
        <v>25</v>
      </c>
      <c r="H89" s="352"/>
      <c r="I89" s="352"/>
      <c r="J89" s="356">
        <v>45</v>
      </c>
      <c r="K89" s="377">
        <v>36500</v>
      </c>
      <c r="L89" s="353">
        <v>0</v>
      </c>
      <c r="M89" s="58">
        <f t="shared" si="24"/>
        <v>1642500</v>
      </c>
      <c r="N89" s="58">
        <v>0</v>
      </c>
      <c r="O89" s="354">
        <v>0</v>
      </c>
      <c r="P89" s="95">
        <f t="shared" si="19"/>
        <v>0</v>
      </c>
      <c r="Q89" s="51">
        <v>0</v>
      </c>
      <c r="R89" s="353">
        <v>0</v>
      </c>
      <c r="S89" s="58">
        <f t="shared" si="20"/>
        <v>0</v>
      </c>
      <c r="T89" s="51">
        <v>33102</v>
      </c>
      <c r="U89" s="353">
        <v>0</v>
      </c>
      <c r="V89" s="51">
        <f t="shared" si="21"/>
        <v>1489590</v>
      </c>
      <c r="W89" s="51">
        <v>0</v>
      </c>
      <c r="X89" s="462">
        <v>0</v>
      </c>
      <c r="Y89" s="460">
        <f t="shared" si="22"/>
        <v>0</v>
      </c>
      <c r="Z89" s="460">
        <v>0</v>
      </c>
      <c r="AA89" s="462">
        <v>0</v>
      </c>
      <c r="AB89" s="460">
        <f t="shared" si="23"/>
        <v>0</v>
      </c>
      <c r="AC89" s="374">
        <f t="shared" si="26"/>
        <v>34801</v>
      </c>
      <c r="AD89" s="463">
        <v>0</v>
      </c>
      <c r="AE89" s="374">
        <f t="shared" si="25"/>
        <v>1566045</v>
      </c>
      <c r="AF89" s="452"/>
      <c r="AG89" s="452"/>
      <c r="AH89" s="452"/>
      <c r="AI89" s="452"/>
      <c r="AJ89" s="452"/>
      <c r="AK89" s="452"/>
      <c r="AL89" s="452"/>
      <c r="AM89" s="452"/>
      <c r="AN89" s="452"/>
      <c r="AO89" s="452"/>
      <c r="AP89" s="452"/>
      <c r="AQ89" s="452"/>
      <c r="AR89" s="452"/>
      <c r="AS89" s="452"/>
      <c r="AT89" s="452"/>
      <c r="AU89" s="452"/>
      <c r="AV89" s="452"/>
      <c r="AW89" s="452"/>
      <c r="AX89" s="452"/>
    </row>
    <row r="90" spans="1:50" s="26" customFormat="1" ht="15" x14ac:dyDescent="0.25">
      <c r="A90" s="46">
        <v>5</v>
      </c>
      <c r="B90" s="350">
        <v>131162812</v>
      </c>
      <c r="C90" s="350">
        <v>230720</v>
      </c>
      <c r="D90" s="350">
        <v>21102305</v>
      </c>
      <c r="E90" s="46">
        <v>43</v>
      </c>
      <c r="F90" s="351" t="s">
        <v>153</v>
      </c>
      <c r="G90" s="352" t="s">
        <v>154</v>
      </c>
      <c r="H90" s="352"/>
      <c r="I90" s="352"/>
      <c r="J90" s="356">
        <v>32</v>
      </c>
      <c r="K90" s="377">
        <v>209000</v>
      </c>
      <c r="L90" s="353">
        <v>0.19</v>
      </c>
      <c r="M90" s="58">
        <f t="shared" si="24"/>
        <v>6688000</v>
      </c>
      <c r="N90" s="58">
        <v>156250</v>
      </c>
      <c r="O90" s="354">
        <v>0</v>
      </c>
      <c r="P90" s="95">
        <f t="shared" si="19"/>
        <v>5000000</v>
      </c>
      <c r="Q90" s="51">
        <v>0</v>
      </c>
      <c r="R90" s="353">
        <v>0</v>
      </c>
      <c r="S90" s="58">
        <f t="shared" si="20"/>
        <v>0</v>
      </c>
      <c r="T90" s="51">
        <v>0</v>
      </c>
      <c r="U90" s="353">
        <v>0</v>
      </c>
      <c r="V90" s="51">
        <f t="shared" si="21"/>
        <v>0</v>
      </c>
      <c r="W90" s="51">
        <v>10000</v>
      </c>
      <c r="X90" s="462">
        <v>0</v>
      </c>
      <c r="Y90" s="460">
        <f t="shared" si="22"/>
        <v>320000</v>
      </c>
      <c r="Z90" s="460">
        <v>0</v>
      </c>
      <c r="AA90" s="462">
        <v>0</v>
      </c>
      <c r="AB90" s="460">
        <f t="shared" si="23"/>
        <v>0</v>
      </c>
      <c r="AC90" s="374">
        <f t="shared" si="26"/>
        <v>187625</v>
      </c>
      <c r="AD90" s="462">
        <v>0.19</v>
      </c>
      <c r="AE90" s="374">
        <f t="shared" si="25"/>
        <v>6004000</v>
      </c>
      <c r="AF90" s="452"/>
      <c r="AG90" s="452"/>
      <c r="AH90" s="452"/>
      <c r="AI90" s="452"/>
      <c r="AJ90" s="452"/>
      <c r="AK90" s="452"/>
      <c r="AL90" s="452"/>
      <c r="AM90" s="452"/>
      <c r="AN90" s="452"/>
      <c r="AO90" s="452"/>
      <c r="AP90" s="452"/>
      <c r="AQ90" s="452"/>
      <c r="AR90" s="452"/>
      <c r="AS90" s="452"/>
      <c r="AT90" s="452"/>
      <c r="AU90" s="452"/>
      <c r="AV90" s="452"/>
      <c r="AW90" s="452"/>
      <c r="AX90" s="452"/>
    </row>
    <row r="91" spans="1:50" s="26" customFormat="1" ht="15" x14ac:dyDescent="0.25">
      <c r="A91" s="46">
        <v>5</v>
      </c>
      <c r="B91" s="350">
        <v>131162812</v>
      </c>
      <c r="C91" s="350">
        <v>248821</v>
      </c>
      <c r="D91" s="350">
        <v>11162111</v>
      </c>
      <c r="E91" s="46">
        <v>44</v>
      </c>
      <c r="F91" s="351" t="s">
        <v>155</v>
      </c>
      <c r="G91" s="352" t="s">
        <v>156</v>
      </c>
      <c r="H91" s="352"/>
      <c r="I91" s="352"/>
      <c r="J91" s="356">
        <v>28</v>
      </c>
      <c r="K91" s="377">
        <v>39000</v>
      </c>
      <c r="L91" s="353">
        <v>0.19</v>
      </c>
      <c r="M91" s="58">
        <f t="shared" si="24"/>
        <v>1092000</v>
      </c>
      <c r="N91" s="58">
        <v>77500</v>
      </c>
      <c r="O91" s="354">
        <v>0</v>
      </c>
      <c r="P91" s="95">
        <f t="shared" si="19"/>
        <v>2170000</v>
      </c>
      <c r="Q91" s="51">
        <v>0</v>
      </c>
      <c r="R91" s="353">
        <v>0</v>
      </c>
      <c r="S91" s="58">
        <f t="shared" si="20"/>
        <v>0</v>
      </c>
      <c r="T91" s="51">
        <v>0</v>
      </c>
      <c r="U91" s="353">
        <v>0</v>
      </c>
      <c r="V91" s="51">
        <f t="shared" si="21"/>
        <v>0</v>
      </c>
      <c r="W91" s="51">
        <v>0</v>
      </c>
      <c r="X91" s="462">
        <v>0</v>
      </c>
      <c r="Y91" s="460">
        <f t="shared" si="22"/>
        <v>0</v>
      </c>
      <c r="Z91" s="460">
        <v>85000</v>
      </c>
      <c r="AA91" s="462">
        <v>0</v>
      </c>
      <c r="AB91" s="460">
        <f t="shared" si="23"/>
        <v>2380000</v>
      </c>
      <c r="AC91" s="374">
        <f>SUM(K91+N91+Q91+T91+W91+Z91)/3</f>
        <v>67166.666666666672</v>
      </c>
      <c r="AD91" s="462">
        <v>0.19</v>
      </c>
      <c r="AE91" s="374">
        <f t="shared" si="25"/>
        <v>1880666.6666666667</v>
      </c>
      <c r="AF91" s="466"/>
      <c r="AG91" s="452"/>
      <c r="AH91" s="452"/>
      <c r="AI91" s="452"/>
      <c r="AJ91" s="452"/>
      <c r="AK91" s="452"/>
      <c r="AL91" s="452"/>
      <c r="AM91" s="452"/>
      <c r="AN91" s="452"/>
      <c r="AO91" s="452"/>
      <c r="AP91" s="452"/>
      <c r="AQ91" s="452"/>
      <c r="AR91" s="452"/>
      <c r="AS91" s="452"/>
      <c r="AT91" s="452"/>
      <c r="AU91" s="452"/>
      <c r="AV91" s="452"/>
      <c r="AW91" s="452"/>
      <c r="AX91" s="452"/>
    </row>
    <row r="92" spans="1:50" s="61" customFormat="1" ht="15" x14ac:dyDescent="0.25">
      <c r="A92" s="81">
        <v>5</v>
      </c>
      <c r="B92" s="360">
        <v>113102204</v>
      </c>
      <c r="C92" s="361">
        <v>241360</v>
      </c>
      <c r="D92" s="361">
        <v>13102027</v>
      </c>
      <c r="E92" s="81">
        <v>45</v>
      </c>
      <c r="F92" s="360" t="s">
        <v>157</v>
      </c>
      <c r="G92" s="361" t="s">
        <v>156</v>
      </c>
      <c r="H92" s="361"/>
      <c r="I92" s="361"/>
      <c r="J92" s="349">
        <v>1</v>
      </c>
      <c r="K92" s="372">
        <v>897000</v>
      </c>
      <c r="L92" s="362">
        <v>0.19</v>
      </c>
      <c r="M92" s="58">
        <f t="shared" si="24"/>
        <v>897000</v>
      </c>
      <c r="N92" s="60">
        <v>0</v>
      </c>
      <c r="O92" s="363">
        <v>0</v>
      </c>
      <c r="P92" s="95">
        <f t="shared" si="19"/>
        <v>0</v>
      </c>
      <c r="Q92" s="357">
        <v>0</v>
      </c>
      <c r="R92" s="362">
        <v>0</v>
      </c>
      <c r="S92" s="60">
        <f t="shared" si="20"/>
        <v>0</v>
      </c>
      <c r="T92" s="357">
        <v>0</v>
      </c>
      <c r="U92" s="362">
        <v>0</v>
      </c>
      <c r="V92" s="357">
        <f t="shared" si="21"/>
        <v>0</v>
      </c>
      <c r="W92" s="357">
        <v>0</v>
      </c>
      <c r="X92" s="373">
        <v>0</v>
      </c>
      <c r="Y92" s="467">
        <f t="shared" si="22"/>
        <v>0</v>
      </c>
      <c r="Z92" s="467">
        <v>700000</v>
      </c>
      <c r="AA92" s="373">
        <v>0</v>
      </c>
      <c r="AB92" s="467">
        <f t="shared" si="23"/>
        <v>700000</v>
      </c>
      <c r="AC92" s="375">
        <f>SUM(K92+N92+Q92+T92+W92+Z92)/2</f>
        <v>798500</v>
      </c>
      <c r="AD92" s="373">
        <v>0.19</v>
      </c>
      <c r="AE92" s="375">
        <f t="shared" si="25"/>
        <v>798500</v>
      </c>
      <c r="AF92" s="466"/>
      <c r="AG92" s="466"/>
      <c r="AH92" s="466"/>
      <c r="AI92" s="466"/>
      <c r="AJ92" s="466"/>
      <c r="AK92" s="466"/>
      <c r="AL92" s="466"/>
      <c r="AM92" s="466"/>
      <c r="AN92" s="466"/>
      <c r="AO92" s="466"/>
      <c r="AP92" s="466"/>
      <c r="AQ92" s="466"/>
      <c r="AR92" s="466"/>
      <c r="AS92" s="466"/>
      <c r="AT92" s="466"/>
      <c r="AU92" s="466"/>
      <c r="AV92" s="466"/>
      <c r="AW92" s="466"/>
      <c r="AX92" s="466"/>
    </row>
    <row r="93" spans="1:50" s="61" customFormat="1" ht="15" x14ac:dyDescent="0.25">
      <c r="A93" s="361">
        <v>5</v>
      </c>
      <c r="B93" s="360">
        <v>140141744</v>
      </c>
      <c r="C93" s="361">
        <v>276997</v>
      </c>
      <c r="D93" s="361">
        <v>20122504</v>
      </c>
      <c r="E93" s="81">
        <v>46</v>
      </c>
      <c r="F93" s="364" t="s">
        <v>158</v>
      </c>
      <c r="G93" s="361" t="s">
        <v>25</v>
      </c>
      <c r="H93" s="361"/>
      <c r="I93" s="361"/>
      <c r="J93" s="349">
        <v>2</v>
      </c>
      <c r="K93" s="372">
        <v>89000</v>
      </c>
      <c r="L93" s="362">
        <v>0.19</v>
      </c>
      <c r="M93" s="58">
        <f t="shared" si="24"/>
        <v>178000</v>
      </c>
      <c r="N93" s="60">
        <v>0</v>
      </c>
      <c r="O93" s="363">
        <v>0</v>
      </c>
      <c r="P93" s="95">
        <f t="shared" si="19"/>
        <v>0</v>
      </c>
      <c r="Q93" s="357">
        <v>0</v>
      </c>
      <c r="R93" s="362">
        <v>0</v>
      </c>
      <c r="S93" s="357">
        <f t="shared" si="20"/>
        <v>0</v>
      </c>
      <c r="T93" s="357">
        <v>0</v>
      </c>
      <c r="U93" s="362">
        <v>0</v>
      </c>
      <c r="V93" s="357">
        <f t="shared" si="21"/>
        <v>0</v>
      </c>
      <c r="W93" s="357">
        <v>0</v>
      </c>
      <c r="X93" s="373">
        <v>0</v>
      </c>
      <c r="Y93" s="467">
        <f t="shared" si="22"/>
        <v>0</v>
      </c>
      <c r="Z93" s="467">
        <v>56000</v>
      </c>
      <c r="AA93" s="373">
        <v>0</v>
      </c>
      <c r="AB93" s="467">
        <f t="shared" si="23"/>
        <v>112000</v>
      </c>
      <c r="AC93" s="375">
        <f>SUM(K93+N93+Q93+T93+W93+Z93)/2</f>
        <v>72500</v>
      </c>
      <c r="AD93" s="373">
        <v>0.19</v>
      </c>
      <c r="AE93" s="375">
        <f t="shared" si="25"/>
        <v>145000</v>
      </c>
      <c r="AF93" s="466"/>
      <c r="AG93" s="466"/>
      <c r="AH93" s="466"/>
      <c r="AI93" s="466"/>
      <c r="AJ93" s="466"/>
      <c r="AK93" s="466"/>
      <c r="AL93" s="466"/>
      <c r="AM93" s="466"/>
      <c r="AN93" s="466"/>
      <c r="AO93" s="466"/>
      <c r="AP93" s="466"/>
      <c r="AQ93" s="466"/>
      <c r="AR93" s="466"/>
      <c r="AS93" s="466"/>
      <c r="AT93" s="466"/>
      <c r="AU93" s="466"/>
      <c r="AV93" s="466"/>
      <c r="AW93" s="466"/>
      <c r="AX93" s="466"/>
    </row>
    <row r="94" spans="1:50" s="61" customFormat="1" ht="45" x14ac:dyDescent="0.25">
      <c r="A94" s="81">
        <v>5</v>
      </c>
      <c r="B94" s="360">
        <v>131161505</v>
      </c>
      <c r="C94" s="361">
        <v>236017</v>
      </c>
      <c r="D94" s="361">
        <v>31162004</v>
      </c>
      <c r="E94" s="81">
        <v>47</v>
      </c>
      <c r="F94" s="360" t="s">
        <v>159</v>
      </c>
      <c r="G94" s="30" t="s">
        <v>160</v>
      </c>
      <c r="H94" s="30"/>
      <c r="I94" s="30"/>
      <c r="J94" s="349">
        <v>10</v>
      </c>
      <c r="K94" s="372">
        <v>6700</v>
      </c>
      <c r="L94" s="362">
        <v>0.19</v>
      </c>
      <c r="M94" s="58">
        <f t="shared" si="24"/>
        <v>67000</v>
      </c>
      <c r="N94" s="60">
        <v>0</v>
      </c>
      <c r="O94" s="363">
        <v>0</v>
      </c>
      <c r="P94" s="95">
        <f t="shared" si="19"/>
        <v>0</v>
      </c>
      <c r="Q94" s="357">
        <v>0</v>
      </c>
      <c r="R94" s="362">
        <v>0</v>
      </c>
      <c r="S94" s="60">
        <f t="shared" si="20"/>
        <v>0</v>
      </c>
      <c r="T94" s="357">
        <v>0</v>
      </c>
      <c r="U94" s="362">
        <v>0</v>
      </c>
      <c r="V94" s="357">
        <f t="shared" si="21"/>
        <v>0</v>
      </c>
      <c r="W94" s="357">
        <v>0</v>
      </c>
      <c r="X94" s="373">
        <v>0</v>
      </c>
      <c r="Y94" s="467">
        <f t="shared" si="22"/>
        <v>0</v>
      </c>
      <c r="Z94" s="467">
        <v>4500</v>
      </c>
      <c r="AA94" s="373">
        <v>0</v>
      </c>
      <c r="AB94" s="467">
        <f t="shared" si="23"/>
        <v>45000</v>
      </c>
      <c r="AC94" s="375">
        <f>SUM(K94+N94+Q94+T94+W94+Z94)/2</f>
        <v>5600</v>
      </c>
      <c r="AD94" s="373">
        <v>0.19</v>
      </c>
      <c r="AE94" s="375">
        <f t="shared" si="25"/>
        <v>56000</v>
      </c>
      <c r="AF94" s="466"/>
      <c r="AG94" s="466"/>
      <c r="AH94" s="466"/>
      <c r="AI94" s="466"/>
      <c r="AJ94" s="466"/>
      <c r="AK94" s="466"/>
      <c r="AL94" s="466"/>
      <c r="AM94" s="466"/>
      <c r="AN94" s="466"/>
      <c r="AO94" s="466"/>
      <c r="AP94" s="466"/>
      <c r="AQ94" s="466"/>
      <c r="AR94" s="466"/>
      <c r="AS94" s="466"/>
      <c r="AT94" s="466"/>
      <c r="AU94" s="466"/>
      <c r="AV94" s="466"/>
      <c r="AW94" s="466"/>
      <c r="AX94" s="466"/>
    </row>
    <row r="95" spans="1:50" s="61" customFormat="1" ht="51" customHeight="1" x14ac:dyDescent="0.25">
      <c r="A95" s="81">
        <v>5</v>
      </c>
      <c r="B95" s="360">
        <v>147121828</v>
      </c>
      <c r="C95" s="361">
        <v>271032</v>
      </c>
      <c r="D95" s="361">
        <v>47121800</v>
      </c>
      <c r="E95" s="81">
        <v>48</v>
      </c>
      <c r="F95" s="360" t="s">
        <v>161</v>
      </c>
      <c r="G95" s="30" t="s">
        <v>25</v>
      </c>
      <c r="H95" s="30"/>
      <c r="I95" s="30"/>
      <c r="J95" s="349">
        <v>10</v>
      </c>
      <c r="K95" s="372">
        <v>16000</v>
      </c>
      <c r="L95" s="362">
        <v>0.05</v>
      </c>
      <c r="M95" s="58">
        <f t="shared" si="24"/>
        <v>160000</v>
      </c>
      <c r="N95" s="60">
        <v>0</v>
      </c>
      <c r="O95" s="363">
        <v>0</v>
      </c>
      <c r="P95" s="95">
        <f t="shared" si="19"/>
        <v>0</v>
      </c>
      <c r="Q95" s="357">
        <v>0</v>
      </c>
      <c r="R95" s="362">
        <v>0</v>
      </c>
      <c r="S95" s="60">
        <f t="shared" si="20"/>
        <v>0</v>
      </c>
      <c r="T95" s="357">
        <v>0</v>
      </c>
      <c r="U95" s="362">
        <v>0</v>
      </c>
      <c r="V95" s="357">
        <f t="shared" si="21"/>
        <v>0</v>
      </c>
      <c r="W95" s="357">
        <v>0</v>
      </c>
      <c r="X95" s="373">
        <v>0</v>
      </c>
      <c r="Y95" s="467">
        <f t="shared" si="22"/>
        <v>0</v>
      </c>
      <c r="Z95" s="467">
        <v>45000</v>
      </c>
      <c r="AA95" s="373">
        <v>0</v>
      </c>
      <c r="AB95" s="467">
        <f>Z95*J95</f>
        <v>450000</v>
      </c>
      <c r="AC95" s="375">
        <f>SUM(K95+N95+Q95+T95+W95+Z95)/2</f>
        <v>30500</v>
      </c>
      <c r="AD95" s="373">
        <v>0.05</v>
      </c>
      <c r="AE95" s="375">
        <f>AC95*J95</f>
        <v>305000</v>
      </c>
      <c r="AF95" s="466"/>
      <c r="AG95" s="466"/>
      <c r="AH95" s="466"/>
      <c r="AI95" s="466"/>
      <c r="AJ95" s="466"/>
      <c r="AK95" s="466"/>
      <c r="AL95" s="466"/>
      <c r="AM95" s="466"/>
      <c r="AN95" s="466"/>
      <c r="AO95" s="466"/>
      <c r="AP95" s="466"/>
      <c r="AQ95" s="466"/>
      <c r="AR95" s="466"/>
      <c r="AS95" s="466"/>
      <c r="AT95" s="466"/>
      <c r="AU95" s="466"/>
      <c r="AV95" s="466"/>
      <c r="AW95" s="466"/>
      <c r="AX95" s="466"/>
    </row>
    <row r="96" spans="1:50" s="61" customFormat="1" ht="15" x14ac:dyDescent="0.25">
      <c r="A96" s="81">
        <v>5</v>
      </c>
      <c r="B96" s="360">
        <v>127112028</v>
      </c>
      <c r="C96" s="361">
        <v>280630</v>
      </c>
      <c r="D96" s="361">
        <v>22101702</v>
      </c>
      <c r="E96" s="81">
        <v>49</v>
      </c>
      <c r="F96" s="364" t="s">
        <v>162</v>
      </c>
      <c r="G96" s="30" t="s">
        <v>25</v>
      </c>
      <c r="H96" s="30"/>
      <c r="I96" s="30"/>
      <c r="J96" s="349">
        <v>4</v>
      </c>
      <c r="K96" s="372">
        <v>25600</v>
      </c>
      <c r="L96" s="362">
        <v>0.05</v>
      </c>
      <c r="M96" s="58">
        <f t="shared" si="24"/>
        <v>102400</v>
      </c>
      <c r="N96" s="60">
        <v>0</v>
      </c>
      <c r="O96" s="363">
        <v>0</v>
      </c>
      <c r="P96" s="95">
        <f t="shared" si="19"/>
        <v>0</v>
      </c>
      <c r="Q96" s="357">
        <v>0</v>
      </c>
      <c r="R96" s="362">
        <v>0</v>
      </c>
      <c r="S96" s="60">
        <f t="shared" si="20"/>
        <v>0</v>
      </c>
      <c r="T96" s="357">
        <v>0</v>
      </c>
      <c r="U96" s="362">
        <v>0</v>
      </c>
      <c r="V96" s="357">
        <f t="shared" si="21"/>
        <v>0</v>
      </c>
      <c r="W96" s="357">
        <v>30000</v>
      </c>
      <c r="X96" s="373">
        <v>0</v>
      </c>
      <c r="Y96" s="467">
        <f t="shared" si="22"/>
        <v>120000</v>
      </c>
      <c r="Z96" s="467">
        <v>18500</v>
      </c>
      <c r="AA96" s="373">
        <v>0</v>
      </c>
      <c r="AB96" s="467">
        <f t="shared" si="23"/>
        <v>74000</v>
      </c>
      <c r="AC96" s="375">
        <f>SUM(K96+N96+Q96+T96+Z96)/3</f>
        <v>14700</v>
      </c>
      <c r="AD96" s="373">
        <v>0.05</v>
      </c>
      <c r="AE96" s="375">
        <f t="shared" si="25"/>
        <v>58800</v>
      </c>
      <c r="AF96" s="466"/>
      <c r="AG96" s="466"/>
      <c r="AH96" s="466"/>
      <c r="AI96" s="466"/>
      <c r="AJ96" s="466"/>
      <c r="AK96" s="466"/>
      <c r="AL96" s="466"/>
      <c r="AM96" s="466"/>
      <c r="AN96" s="466"/>
      <c r="AO96" s="466"/>
      <c r="AP96" s="466"/>
      <c r="AQ96" s="466"/>
      <c r="AR96" s="466"/>
      <c r="AS96" s="466"/>
      <c r="AT96" s="466"/>
      <c r="AU96" s="466"/>
      <c r="AV96" s="466"/>
      <c r="AW96" s="466"/>
      <c r="AX96" s="466"/>
    </row>
    <row r="97" spans="1:50" s="61" customFormat="1" ht="15" x14ac:dyDescent="0.25">
      <c r="A97" s="81">
        <v>5</v>
      </c>
      <c r="B97" s="360">
        <v>127111924</v>
      </c>
      <c r="C97" s="361">
        <v>280071</v>
      </c>
      <c r="D97" s="361">
        <v>27112003</v>
      </c>
      <c r="E97" s="81">
        <v>50</v>
      </c>
      <c r="F97" s="364" t="s">
        <v>163</v>
      </c>
      <c r="G97" s="30" t="s">
        <v>25</v>
      </c>
      <c r="H97" s="30"/>
      <c r="I97" s="30"/>
      <c r="J97" s="349">
        <v>2</v>
      </c>
      <c r="K97" s="372">
        <v>22300</v>
      </c>
      <c r="L97" s="362">
        <v>0.19</v>
      </c>
      <c r="M97" s="58">
        <f t="shared" si="24"/>
        <v>44600</v>
      </c>
      <c r="N97" s="60">
        <v>0</v>
      </c>
      <c r="O97" s="363">
        <v>0</v>
      </c>
      <c r="P97" s="95">
        <f t="shared" si="19"/>
        <v>0</v>
      </c>
      <c r="Q97" s="357">
        <v>0</v>
      </c>
      <c r="R97" s="362">
        <v>0</v>
      </c>
      <c r="S97" s="60">
        <f t="shared" si="20"/>
        <v>0</v>
      </c>
      <c r="T97" s="357">
        <v>0</v>
      </c>
      <c r="U97" s="362">
        <v>0</v>
      </c>
      <c r="V97" s="357">
        <f t="shared" si="21"/>
        <v>0</v>
      </c>
      <c r="W97" s="357">
        <v>0</v>
      </c>
      <c r="X97" s="373">
        <v>0</v>
      </c>
      <c r="Y97" s="467">
        <f t="shared" si="22"/>
        <v>0</v>
      </c>
      <c r="Z97" s="467">
        <v>13000</v>
      </c>
      <c r="AA97" s="373">
        <v>0</v>
      </c>
      <c r="AB97" s="467">
        <f t="shared" si="23"/>
        <v>26000</v>
      </c>
      <c r="AC97" s="375">
        <f>SUM(K97+N97+Q97+T97+W97+Z97)/2</f>
        <v>17650</v>
      </c>
      <c r="AD97" s="373">
        <v>0.19</v>
      </c>
      <c r="AE97" s="375">
        <f t="shared" si="25"/>
        <v>35300</v>
      </c>
      <c r="AF97" s="466"/>
      <c r="AG97" s="466"/>
      <c r="AH97" s="466"/>
      <c r="AI97" s="466"/>
      <c r="AJ97" s="466"/>
      <c r="AK97" s="466"/>
      <c r="AL97" s="466"/>
      <c r="AM97" s="466"/>
      <c r="AN97" s="466"/>
      <c r="AO97" s="466"/>
      <c r="AP97" s="466"/>
      <c r="AQ97" s="466"/>
      <c r="AR97" s="466"/>
      <c r="AS97" s="466"/>
      <c r="AT97" s="466"/>
      <c r="AU97" s="466"/>
      <c r="AV97" s="466"/>
      <c r="AW97" s="466"/>
      <c r="AX97" s="466"/>
    </row>
    <row r="98" spans="1:50" s="61" customFormat="1" ht="15" x14ac:dyDescent="0.25">
      <c r="A98" s="81">
        <v>5</v>
      </c>
      <c r="B98" s="360">
        <v>111172119</v>
      </c>
      <c r="C98" s="361">
        <v>275003</v>
      </c>
      <c r="D98" s="361">
        <v>31211910</v>
      </c>
      <c r="E98" s="81">
        <v>51</v>
      </c>
      <c r="F98" s="367" t="s">
        <v>164</v>
      </c>
      <c r="G98" s="349" t="s">
        <v>165</v>
      </c>
      <c r="H98" s="349"/>
      <c r="I98" s="349"/>
      <c r="J98" s="349">
        <v>5</v>
      </c>
      <c r="K98" s="372">
        <v>16500</v>
      </c>
      <c r="L98" s="373">
        <v>0.19</v>
      </c>
      <c r="M98" s="374">
        <f t="shared" si="24"/>
        <v>82500</v>
      </c>
      <c r="N98" s="375">
        <v>0</v>
      </c>
      <c r="O98" s="376">
        <v>0</v>
      </c>
      <c r="P98" s="95">
        <f t="shared" si="19"/>
        <v>0</v>
      </c>
      <c r="Q98" s="357">
        <v>0</v>
      </c>
      <c r="R98" s="362">
        <v>0</v>
      </c>
      <c r="S98" s="60">
        <f t="shared" si="20"/>
        <v>0</v>
      </c>
      <c r="T98" s="357">
        <v>5317</v>
      </c>
      <c r="U98" s="362">
        <v>0</v>
      </c>
      <c r="V98" s="357">
        <f t="shared" si="21"/>
        <v>26585</v>
      </c>
      <c r="W98" s="357">
        <v>0</v>
      </c>
      <c r="X98" s="373">
        <v>0</v>
      </c>
      <c r="Y98" s="467">
        <f t="shared" si="22"/>
        <v>0</v>
      </c>
      <c r="Z98" s="467">
        <v>7500</v>
      </c>
      <c r="AA98" s="373">
        <v>0</v>
      </c>
      <c r="AB98" s="467">
        <f t="shared" si="23"/>
        <v>37500</v>
      </c>
      <c r="AC98" s="375">
        <f>SUM(K98+N98+Q98+T98+W98+Z98)/3</f>
        <v>9772.3333333333339</v>
      </c>
      <c r="AD98" s="373">
        <v>0.19</v>
      </c>
      <c r="AE98" s="375">
        <f t="shared" si="25"/>
        <v>48861.666666666672</v>
      </c>
      <c r="AF98" s="466"/>
      <c r="AG98" s="466"/>
      <c r="AH98" s="466"/>
      <c r="AI98" s="466"/>
      <c r="AJ98" s="466"/>
      <c r="AK98" s="466"/>
      <c r="AL98" s="466"/>
      <c r="AM98" s="466"/>
      <c r="AN98" s="466"/>
      <c r="AO98" s="466"/>
      <c r="AP98" s="466"/>
      <c r="AQ98" s="466"/>
      <c r="AR98" s="466"/>
      <c r="AS98" s="466"/>
      <c r="AT98" s="466"/>
      <c r="AU98" s="466"/>
      <c r="AV98" s="466"/>
      <c r="AW98" s="466"/>
      <c r="AX98" s="466"/>
    </row>
    <row r="99" spans="1:50" s="61" customFormat="1" ht="15" x14ac:dyDescent="0.25">
      <c r="A99" s="81">
        <v>5</v>
      </c>
      <c r="B99" s="360">
        <v>111172119</v>
      </c>
      <c r="C99" s="361">
        <v>255272</v>
      </c>
      <c r="D99" s="361">
        <v>31211910</v>
      </c>
      <c r="E99" s="81">
        <v>52</v>
      </c>
      <c r="F99" s="367" t="s">
        <v>166</v>
      </c>
      <c r="G99" s="349" t="s">
        <v>165</v>
      </c>
      <c r="H99" s="349"/>
      <c r="I99" s="349"/>
      <c r="J99" s="349">
        <v>5</v>
      </c>
      <c r="K99" s="372">
        <v>9800</v>
      </c>
      <c r="L99" s="373">
        <v>0.19</v>
      </c>
      <c r="M99" s="374">
        <f t="shared" si="24"/>
        <v>49000</v>
      </c>
      <c r="N99" s="375">
        <v>0</v>
      </c>
      <c r="O99" s="376">
        <v>0</v>
      </c>
      <c r="P99" s="95">
        <f t="shared" si="19"/>
        <v>0</v>
      </c>
      <c r="Q99" s="357">
        <v>0</v>
      </c>
      <c r="R99" s="362">
        <v>0</v>
      </c>
      <c r="S99" s="60">
        <f t="shared" si="20"/>
        <v>0</v>
      </c>
      <c r="T99" s="357">
        <v>0</v>
      </c>
      <c r="U99" s="362">
        <v>0</v>
      </c>
      <c r="V99" s="357">
        <f t="shared" si="21"/>
        <v>0</v>
      </c>
      <c r="W99" s="357">
        <v>0</v>
      </c>
      <c r="X99" s="373">
        <v>0</v>
      </c>
      <c r="Y99" s="467">
        <f t="shared" si="22"/>
        <v>0</v>
      </c>
      <c r="Z99" s="467">
        <v>9800</v>
      </c>
      <c r="AA99" s="373">
        <v>0</v>
      </c>
      <c r="AB99" s="467">
        <f t="shared" si="23"/>
        <v>49000</v>
      </c>
      <c r="AC99" s="375">
        <f>SUM(K99+N99+Q99+T99+W99+Z99)/2</f>
        <v>9800</v>
      </c>
      <c r="AD99" s="373">
        <v>0.19</v>
      </c>
      <c r="AE99" s="375">
        <f t="shared" si="25"/>
        <v>49000</v>
      </c>
      <c r="AF99" s="466"/>
      <c r="AG99" s="466"/>
      <c r="AH99" s="466"/>
      <c r="AI99" s="466"/>
      <c r="AJ99" s="466"/>
      <c r="AK99" s="466"/>
      <c r="AL99" s="466"/>
      <c r="AM99" s="466"/>
      <c r="AN99" s="466"/>
      <c r="AO99" s="466"/>
      <c r="AP99" s="466"/>
      <c r="AQ99" s="466"/>
      <c r="AR99" s="466"/>
      <c r="AS99" s="466"/>
      <c r="AT99" s="466"/>
      <c r="AU99" s="466"/>
      <c r="AV99" s="466"/>
      <c r="AW99" s="466"/>
      <c r="AX99" s="466"/>
    </row>
    <row r="100" spans="1:50" s="61" customFormat="1" ht="15" x14ac:dyDescent="0.25">
      <c r="A100" s="81">
        <v>5</v>
      </c>
      <c r="B100" s="360">
        <v>127112032</v>
      </c>
      <c r="C100" s="361">
        <v>280292</v>
      </c>
      <c r="D100" s="361">
        <v>22101703</v>
      </c>
      <c r="E100" s="81">
        <v>53</v>
      </c>
      <c r="F100" s="367" t="s">
        <v>167</v>
      </c>
      <c r="G100" s="349" t="s">
        <v>25</v>
      </c>
      <c r="H100" s="349"/>
      <c r="I100" s="349"/>
      <c r="J100" s="349">
        <v>2</v>
      </c>
      <c r="K100" s="372">
        <v>33450</v>
      </c>
      <c r="L100" s="373">
        <v>0.05</v>
      </c>
      <c r="M100" s="374">
        <f t="shared" si="24"/>
        <v>66900</v>
      </c>
      <c r="N100" s="375">
        <v>0</v>
      </c>
      <c r="O100" s="376">
        <v>0</v>
      </c>
      <c r="P100" s="95">
        <f t="shared" si="19"/>
        <v>0</v>
      </c>
      <c r="Q100" s="357">
        <v>0</v>
      </c>
      <c r="R100" s="362">
        <v>0</v>
      </c>
      <c r="S100" s="60">
        <f t="shared" si="20"/>
        <v>0</v>
      </c>
      <c r="T100" s="357">
        <v>0</v>
      </c>
      <c r="U100" s="362">
        <v>0</v>
      </c>
      <c r="V100" s="357">
        <f t="shared" si="21"/>
        <v>0</v>
      </c>
      <c r="W100" s="357">
        <v>0</v>
      </c>
      <c r="X100" s="373">
        <v>0</v>
      </c>
      <c r="Y100" s="467">
        <f t="shared" si="22"/>
        <v>0</v>
      </c>
      <c r="Z100" s="467">
        <v>30000</v>
      </c>
      <c r="AA100" s="373">
        <v>0</v>
      </c>
      <c r="AB100" s="467">
        <f t="shared" si="23"/>
        <v>60000</v>
      </c>
      <c r="AC100" s="375">
        <f>SUM(K100+N100+Q100+T100+W100+Z100)/2</f>
        <v>31725</v>
      </c>
      <c r="AD100" s="373">
        <v>0.05</v>
      </c>
      <c r="AE100" s="375">
        <f t="shared" si="25"/>
        <v>63450</v>
      </c>
      <c r="AF100" s="466"/>
      <c r="AG100" s="466"/>
      <c r="AH100" s="466"/>
      <c r="AI100" s="466"/>
      <c r="AJ100" s="466"/>
      <c r="AK100" s="466"/>
      <c r="AL100" s="466"/>
      <c r="AM100" s="466"/>
      <c r="AN100" s="466"/>
      <c r="AO100" s="466"/>
      <c r="AP100" s="466"/>
      <c r="AQ100" s="466"/>
      <c r="AR100" s="466"/>
      <c r="AS100" s="466"/>
      <c r="AT100" s="466"/>
      <c r="AU100" s="466"/>
      <c r="AV100" s="466"/>
      <c r="AW100" s="466"/>
      <c r="AX100" s="466"/>
    </row>
    <row r="101" spans="1:50" s="61" customFormat="1" ht="15" x14ac:dyDescent="0.25">
      <c r="A101" s="81">
        <v>5</v>
      </c>
      <c r="B101" s="360">
        <v>127112217</v>
      </c>
      <c r="C101" s="361">
        <v>238585</v>
      </c>
      <c r="D101" s="361">
        <v>11162108</v>
      </c>
      <c r="E101" s="81">
        <v>54</v>
      </c>
      <c r="F101" s="367" t="s">
        <v>168</v>
      </c>
      <c r="G101" s="349" t="s">
        <v>25</v>
      </c>
      <c r="H101" s="349"/>
      <c r="I101" s="349"/>
      <c r="J101" s="349">
        <v>2</v>
      </c>
      <c r="K101" s="372">
        <v>48000</v>
      </c>
      <c r="L101" s="373">
        <v>0.19</v>
      </c>
      <c r="M101" s="374">
        <f t="shared" si="24"/>
        <v>96000</v>
      </c>
      <c r="N101" s="375">
        <v>0</v>
      </c>
      <c r="O101" s="376">
        <v>0</v>
      </c>
      <c r="P101" s="95">
        <f t="shared" si="19"/>
        <v>0</v>
      </c>
      <c r="Q101" s="357">
        <v>0</v>
      </c>
      <c r="R101" s="362">
        <v>0</v>
      </c>
      <c r="S101" s="60">
        <f t="shared" si="20"/>
        <v>0</v>
      </c>
      <c r="T101" s="357">
        <v>0</v>
      </c>
      <c r="U101" s="362">
        <v>0</v>
      </c>
      <c r="V101" s="357">
        <f t="shared" si="21"/>
        <v>0</v>
      </c>
      <c r="W101" s="357">
        <v>0</v>
      </c>
      <c r="X101" s="373">
        <v>0</v>
      </c>
      <c r="Y101" s="467">
        <f t="shared" si="22"/>
        <v>0</v>
      </c>
      <c r="Z101" s="467">
        <v>18000</v>
      </c>
      <c r="AA101" s="373">
        <v>0</v>
      </c>
      <c r="AB101" s="467">
        <f t="shared" si="23"/>
        <v>36000</v>
      </c>
      <c r="AC101" s="375">
        <f>SUM(K101+N101+Q101+T101+W101+Z101)/2</f>
        <v>33000</v>
      </c>
      <c r="AD101" s="373">
        <v>0.19</v>
      </c>
      <c r="AE101" s="375">
        <f t="shared" si="25"/>
        <v>66000</v>
      </c>
      <c r="AF101" s="466"/>
      <c r="AG101" s="466"/>
      <c r="AH101" s="466"/>
      <c r="AI101" s="466"/>
      <c r="AJ101" s="466"/>
      <c r="AK101" s="466"/>
      <c r="AL101" s="466"/>
      <c r="AM101" s="466"/>
      <c r="AN101" s="466"/>
      <c r="AO101" s="466"/>
      <c r="AP101" s="466"/>
      <c r="AQ101" s="466"/>
      <c r="AR101" s="466"/>
      <c r="AS101" s="466"/>
      <c r="AT101" s="466"/>
      <c r="AU101" s="466"/>
      <c r="AV101" s="466"/>
      <c r="AW101" s="466"/>
      <c r="AX101" s="466"/>
    </row>
    <row r="102" spans="1:50" s="61" customFormat="1" ht="15" x14ac:dyDescent="0.25">
      <c r="A102" s="81">
        <v>5</v>
      </c>
      <c r="B102" s="365">
        <v>124111516</v>
      </c>
      <c r="C102" s="366">
        <v>270938</v>
      </c>
      <c r="D102" s="367">
        <v>24111503</v>
      </c>
      <c r="E102" s="81">
        <v>55</v>
      </c>
      <c r="F102" s="367" t="s">
        <v>169</v>
      </c>
      <c r="G102" s="349" t="s">
        <v>25</v>
      </c>
      <c r="H102" s="349"/>
      <c r="I102" s="349"/>
      <c r="J102" s="349">
        <v>16000</v>
      </c>
      <c r="K102" s="372">
        <v>109</v>
      </c>
      <c r="L102" s="373">
        <v>0.19</v>
      </c>
      <c r="M102" s="374">
        <f t="shared" si="24"/>
        <v>1744000</v>
      </c>
      <c r="N102" s="368">
        <v>147</v>
      </c>
      <c r="O102" s="373">
        <v>0.19</v>
      </c>
      <c r="P102" s="95">
        <f t="shared" si="19"/>
        <v>2352000</v>
      </c>
      <c r="Q102" s="364"/>
      <c r="R102" s="369">
        <v>0</v>
      </c>
      <c r="S102" s="364"/>
      <c r="T102" s="364"/>
      <c r="U102" s="364"/>
      <c r="V102" s="364"/>
      <c r="W102" s="364"/>
      <c r="X102" s="367"/>
      <c r="Y102" s="367"/>
      <c r="Z102" s="367"/>
      <c r="AA102" s="367"/>
      <c r="AB102" s="367"/>
      <c r="AC102" s="375">
        <f t="shared" ref="AC102:AC110" si="27">SUM(K102+N102+Q102+T102+W102+Z102)/2</f>
        <v>128</v>
      </c>
      <c r="AD102" s="373">
        <v>0.19</v>
      </c>
      <c r="AE102" s="375">
        <f t="shared" si="25"/>
        <v>2048000</v>
      </c>
      <c r="AF102" s="466"/>
      <c r="AG102" s="466"/>
      <c r="AH102" s="466"/>
      <c r="AI102" s="466"/>
      <c r="AJ102" s="466"/>
      <c r="AK102" s="466"/>
      <c r="AL102" s="466"/>
      <c r="AM102" s="466"/>
      <c r="AN102" s="466"/>
      <c r="AO102" s="466"/>
      <c r="AP102" s="466"/>
      <c r="AQ102" s="466"/>
      <c r="AR102" s="466"/>
      <c r="AS102" s="466"/>
      <c r="AT102" s="466"/>
      <c r="AU102" s="466"/>
      <c r="AV102" s="466"/>
      <c r="AW102" s="466"/>
      <c r="AX102" s="466"/>
    </row>
    <row r="103" spans="1:50" s="61" customFormat="1" ht="15" x14ac:dyDescent="0.25">
      <c r="A103" s="81">
        <v>5</v>
      </c>
      <c r="B103" s="365">
        <v>124111516</v>
      </c>
      <c r="C103" s="366">
        <v>270938</v>
      </c>
      <c r="D103" s="367">
        <v>24111503</v>
      </c>
      <c r="E103" s="81">
        <v>56</v>
      </c>
      <c r="F103" s="367" t="s">
        <v>170</v>
      </c>
      <c r="G103" s="349" t="s">
        <v>25</v>
      </c>
      <c r="H103" s="349"/>
      <c r="I103" s="349"/>
      <c r="J103" s="349">
        <v>16000</v>
      </c>
      <c r="K103" s="372">
        <v>52</v>
      </c>
      <c r="L103" s="373">
        <v>0.19</v>
      </c>
      <c r="M103" s="374">
        <f t="shared" si="24"/>
        <v>832000</v>
      </c>
      <c r="N103" s="368">
        <v>68</v>
      </c>
      <c r="O103" s="373">
        <v>0.19</v>
      </c>
      <c r="P103" s="95">
        <f t="shared" si="19"/>
        <v>1088000</v>
      </c>
      <c r="Q103" s="364"/>
      <c r="R103" s="369">
        <v>0</v>
      </c>
      <c r="S103" s="364"/>
      <c r="T103" s="364"/>
      <c r="U103" s="364"/>
      <c r="V103" s="364"/>
      <c r="W103" s="364"/>
      <c r="X103" s="367"/>
      <c r="Y103" s="367"/>
      <c r="Z103" s="367"/>
      <c r="AA103" s="367"/>
      <c r="AB103" s="367"/>
      <c r="AC103" s="375">
        <f t="shared" si="27"/>
        <v>60</v>
      </c>
      <c r="AD103" s="373">
        <v>0.19</v>
      </c>
      <c r="AE103" s="375">
        <f t="shared" si="25"/>
        <v>960000</v>
      </c>
      <c r="AF103" s="466"/>
      <c r="AG103" s="466"/>
      <c r="AH103" s="466"/>
      <c r="AI103" s="466"/>
      <c r="AJ103" s="466"/>
      <c r="AK103" s="466"/>
      <c r="AL103" s="466"/>
      <c r="AM103" s="466"/>
      <c r="AN103" s="466"/>
      <c r="AO103" s="466"/>
      <c r="AP103" s="466"/>
      <c r="AQ103" s="466"/>
      <c r="AR103" s="466"/>
      <c r="AS103" s="466"/>
      <c r="AT103" s="466"/>
      <c r="AU103" s="466"/>
      <c r="AV103" s="466"/>
      <c r="AW103" s="466"/>
      <c r="AX103" s="466"/>
    </row>
    <row r="104" spans="1:50" s="61" customFormat="1" ht="45" x14ac:dyDescent="0.25">
      <c r="A104" s="81">
        <v>5</v>
      </c>
      <c r="B104" s="347">
        <v>124111519</v>
      </c>
      <c r="C104" s="348">
        <v>279178</v>
      </c>
      <c r="D104" s="348"/>
      <c r="E104" s="81">
        <v>57</v>
      </c>
      <c r="F104" s="98" t="s">
        <v>171</v>
      </c>
      <c r="G104" s="349" t="s">
        <v>25</v>
      </c>
      <c r="H104" s="349"/>
      <c r="I104" s="349"/>
      <c r="J104" s="349">
        <v>100</v>
      </c>
      <c r="K104" s="377">
        <v>12852</v>
      </c>
      <c r="L104" s="378">
        <v>0</v>
      </c>
      <c r="M104" s="374">
        <f t="shared" si="24"/>
        <v>1285200</v>
      </c>
      <c r="N104" s="379">
        <v>11900</v>
      </c>
      <c r="O104" s="376">
        <v>0</v>
      </c>
      <c r="P104" s="95">
        <f t="shared" si="19"/>
        <v>1190000</v>
      </c>
      <c r="Q104" s="364"/>
      <c r="R104" s="369">
        <v>0</v>
      </c>
      <c r="S104" s="364"/>
      <c r="T104" s="364"/>
      <c r="U104" s="364"/>
      <c r="V104" s="364"/>
      <c r="W104" s="364"/>
      <c r="X104" s="367"/>
      <c r="Y104" s="367"/>
      <c r="Z104" s="367"/>
      <c r="AA104" s="367"/>
      <c r="AB104" s="367"/>
      <c r="AC104" s="375">
        <f t="shared" si="27"/>
        <v>12376</v>
      </c>
      <c r="AD104" s="376">
        <v>0</v>
      </c>
      <c r="AE104" s="375">
        <f t="shared" si="25"/>
        <v>1237600</v>
      </c>
      <c r="AF104" s="466"/>
      <c r="AG104" s="466"/>
      <c r="AH104" s="466"/>
      <c r="AI104" s="466"/>
      <c r="AJ104" s="466"/>
      <c r="AK104" s="466"/>
      <c r="AL104" s="466"/>
      <c r="AM104" s="466"/>
      <c r="AN104" s="466"/>
      <c r="AO104" s="466"/>
      <c r="AP104" s="466"/>
      <c r="AQ104" s="466"/>
      <c r="AR104" s="466"/>
      <c r="AS104" s="466"/>
      <c r="AT104" s="466"/>
      <c r="AU104" s="466"/>
      <c r="AV104" s="466"/>
      <c r="AW104" s="466"/>
      <c r="AX104" s="466"/>
    </row>
    <row r="105" spans="1:50" s="61" customFormat="1" ht="30" x14ac:dyDescent="0.25">
      <c r="A105" s="81">
        <v>5</v>
      </c>
      <c r="B105" s="98">
        <v>111172125</v>
      </c>
      <c r="C105" s="98">
        <v>279522</v>
      </c>
      <c r="D105" s="43">
        <v>21101703</v>
      </c>
      <c r="E105" s="81">
        <v>58</v>
      </c>
      <c r="F105" s="98" t="s">
        <v>172</v>
      </c>
      <c r="G105" s="349" t="s">
        <v>25</v>
      </c>
      <c r="H105" s="349"/>
      <c r="I105" s="349"/>
      <c r="J105" s="349">
        <v>10</v>
      </c>
      <c r="K105" s="380">
        <v>36890</v>
      </c>
      <c r="L105" s="378">
        <v>0</v>
      </c>
      <c r="M105" s="374">
        <f t="shared" si="24"/>
        <v>368900</v>
      </c>
      <c r="N105" s="381">
        <v>36890</v>
      </c>
      <c r="O105" s="376">
        <v>0</v>
      </c>
      <c r="P105" s="95">
        <f t="shared" si="19"/>
        <v>368900</v>
      </c>
      <c r="Q105" s="364"/>
      <c r="R105" s="369">
        <v>0</v>
      </c>
      <c r="S105" s="364"/>
      <c r="T105" s="364"/>
      <c r="U105" s="364"/>
      <c r="V105" s="364"/>
      <c r="W105" s="364"/>
      <c r="X105" s="367"/>
      <c r="Y105" s="367"/>
      <c r="Z105" s="367"/>
      <c r="AA105" s="367"/>
      <c r="AB105" s="367"/>
      <c r="AC105" s="375">
        <f t="shared" si="27"/>
        <v>36890</v>
      </c>
      <c r="AD105" s="376">
        <v>0</v>
      </c>
      <c r="AE105" s="375">
        <f t="shared" si="25"/>
        <v>368900</v>
      </c>
      <c r="AF105" s="466"/>
      <c r="AG105" s="466"/>
      <c r="AH105" s="466"/>
      <c r="AI105" s="466"/>
      <c r="AJ105" s="466"/>
      <c r="AK105" s="466"/>
      <c r="AL105" s="466"/>
      <c r="AM105" s="466"/>
      <c r="AN105" s="466"/>
      <c r="AO105" s="466"/>
      <c r="AP105" s="466"/>
      <c r="AQ105" s="466"/>
      <c r="AR105" s="466"/>
      <c r="AS105" s="466"/>
      <c r="AT105" s="466"/>
      <c r="AU105" s="466"/>
      <c r="AV105" s="466"/>
      <c r="AW105" s="466"/>
      <c r="AX105" s="466"/>
    </row>
    <row r="106" spans="1:50" s="61" customFormat="1" ht="30" x14ac:dyDescent="0.25">
      <c r="A106" s="81">
        <v>5</v>
      </c>
      <c r="B106" s="98">
        <v>111172125</v>
      </c>
      <c r="C106" s="98">
        <v>279522</v>
      </c>
      <c r="D106" s="43">
        <v>21101703</v>
      </c>
      <c r="E106" s="81">
        <v>59</v>
      </c>
      <c r="F106" s="98" t="s">
        <v>173</v>
      </c>
      <c r="G106" s="349" t="s">
        <v>25</v>
      </c>
      <c r="H106" s="349"/>
      <c r="I106" s="349"/>
      <c r="J106" s="349">
        <v>10</v>
      </c>
      <c r="K106" s="380">
        <v>19635</v>
      </c>
      <c r="L106" s="378">
        <v>0</v>
      </c>
      <c r="M106" s="374">
        <f t="shared" si="24"/>
        <v>196350</v>
      </c>
      <c r="N106" s="381">
        <v>19635</v>
      </c>
      <c r="O106" s="376">
        <v>0</v>
      </c>
      <c r="P106" s="95">
        <f t="shared" si="19"/>
        <v>196350</v>
      </c>
      <c r="Q106" s="364"/>
      <c r="R106" s="369">
        <v>0</v>
      </c>
      <c r="S106" s="364"/>
      <c r="T106" s="364"/>
      <c r="U106" s="364"/>
      <c r="V106" s="364"/>
      <c r="W106" s="364"/>
      <c r="X106" s="367"/>
      <c r="Y106" s="367"/>
      <c r="Z106" s="367"/>
      <c r="AA106" s="367"/>
      <c r="AB106" s="367"/>
      <c r="AC106" s="375">
        <f t="shared" si="27"/>
        <v>19635</v>
      </c>
      <c r="AD106" s="376">
        <v>0</v>
      </c>
      <c r="AE106" s="375">
        <f t="shared" si="25"/>
        <v>196350</v>
      </c>
      <c r="AF106" s="466"/>
      <c r="AG106" s="466"/>
      <c r="AH106" s="466"/>
      <c r="AI106" s="466"/>
      <c r="AJ106" s="466"/>
      <c r="AK106" s="466"/>
      <c r="AL106" s="466"/>
      <c r="AM106" s="466"/>
      <c r="AN106" s="466"/>
      <c r="AO106" s="466"/>
      <c r="AP106" s="466"/>
      <c r="AQ106" s="466"/>
      <c r="AR106" s="466"/>
      <c r="AS106" s="466"/>
      <c r="AT106" s="466"/>
      <c r="AU106" s="466"/>
      <c r="AV106" s="466"/>
      <c r="AW106" s="466"/>
      <c r="AX106" s="466"/>
    </row>
    <row r="107" spans="1:50" s="61" customFormat="1" ht="30" x14ac:dyDescent="0.25">
      <c r="A107" s="81">
        <v>5</v>
      </c>
      <c r="B107" s="98">
        <v>111172125</v>
      </c>
      <c r="C107" s="98">
        <v>279522</v>
      </c>
      <c r="D107" s="43">
        <v>21101703</v>
      </c>
      <c r="E107" s="81">
        <v>60</v>
      </c>
      <c r="F107" s="83" t="s">
        <v>174</v>
      </c>
      <c r="G107" s="349" t="s">
        <v>25</v>
      </c>
      <c r="H107" s="349"/>
      <c r="I107" s="349"/>
      <c r="J107" s="349">
        <v>10</v>
      </c>
      <c r="K107" s="380">
        <v>22610</v>
      </c>
      <c r="L107" s="378">
        <v>0</v>
      </c>
      <c r="M107" s="374">
        <f t="shared" si="24"/>
        <v>226100</v>
      </c>
      <c r="N107" s="381">
        <v>22610</v>
      </c>
      <c r="O107" s="376">
        <v>0</v>
      </c>
      <c r="P107" s="95">
        <f t="shared" si="19"/>
        <v>226100</v>
      </c>
      <c r="Q107" s="364"/>
      <c r="R107" s="369">
        <v>0</v>
      </c>
      <c r="S107" s="364"/>
      <c r="T107" s="364"/>
      <c r="U107" s="364"/>
      <c r="V107" s="364"/>
      <c r="W107" s="364"/>
      <c r="X107" s="367"/>
      <c r="Y107" s="367"/>
      <c r="Z107" s="367"/>
      <c r="AA107" s="367"/>
      <c r="AB107" s="367"/>
      <c r="AC107" s="375">
        <f t="shared" si="27"/>
        <v>22610</v>
      </c>
      <c r="AD107" s="376">
        <v>0</v>
      </c>
      <c r="AE107" s="375">
        <f t="shared" si="25"/>
        <v>226100</v>
      </c>
      <c r="AF107" s="466"/>
      <c r="AG107" s="466"/>
      <c r="AH107" s="466"/>
      <c r="AI107" s="466"/>
      <c r="AJ107" s="466"/>
      <c r="AK107" s="466"/>
      <c r="AL107" s="466"/>
      <c r="AM107" s="466"/>
      <c r="AN107" s="466"/>
      <c r="AO107" s="466"/>
      <c r="AP107" s="466"/>
      <c r="AQ107" s="466"/>
      <c r="AR107" s="466"/>
      <c r="AS107" s="466"/>
      <c r="AT107" s="466"/>
      <c r="AU107" s="466"/>
      <c r="AV107" s="466"/>
      <c r="AW107" s="466"/>
      <c r="AX107" s="466"/>
    </row>
    <row r="108" spans="1:50" s="61" customFormat="1" ht="30" x14ac:dyDescent="0.25">
      <c r="A108" s="81">
        <v>5</v>
      </c>
      <c r="B108" s="98">
        <v>111172322</v>
      </c>
      <c r="C108" s="98">
        <v>242230</v>
      </c>
      <c r="D108" s="43">
        <v>53103201</v>
      </c>
      <c r="E108" s="81">
        <v>61</v>
      </c>
      <c r="F108" s="83" t="s">
        <v>175</v>
      </c>
      <c r="G108" s="349" t="s">
        <v>176</v>
      </c>
      <c r="H108" s="349"/>
      <c r="I108" s="349"/>
      <c r="J108" s="349">
        <v>10</v>
      </c>
      <c r="K108" s="380">
        <v>29275</v>
      </c>
      <c r="L108" s="378">
        <v>0</v>
      </c>
      <c r="M108" s="374">
        <f t="shared" si="24"/>
        <v>292750</v>
      </c>
      <c r="N108" s="381">
        <v>54178</v>
      </c>
      <c r="O108" s="376">
        <v>0</v>
      </c>
      <c r="P108" s="95">
        <f t="shared" si="19"/>
        <v>541780</v>
      </c>
      <c r="Q108" s="364"/>
      <c r="R108" s="369">
        <v>0</v>
      </c>
      <c r="S108" s="364"/>
      <c r="T108" s="364"/>
      <c r="U108" s="364"/>
      <c r="V108" s="364"/>
      <c r="W108" s="364"/>
      <c r="X108" s="367"/>
      <c r="Y108" s="367"/>
      <c r="Z108" s="367"/>
      <c r="AA108" s="367"/>
      <c r="AB108" s="367"/>
      <c r="AC108" s="375">
        <f t="shared" si="27"/>
        <v>41726.5</v>
      </c>
      <c r="AD108" s="376">
        <v>0</v>
      </c>
      <c r="AE108" s="375">
        <f t="shared" si="25"/>
        <v>417265</v>
      </c>
      <c r="AF108" s="466"/>
      <c r="AG108" s="466"/>
      <c r="AH108" s="466"/>
      <c r="AI108" s="466"/>
      <c r="AJ108" s="466"/>
      <c r="AK108" s="466"/>
      <c r="AL108" s="466"/>
      <c r="AM108" s="466"/>
      <c r="AN108" s="466"/>
      <c r="AO108" s="466"/>
      <c r="AP108" s="466"/>
      <c r="AQ108" s="466"/>
      <c r="AR108" s="466"/>
      <c r="AS108" s="466"/>
      <c r="AT108" s="466"/>
      <c r="AU108" s="466"/>
      <c r="AV108" s="466"/>
      <c r="AW108" s="466"/>
      <c r="AX108" s="466"/>
    </row>
    <row r="109" spans="1:50" s="61" customFormat="1" ht="15" x14ac:dyDescent="0.25">
      <c r="A109" s="81">
        <v>5</v>
      </c>
      <c r="B109" s="98">
        <v>111172318</v>
      </c>
      <c r="C109" s="98">
        <v>289213</v>
      </c>
      <c r="D109" s="43">
        <v>53103201</v>
      </c>
      <c r="E109" s="81">
        <v>62</v>
      </c>
      <c r="F109" s="83" t="s">
        <v>177</v>
      </c>
      <c r="G109" s="349" t="s">
        <v>178</v>
      </c>
      <c r="H109" s="349"/>
      <c r="I109" s="349"/>
      <c r="J109" s="349">
        <v>5</v>
      </c>
      <c r="K109" s="380">
        <v>54804</v>
      </c>
      <c r="L109" s="378">
        <v>0</v>
      </c>
      <c r="M109" s="374">
        <f t="shared" si="24"/>
        <v>274020</v>
      </c>
      <c r="N109" s="381">
        <v>85505</v>
      </c>
      <c r="O109" s="376">
        <v>0</v>
      </c>
      <c r="P109" s="95">
        <f t="shared" si="19"/>
        <v>427525</v>
      </c>
      <c r="Q109" s="364"/>
      <c r="R109" s="369">
        <v>0</v>
      </c>
      <c r="S109" s="364"/>
      <c r="T109" s="364"/>
      <c r="U109" s="364"/>
      <c r="V109" s="364"/>
      <c r="W109" s="364"/>
      <c r="X109" s="367"/>
      <c r="Y109" s="367"/>
      <c r="Z109" s="367"/>
      <c r="AA109" s="367"/>
      <c r="AB109" s="367"/>
      <c r="AC109" s="375">
        <f t="shared" si="27"/>
        <v>70154.5</v>
      </c>
      <c r="AD109" s="376">
        <v>0</v>
      </c>
      <c r="AE109" s="375">
        <f t="shared" si="25"/>
        <v>350772.5</v>
      </c>
      <c r="AF109" s="466"/>
      <c r="AG109" s="466"/>
      <c r="AH109" s="466"/>
      <c r="AI109" s="466"/>
      <c r="AJ109" s="466"/>
      <c r="AK109" s="466"/>
      <c r="AL109" s="466"/>
      <c r="AM109" s="466"/>
      <c r="AN109" s="466"/>
      <c r="AO109" s="466"/>
      <c r="AP109" s="466"/>
      <c r="AQ109" s="466"/>
      <c r="AR109" s="466"/>
      <c r="AS109" s="466"/>
      <c r="AT109" s="466"/>
      <c r="AU109" s="466"/>
      <c r="AV109" s="466"/>
      <c r="AW109" s="466"/>
      <c r="AX109" s="466"/>
    </row>
    <row r="110" spans="1:50" s="61" customFormat="1" ht="15" x14ac:dyDescent="0.25">
      <c r="A110" s="81">
        <v>5</v>
      </c>
      <c r="B110" s="98">
        <v>146182005</v>
      </c>
      <c r="C110" s="98">
        <v>261700</v>
      </c>
      <c r="D110" s="43">
        <v>53103201</v>
      </c>
      <c r="E110" s="81">
        <v>63</v>
      </c>
      <c r="F110" s="83" t="s">
        <v>179</v>
      </c>
      <c r="G110" s="349" t="s">
        <v>180</v>
      </c>
      <c r="H110" s="349"/>
      <c r="I110" s="349"/>
      <c r="J110" s="349">
        <v>12</v>
      </c>
      <c r="K110" s="380">
        <v>13090</v>
      </c>
      <c r="L110" s="378">
        <v>0</v>
      </c>
      <c r="M110" s="374">
        <f t="shared" si="24"/>
        <v>157080</v>
      </c>
      <c r="N110" s="381">
        <v>19724</v>
      </c>
      <c r="O110" s="376">
        <v>0</v>
      </c>
      <c r="P110" s="95">
        <f t="shared" si="19"/>
        <v>236688</v>
      </c>
      <c r="Q110" s="364"/>
      <c r="R110" s="369">
        <v>0</v>
      </c>
      <c r="S110" s="364"/>
      <c r="T110" s="364"/>
      <c r="U110" s="364"/>
      <c r="V110" s="364"/>
      <c r="W110" s="364"/>
      <c r="X110" s="367"/>
      <c r="Y110" s="367"/>
      <c r="Z110" s="367"/>
      <c r="AA110" s="367"/>
      <c r="AB110" s="367"/>
      <c r="AC110" s="375">
        <f t="shared" si="27"/>
        <v>16407</v>
      </c>
      <c r="AD110" s="376">
        <v>0</v>
      </c>
      <c r="AE110" s="375">
        <f t="shared" si="25"/>
        <v>196884</v>
      </c>
      <c r="AF110" s="466"/>
      <c r="AG110" s="466"/>
      <c r="AH110" s="466"/>
      <c r="AI110" s="466"/>
      <c r="AJ110" s="466"/>
      <c r="AK110" s="466"/>
      <c r="AL110" s="466"/>
      <c r="AM110" s="466"/>
      <c r="AN110" s="466"/>
      <c r="AO110" s="466"/>
      <c r="AP110" s="466"/>
      <c r="AQ110" s="466"/>
      <c r="AR110" s="466"/>
      <c r="AS110" s="466"/>
      <c r="AT110" s="466"/>
      <c r="AU110" s="466"/>
      <c r="AV110" s="466"/>
      <c r="AW110" s="466"/>
      <c r="AX110" s="466"/>
    </row>
    <row r="111" spans="1:50" s="61" customFormat="1" ht="15" x14ac:dyDescent="0.25">
      <c r="A111" s="364"/>
      <c r="B111" s="364"/>
      <c r="C111" s="364"/>
      <c r="D111" s="364"/>
      <c r="E111" s="30"/>
      <c r="F111" s="364"/>
      <c r="G111" s="364"/>
      <c r="H111" s="364"/>
      <c r="I111" s="364"/>
      <c r="J111" s="364"/>
      <c r="K111" s="364"/>
      <c r="L111" s="364"/>
      <c r="M111" s="60">
        <f>SUM(M48:M110)</f>
        <v>207220380</v>
      </c>
      <c r="N111" s="370"/>
      <c r="O111" s="370"/>
      <c r="P111" s="371">
        <f>SUM(P48:P110)</f>
        <v>78041843</v>
      </c>
      <c r="Q111" s="364"/>
      <c r="R111" s="364"/>
      <c r="S111" s="364"/>
      <c r="T111" s="364"/>
      <c r="U111" s="364"/>
      <c r="V111" s="364"/>
      <c r="W111" s="364"/>
      <c r="X111" s="367"/>
      <c r="Y111" s="367"/>
      <c r="Z111" s="367"/>
      <c r="AA111" s="367"/>
      <c r="AB111" s="367"/>
      <c r="AC111" s="375">
        <f>SUM(K111+N111+Q111+T111+W111+Z111)/2</f>
        <v>0</v>
      </c>
      <c r="AD111" s="367"/>
      <c r="AE111" s="467">
        <f>SUM(AE48:AE110)</f>
        <v>172294306.49999997</v>
      </c>
      <c r="AF111" s="466"/>
      <c r="AG111" s="466"/>
      <c r="AH111" s="466"/>
      <c r="AI111" s="466"/>
      <c r="AJ111" s="466"/>
      <c r="AK111" s="466"/>
      <c r="AL111" s="466"/>
      <c r="AM111" s="466"/>
      <c r="AN111" s="466"/>
      <c r="AO111" s="466"/>
      <c r="AP111" s="466"/>
      <c r="AQ111" s="466"/>
      <c r="AR111" s="466"/>
      <c r="AS111" s="466"/>
      <c r="AT111" s="466"/>
      <c r="AU111" s="466"/>
      <c r="AV111" s="466"/>
      <c r="AW111" s="466"/>
      <c r="AX111" s="466"/>
    </row>
    <row r="112" spans="1:50" s="61" customFormat="1" ht="15" x14ac:dyDescent="0.25">
      <c r="E112" s="343"/>
      <c r="M112" s="199"/>
      <c r="N112" s="199"/>
      <c r="O112" s="199"/>
      <c r="P112" s="245"/>
      <c r="X112" s="466"/>
      <c r="Y112" s="466"/>
      <c r="Z112" s="466"/>
      <c r="AA112" s="466"/>
      <c r="AB112" s="466"/>
      <c r="AC112" s="466"/>
      <c r="AD112" s="466"/>
      <c r="AE112" s="468"/>
      <c r="AF112" s="466"/>
      <c r="AG112" s="466"/>
      <c r="AH112" s="466"/>
      <c r="AI112" s="466"/>
      <c r="AJ112" s="466"/>
      <c r="AK112" s="466"/>
      <c r="AL112" s="466"/>
      <c r="AM112" s="466"/>
      <c r="AN112" s="466"/>
      <c r="AO112" s="466"/>
      <c r="AP112" s="466"/>
      <c r="AQ112" s="466"/>
      <c r="AR112" s="466"/>
      <c r="AS112" s="466"/>
      <c r="AT112" s="466"/>
      <c r="AU112" s="466"/>
      <c r="AV112" s="466"/>
      <c r="AW112" s="466"/>
      <c r="AX112" s="466"/>
    </row>
    <row r="113" spans="1:50" s="26" customFormat="1" ht="15" x14ac:dyDescent="0.25">
      <c r="E113" s="342"/>
      <c r="M113" s="92"/>
      <c r="N113" s="92"/>
      <c r="O113" s="92"/>
      <c r="P113" s="242"/>
      <c r="X113" s="452"/>
      <c r="Y113" s="452"/>
      <c r="Z113" s="452"/>
      <c r="AA113" s="452"/>
      <c r="AB113" s="452"/>
      <c r="AC113" s="452"/>
      <c r="AD113" s="452"/>
      <c r="AE113" s="452"/>
      <c r="AF113" s="452"/>
      <c r="AG113" s="452"/>
      <c r="AH113" s="452"/>
      <c r="AI113" s="452"/>
      <c r="AJ113" s="452"/>
      <c r="AK113" s="452"/>
      <c r="AL113" s="452"/>
      <c r="AM113" s="452"/>
      <c r="AN113" s="452"/>
      <c r="AO113" s="452"/>
      <c r="AP113" s="452"/>
      <c r="AQ113" s="452"/>
      <c r="AR113" s="452"/>
      <c r="AS113" s="452"/>
      <c r="AT113" s="452"/>
      <c r="AU113" s="452"/>
      <c r="AV113" s="452"/>
      <c r="AW113" s="452"/>
      <c r="AX113" s="452"/>
    </row>
    <row r="114" spans="1:50" s="26" customFormat="1" ht="21" customHeight="1" x14ac:dyDescent="0.25">
      <c r="A114" s="604" t="s">
        <v>181</v>
      </c>
      <c r="B114" s="605"/>
      <c r="C114" s="605"/>
      <c r="D114" s="605"/>
      <c r="E114" s="727" t="s">
        <v>181</v>
      </c>
      <c r="F114" s="727"/>
      <c r="G114" s="727"/>
      <c r="H114" s="727"/>
      <c r="I114" s="727"/>
      <c r="J114" s="727"/>
      <c r="K114" s="605"/>
      <c r="L114" s="605"/>
      <c r="M114" s="605"/>
      <c r="N114" s="605"/>
      <c r="O114" s="605"/>
      <c r="P114" s="605"/>
      <c r="Q114" s="605"/>
      <c r="R114" s="605"/>
      <c r="S114" s="605"/>
      <c r="T114" s="605"/>
      <c r="U114" s="605"/>
      <c r="V114" s="606"/>
      <c r="X114" s="452"/>
      <c r="Y114" s="452"/>
      <c r="Z114" s="452"/>
      <c r="AA114" s="452"/>
      <c r="AB114" s="452"/>
      <c r="AC114" s="452"/>
      <c r="AD114" s="452"/>
      <c r="AE114" s="452"/>
      <c r="AF114" s="452"/>
      <c r="AG114" s="452"/>
      <c r="AH114" s="452"/>
      <c r="AI114" s="452"/>
      <c r="AJ114" s="452"/>
      <c r="AK114" s="452"/>
      <c r="AL114" s="452"/>
      <c r="AM114" s="452"/>
      <c r="AN114" s="452"/>
      <c r="AO114" s="452"/>
      <c r="AP114" s="452"/>
      <c r="AQ114" s="452"/>
      <c r="AR114" s="452"/>
      <c r="AS114" s="452"/>
      <c r="AT114" s="452"/>
      <c r="AU114" s="452"/>
      <c r="AV114" s="452"/>
      <c r="AW114" s="452"/>
      <c r="AX114" s="452"/>
    </row>
    <row r="115" spans="1:50" s="26" customFormat="1" ht="15.6" x14ac:dyDescent="0.25">
      <c r="A115" s="740" t="s">
        <v>83</v>
      </c>
      <c r="B115" s="740" t="s">
        <v>84</v>
      </c>
      <c r="C115" s="740" t="s">
        <v>85</v>
      </c>
      <c r="D115" s="741" t="s">
        <v>86</v>
      </c>
      <c r="E115" s="740" t="s">
        <v>6</v>
      </c>
      <c r="F115" s="740" t="s">
        <v>87</v>
      </c>
      <c r="G115" s="740" t="s">
        <v>88</v>
      </c>
      <c r="H115" s="609"/>
      <c r="I115" s="609"/>
      <c r="J115" s="758" t="s">
        <v>89</v>
      </c>
      <c r="K115" s="745" t="s">
        <v>182</v>
      </c>
      <c r="L115" s="746"/>
      <c r="M115" s="760"/>
      <c r="N115" s="742" t="s">
        <v>183</v>
      </c>
      <c r="O115" s="743"/>
      <c r="P115" s="744"/>
      <c r="Q115" s="745" t="s">
        <v>184</v>
      </c>
      <c r="R115" s="746"/>
      <c r="S115" s="746"/>
      <c r="T115" s="736" t="s">
        <v>15</v>
      </c>
      <c r="U115" s="736"/>
      <c r="V115" s="736"/>
      <c r="X115" s="452"/>
      <c r="Y115" s="452"/>
      <c r="Z115" s="452"/>
      <c r="AA115" s="452"/>
      <c r="AB115" s="452"/>
      <c r="AC115" s="452"/>
      <c r="AD115" s="452"/>
      <c r="AE115" s="452"/>
      <c r="AF115" s="452"/>
      <c r="AG115" s="452"/>
      <c r="AH115" s="452"/>
      <c r="AI115" s="452"/>
      <c r="AJ115" s="452"/>
      <c r="AK115" s="452"/>
      <c r="AL115" s="452"/>
      <c r="AM115" s="452"/>
      <c r="AN115" s="452"/>
      <c r="AO115" s="452"/>
      <c r="AP115" s="452"/>
      <c r="AQ115" s="452"/>
      <c r="AR115" s="452"/>
      <c r="AS115" s="452"/>
      <c r="AT115" s="452"/>
      <c r="AU115" s="452"/>
      <c r="AV115" s="452"/>
      <c r="AW115" s="452"/>
      <c r="AX115" s="452"/>
    </row>
    <row r="116" spans="1:50" s="26" customFormat="1" ht="31.2" x14ac:dyDescent="0.25">
      <c r="A116" s="740"/>
      <c r="B116" s="740"/>
      <c r="C116" s="740"/>
      <c r="D116" s="741"/>
      <c r="E116" s="740"/>
      <c r="F116" s="740"/>
      <c r="G116" s="740"/>
      <c r="H116" s="610"/>
      <c r="I116" s="610"/>
      <c r="J116" s="759"/>
      <c r="K116" s="62" t="s">
        <v>16</v>
      </c>
      <c r="L116" s="62" t="s">
        <v>17</v>
      </c>
      <c r="M116" s="200" t="s">
        <v>18</v>
      </c>
      <c r="N116" s="200" t="s">
        <v>16</v>
      </c>
      <c r="O116" s="200" t="s">
        <v>17</v>
      </c>
      <c r="P116" s="246" t="s">
        <v>18</v>
      </c>
      <c r="Q116" s="62" t="s">
        <v>16</v>
      </c>
      <c r="R116" s="62" t="s">
        <v>17</v>
      </c>
      <c r="S116" s="62" t="s">
        <v>18</v>
      </c>
      <c r="T116" s="63" t="s">
        <v>16</v>
      </c>
      <c r="U116" s="63" t="s">
        <v>17</v>
      </c>
      <c r="V116" s="63" t="s">
        <v>18</v>
      </c>
      <c r="X116" s="452"/>
      <c r="Y116" s="452"/>
      <c r="Z116" s="452"/>
      <c r="AA116" s="452"/>
      <c r="AB116" s="452"/>
      <c r="AC116" s="452"/>
      <c r="AD116" s="452"/>
      <c r="AE116" s="452"/>
      <c r="AF116" s="452"/>
      <c r="AG116" s="452"/>
      <c r="AH116" s="452"/>
      <c r="AI116" s="452"/>
      <c r="AJ116" s="452"/>
      <c r="AK116" s="452"/>
      <c r="AL116" s="452"/>
      <c r="AM116" s="452"/>
      <c r="AN116" s="452"/>
      <c r="AO116" s="452"/>
      <c r="AP116" s="452"/>
      <c r="AQ116" s="452"/>
      <c r="AR116" s="452"/>
      <c r="AS116" s="452"/>
      <c r="AT116" s="452"/>
      <c r="AU116" s="452"/>
      <c r="AV116" s="452"/>
      <c r="AW116" s="452"/>
      <c r="AX116" s="452"/>
    </row>
    <row r="117" spans="1:50" s="26" customFormat="1" ht="15" x14ac:dyDescent="0.25">
      <c r="A117" s="57">
        <v>5</v>
      </c>
      <c r="B117" s="59">
        <v>15019</v>
      </c>
      <c r="C117" s="59">
        <v>150192904</v>
      </c>
      <c r="D117" s="56">
        <v>503150000</v>
      </c>
      <c r="E117" s="55">
        <v>1</v>
      </c>
      <c r="F117" s="64" t="s">
        <v>185</v>
      </c>
      <c r="G117" s="55" t="s">
        <v>186</v>
      </c>
      <c r="H117" s="55"/>
      <c r="I117" s="55"/>
      <c r="J117" s="65">
        <v>25</v>
      </c>
      <c r="K117" s="66">
        <v>39000</v>
      </c>
      <c r="L117" s="67">
        <v>0</v>
      </c>
      <c r="M117" s="201">
        <f>K117*J117</f>
        <v>975000</v>
      </c>
      <c r="N117" s="209">
        <v>57800</v>
      </c>
      <c r="O117" s="210">
        <v>0</v>
      </c>
      <c r="P117" s="247">
        <f>N117*J117</f>
        <v>1445000</v>
      </c>
      <c r="Q117" s="66">
        <v>69595</v>
      </c>
      <c r="R117" s="67">
        <v>0</v>
      </c>
      <c r="S117" s="68">
        <f>Q117*J117</f>
        <v>1739875</v>
      </c>
      <c r="T117" s="69">
        <f>SUM(K117+N117+Q117)/3</f>
        <v>55465</v>
      </c>
      <c r="U117" s="70">
        <v>0</v>
      </c>
      <c r="V117" s="71">
        <f>T117*J117</f>
        <v>1386625</v>
      </c>
      <c r="X117" s="452"/>
      <c r="Y117" s="531">
        <f>V117</f>
        <v>1386625</v>
      </c>
      <c r="Z117" s="452"/>
      <c r="AA117" s="452"/>
      <c r="AB117" s="452"/>
      <c r="AC117" s="452"/>
      <c r="AD117" s="452"/>
      <c r="AE117" s="452"/>
      <c r="AF117" s="452"/>
      <c r="AG117" s="452"/>
      <c r="AH117" s="452"/>
      <c r="AI117" s="452"/>
      <c r="AJ117" s="452"/>
      <c r="AK117" s="452"/>
      <c r="AL117" s="452"/>
      <c r="AM117" s="452"/>
      <c r="AN117" s="452"/>
      <c r="AO117" s="452"/>
      <c r="AP117" s="452"/>
      <c r="AQ117" s="452"/>
      <c r="AR117" s="452"/>
      <c r="AS117" s="452"/>
      <c r="AT117" s="452"/>
      <c r="AU117" s="452"/>
      <c r="AV117" s="452"/>
      <c r="AW117" s="452"/>
      <c r="AX117" s="452"/>
    </row>
    <row r="118" spans="1:50" s="26" customFormat="1" ht="29.55" customHeight="1" x14ac:dyDescent="0.25">
      <c r="A118" s="57">
        <v>5</v>
      </c>
      <c r="B118" s="59">
        <v>24542</v>
      </c>
      <c r="C118" s="59">
        <v>150171559</v>
      </c>
      <c r="D118" s="56">
        <v>12352207</v>
      </c>
      <c r="E118" s="55">
        <v>2</v>
      </c>
      <c r="F118" s="64" t="s">
        <v>187</v>
      </c>
      <c r="G118" s="55" t="s">
        <v>188</v>
      </c>
      <c r="H118" s="55"/>
      <c r="I118" s="55"/>
      <c r="J118" s="65">
        <v>20</v>
      </c>
      <c r="K118" s="66">
        <v>42000</v>
      </c>
      <c r="L118" s="67">
        <v>0</v>
      </c>
      <c r="M118" s="201">
        <f t="shared" ref="M118:M168" si="28">K118*J118</f>
        <v>840000</v>
      </c>
      <c r="N118" s="209">
        <v>42000</v>
      </c>
      <c r="O118" s="210">
        <v>0</v>
      </c>
      <c r="P118" s="247">
        <f t="shared" ref="P118:P168" si="29">N118*J118</f>
        <v>840000</v>
      </c>
      <c r="Q118" s="66">
        <v>0</v>
      </c>
      <c r="R118" s="67">
        <v>0</v>
      </c>
      <c r="S118" s="68">
        <f t="shared" ref="S118:S168" si="30">Q118*J118</f>
        <v>0</v>
      </c>
      <c r="T118" s="69">
        <f>SUM(K118+N118+Q118)/2</f>
        <v>42000</v>
      </c>
      <c r="U118" s="67">
        <v>0</v>
      </c>
      <c r="V118" s="71">
        <f t="shared" ref="V118:V168" si="31">T118*J118</f>
        <v>840000</v>
      </c>
      <c r="X118" s="452"/>
      <c r="Y118" s="531">
        <f t="shared" ref="Y118:Y168" si="32">V118</f>
        <v>840000</v>
      </c>
      <c r="Z118" s="452"/>
      <c r="AA118" s="452"/>
      <c r="AB118" s="452"/>
      <c r="AC118" s="452"/>
      <c r="AD118" s="452"/>
      <c r="AE118" s="452"/>
      <c r="AF118" s="452"/>
      <c r="AG118" s="452"/>
      <c r="AH118" s="452"/>
      <c r="AI118" s="452"/>
      <c r="AJ118" s="452"/>
      <c r="AK118" s="452"/>
      <c r="AL118" s="452"/>
      <c r="AM118" s="452"/>
      <c r="AN118" s="452"/>
      <c r="AO118" s="452"/>
      <c r="AP118" s="452"/>
      <c r="AQ118" s="452"/>
      <c r="AR118" s="452"/>
      <c r="AS118" s="452"/>
      <c r="AT118" s="452"/>
      <c r="AU118" s="452"/>
      <c r="AV118" s="452"/>
      <c r="AW118" s="452"/>
      <c r="AX118" s="452"/>
    </row>
    <row r="119" spans="1:50" s="26" customFormat="1" ht="27" customHeight="1" x14ac:dyDescent="0.25">
      <c r="A119" s="57">
        <v>5</v>
      </c>
      <c r="B119" s="59">
        <v>24542</v>
      </c>
      <c r="C119" s="59">
        <v>150171559</v>
      </c>
      <c r="D119" s="56">
        <v>12352207</v>
      </c>
      <c r="E119" s="55">
        <v>3</v>
      </c>
      <c r="F119" s="64" t="s">
        <v>189</v>
      </c>
      <c r="G119" s="55" t="s">
        <v>188</v>
      </c>
      <c r="H119" s="55"/>
      <c r="I119" s="55"/>
      <c r="J119" s="65">
        <v>20</v>
      </c>
      <c r="K119" s="66">
        <v>42000</v>
      </c>
      <c r="L119" s="67">
        <v>0</v>
      </c>
      <c r="M119" s="201">
        <f t="shared" si="28"/>
        <v>840000</v>
      </c>
      <c r="N119" s="209">
        <v>42000</v>
      </c>
      <c r="O119" s="210">
        <v>0</v>
      </c>
      <c r="P119" s="247">
        <f t="shared" si="29"/>
        <v>840000</v>
      </c>
      <c r="Q119" s="66">
        <v>0</v>
      </c>
      <c r="R119" s="67">
        <v>0</v>
      </c>
      <c r="S119" s="68">
        <f t="shared" si="30"/>
        <v>0</v>
      </c>
      <c r="T119" s="69">
        <f>SUM(K119+N119+Q119)/2</f>
        <v>42000</v>
      </c>
      <c r="U119" s="67">
        <v>0</v>
      </c>
      <c r="V119" s="71">
        <f t="shared" si="31"/>
        <v>840000</v>
      </c>
      <c r="X119" s="452"/>
      <c r="Y119" s="531">
        <f t="shared" si="32"/>
        <v>840000</v>
      </c>
      <c r="Z119" s="452"/>
      <c r="AA119" s="452"/>
      <c r="AB119" s="452"/>
      <c r="AC119" s="452"/>
      <c r="AD119" s="452"/>
      <c r="AE119" s="452"/>
      <c r="AF119" s="452"/>
      <c r="AG119" s="452"/>
      <c r="AH119" s="452"/>
      <c r="AI119" s="452"/>
      <c r="AJ119" s="452"/>
      <c r="AK119" s="452"/>
      <c r="AL119" s="452"/>
      <c r="AM119" s="452"/>
      <c r="AN119" s="452"/>
      <c r="AO119" s="452"/>
      <c r="AP119" s="452"/>
      <c r="AQ119" s="452"/>
      <c r="AR119" s="452"/>
      <c r="AS119" s="452"/>
      <c r="AT119" s="452"/>
      <c r="AU119" s="452"/>
      <c r="AV119" s="452"/>
      <c r="AW119" s="452"/>
      <c r="AX119" s="452"/>
    </row>
    <row r="120" spans="1:50" s="26" customFormat="1" ht="23.55" customHeight="1" x14ac:dyDescent="0.25">
      <c r="A120" s="57">
        <v>5</v>
      </c>
      <c r="B120" s="59">
        <v>51100</v>
      </c>
      <c r="C120" s="59">
        <v>51102700</v>
      </c>
      <c r="D120" s="56">
        <v>51102706</v>
      </c>
      <c r="E120" s="55">
        <v>4</v>
      </c>
      <c r="F120" s="64" t="s">
        <v>190</v>
      </c>
      <c r="G120" s="72" t="s">
        <v>191</v>
      </c>
      <c r="H120" s="72"/>
      <c r="I120" s="72"/>
      <c r="J120" s="65">
        <v>20</v>
      </c>
      <c r="K120" s="66">
        <v>28000</v>
      </c>
      <c r="L120" s="67">
        <v>0</v>
      </c>
      <c r="M120" s="201">
        <f t="shared" si="28"/>
        <v>560000</v>
      </c>
      <c r="N120" s="209">
        <v>69000</v>
      </c>
      <c r="O120" s="210">
        <v>0</v>
      </c>
      <c r="P120" s="247">
        <f t="shared" si="29"/>
        <v>1380000</v>
      </c>
      <c r="Q120" s="66">
        <v>155000</v>
      </c>
      <c r="R120" s="67">
        <v>0</v>
      </c>
      <c r="S120" s="68">
        <f t="shared" si="30"/>
        <v>3100000</v>
      </c>
      <c r="T120" s="69">
        <f t="shared" ref="T120:T166" si="33">SUM(K120+N120+Q120)/3</f>
        <v>84000</v>
      </c>
      <c r="U120" s="67">
        <v>0</v>
      </c>
      <c r="V120" s="71">
        <f t="shared" si="31"/>
        <v>1680000</v>
      </c>
      <c r="X120" s="452"/>
      <c r="Y120" s="531">
        <f t="shared" si="32"/>
        <v>1680000</v>
      </c>
      <c r="Z120" s="452"/>
      <c r="AA120" s="452"/>
      <c r="AB120" s="452"/>
      <c r="AC120" s="452"/>
      <c r="AD120" s="452"/>
      <c r="AE120" s="452"/>
      <c r="AF120" s="452"/>
      <c r="AG120" s="452"/>
      <c r="AH120" s="452"/>
      <c r="AI120" s="452"/>
      <c r="AJ120" s="452"/>
      <c r="AK120" s="452"/>
      <c r="AL120" s="452"/>
      <c r="AM120" s="452"/>
      <c r="AN120" s="452"/>
      <c r="AO120" s="452"/>
      <c r="AP120" s="452"/>
      <c r="AQ120" s="452"/>
      <c r="AR120" s="452"/>
      <c r="AS120" s="452"/>
      <c r="AT120" s="452"/>
      <c r="AU120" s="452"/>
      <c r="AV120" s="452"/>
      <c r="AW120" s="452"/>
      <c r="AX120" s="452"/>
    </row>
    <row r="121" spans="1:50" s="26" customFormat="1" ht="90" x14ac:dyDescent="0.25">
      <c r="A121" s="57">
        <v>5</v>
      </c>
      <c r="B121" s="59">
        <v>24542</v>
      </c>
      <c r="C121" s="59">
        <v>150171559</v>
      </c>
      <c r="D121" s="56">
        <v>12352207</v>
      </c>
      <c r="E121" s="55">
        <v>5</v>
      </c>
      <c r="F121" s="64" t="s">
        <v>192</v>
      </c>
      <c r="G121" s="55" t="s">
        <v>193</v>
      </c>
      <c r="H121" s="55"/>
      <c r="I121" s="55"/>
      <c r="J121" s="65">
        <v>35</v>
      </c>
      <c r="K121" s="66">
        <v>28000</v>
      </c>
      <c r="L121" s="67">
        <v>0</v>
      </c>
      <c r="M121" s="201">
        <f t="shared" si="28"/>
        <v>980000</v>
      </c>
      <c r="N121" s="209">
        <v>32000</v>
      </c>
      <c r="O121" s="210">
        <v>0</v>
      </c>
      <c r="P121" s="247">
        <f t="shared" si="29"/>
        <v>1120000</v>
      </c>
      <c r="Q121" s="66">
        <v>0</v>
      </c>
      <c r="R121" s="67">
        <v>0</v>
      </c>
      <c r="S121" s="68">
        <f t="shared" si="30"/>
        <v>0</v>
      </c>
      <c r="T121" s="69">
        <f>SUM(K121+N121+Q121)/2</f>
        <v>30000</v>
      </c>
      <c r="U121" s="67">
        <v>0</v>
      </c>
      <c r="V121" s="71">
        <f t="shared" si="31"/>
        <v>1050000</v>
      </c>
      <c r="X121" s="452"/>
      <c r="Y121" s="531">
        <f t="shared" si="32"/>
        <v>1050000</v>
      </c>
      <c r="Z121" s="452"/>
      <c r="AA121" s="452"/>
      <c r="AB121" s="452"/>
      <c r="AC121" s="452"/>
      <c r="AD121" s="452"/>
      <c r="AE121" s="452"/>
      <c r="AF121" s="452"/>
      <c r="AG121" s="452"/>
      <c r="AH121" s="452"/>
      <c r="AI121" s="452"/>
      <c r="AJ121" s="452"/>
      <c r="AK121" s="452"/>
      <c r="AL121" s="452"/>
      <c r="AM121" s="452"/>
      <c r="AN121" s="452"/>
      <c r="AO121" s="452"/>
      <c r="AP121" s="452"/>
      <c r="AQ121" s="452"/>
      <c r="AR121" s="452"/>
      <c r="AS121" s="452"/>
      <c r="AT121" s="452"/>
      <c r="AU121" s="452"/>
      <c r="AV121" s="452"/>
      <c r="AW121" s="452"/>
      <c r="AX121" s="452"/>
    </row>
    <row r="122" spans="1:50" s="26" customFormat="1" ht="30" x14ac:dyDescent="0.25">
      <c r="A122" s="57">
        <v>5</v>
      </c>
      <c r="B122" s="59">
        <v>24542</v>
      </c>
      <c r="C122" s="59">
        <v>150171559</v>
      </c>
      <c r="D122" s="56">
        <v>12352207</v>
      </c>
      <c r="E122" s="55">
        <v>6</v>
      </c>
      <c r="F122" s="64" t="s">
        <v>194</v>
      </c>
      <c r="G122" s="55" t="s">
        <v>193</v>
      </c>
      <c r="H122" s="55"/>
      <c r="I122" s="55"/>
      <c r="J122" s="65">
        <v>15</v>
      </c>
      <c r="K122" s="66">
        <v>28000</v>
      </c>
      <c r="L122" s="67">
        <v>0</v>
      </c>
      <c r="M122" s="201">
        <f t="shared" si="28"/>
        <v>420000</v>
      </c>
      <c r="N122" s="209">
        <v>32000</v>
      </c>
      <c r="O122" s="210">
        <v>0</v>
      </c>
      <c r="P122" s="247">
        <f t="shared" si="29"/>
        <v>480000</v>
      </c>
      <c r="Q122" s="66">
        <v>0</v>
      </c>
      <c r="R122" s="67">
        <v>0</v>
      </c>
      <c r="S122" s="68">
        <f t="shared" si="30"/>
        <v>0</v>
      </c>
      <c r="T122" s="69">
        <f>SUM(K122+N122+Q122)/2</f>
        <v>30000</v>
      </c>
      <c r="U122" s="67">
        <v>0</v>
      </c>
      <c r="V122" s="71">
        <f t="shared" si="31"/>
        <v>450000</v>
      </c>
      <c r="X122" s="452"/>
      <c r="Y122" s="531">
        <f t="shared" si="32"/>
        <v>450000</v>
      </c>
      <c r="Z122" s="452"/>
      <c r="AA122" s="452"/>
      <c r="AB122" s="452"/>
      <c r="AC122" s="452"/>
      <c r="AD122" s="452"/>
      <c r="AE122" s="452"/>
      <c r="AF122" s="452"/>
      <c r="AG122" s="452"/>
      <c r="AH122" s="452"/>
      <c r="AI122" s="452"/>
      <c r="AJ122" s="452"/>
      <c r="AK122" s="452"/>
      <c r="AL122" s="452"/>
      <c r="AM122" s="452"/>
      <c r="AN122" s="452"/>
      <c r="AO122" s="452"/>
      <c r="AP122" s="452"/>
      <c r="AQ122" s="452"/>
      <c r="AR122" s="452"/>
      <c r="AS122" s="452"/>
      <c r="AT122" s="452"/>
      <c r="AU122" s="452"/>
      <c r="AV122" s="452"/>
      <c r="AW122" s="452"/>
      <c r="AX122" s="452"/>
    </row>
    <row r="123" spans="1:50" s="26" customFormat="1" ht="15" x14ac:dyDescent="0.25">
      <c r="A123" s="57">
        <v>5</v>
      </c>
      <c r="B123" s="59">
        <v>25743</v>
      </c>
      <c r="C123" s="59">
        <v>124111521</v>
      </c>
      <c r="D123" s="56">
        <v>24121807</v>
      </c>
      <c r="E123" s="55">
        <v>7</v>
      </c>
      <c r="F123" s="64" t="s">
        <v>195</v>
      </c>
      <c r="G123" s="72" t="s">
        <v>71</v>
      </c>
      <c r="H123" s="72"/>
      <c r="I123" s="72"/>
      <c r="J123" s="65">
        <v>450</v>
      </c>
      <c r="K123" s="66">
        <v>1400</v>
      </c>
      <c r="L123" s="67">
        <v>0</v>
      </c>
      <c r="M123" s="201">
        <f t="shared" si="28"/>
        <v>630000</v>
      </c>
      <c r="N123" s="209">
        <v>1750</v>
      </c>
      <c r="O123" s="210">
        <v>0</v>
      </c>
      <c r="P123" s="247">
        <f t="shared" si="29"/>
        <v>787500</v>
      </c>
      <c r="Q123" s="66">
        <v>1774.75</v>
      </c>
      <c r="R123" s="67">
        <v>0</v>
      </c>
      <c r="S123" s="68">
        <f t="shared" si="30"/>
        <v>798637.5</v>
      </c>
      <c r="T123" s="69">
        <f>SUM(K123+N123+Q123)/3</f>
        <v>1641.5833333333333</v>
      </c>
      <c r="U123" s="67">
        <v>0</v>
      </c>
      <c r="V123" s="71">
        <f t="shared" si="31"/>
        <v>738712.5</v>
      </c>
      <c r="X123" s="452"/>
      <c r="Y123" s="531">
        <f t="shared" si="32"/>
        <v>738712.5</v>
      </c>
      <c r="Z123" s="452"/>
      <c r="AA123" s="452"/>
      <c r="AB123" s="452"/>
      <c r="AC123" s="452"/>
      <c r="AD123" s="452"/>
      <c r="AE123" s="452"/>
      <c r="AF123" s="452"/>
      <c r="AG123" s="452"/>
      <c r="AH123" s="452"/>
      <c r="AI123" s="452"/>
      <c r="AJ123" s="452"/>
      <c r="AK123" s="452"/>
      <c r="AL123" s="452"/>
      <c r="AM123" s="452"/>
      <c r="AN123" s="452"/>
      <c r="AO123" s="452"/>
      <c r="AP123" s="452"/>
      <c r="AQ123" s="452"/>
      <c r="AR123" s="452"/>
      <c r="AS123" s="452"/>
      <c r="AT123" s="452"/>
      <c r="AU123" s="452"/>
      <c r="AV123" s="452"/>
      <c r="AW123" s="452"/>
      <c r="AX123" s="452"/>
    </row>
    <row r="124" spans="1:50" s="26" customFormat="1" ht="15" x14ac:dyDescent="0.25">
      <c r="A124" s="57">
        <v>5</v>
      </c>
      <c r="B124" s="59">
        <v>15019</v>
      </c>
      <c r="C124" s="59">
        <v>1501929</v>
      </c>
      <c r="D124" s="56">
        <v>150192904</v>
      </c>
      <c r="E124" s="55">
        <v>8</v>
      </c>
      <c r="F124" s="64" t="s">
        <v>196</v>
      </c>
      <c r="G124" s="72" t="s">
        <v>197</v>
      </c>
      <c r="H124" s="72"/>
      <c r="I124" s="72"/>
      <c r="J124" s="65">
        <v>70</v>
      </c>
      <c r="K124" s="66">
        <v>19600</v>
      </c>
      <c r="L124" s="67">
        <v>0</v>
      </c>
      <c r="M124" s="201">
        <f t="shared" si="28"/>
        <v>1372000</v>
      </c>
      <c r="N124" s="209">
        <v>20000</v>
      </c>
      <c r="O124" s="210">
        <v>0</v>
      </c>
      <c r="P124" s="247">
        <f t="shared" si="29"/>
        <v>1400000</v>
      </c>
      <c r="Q124" s="66">
        <v>18367.5</v>
      </c>
      <c r="R124" s="67">
        <v>0</v>
      </c>
      <c r="S124" s="68">
        <f t="shared" si="30"/>
        <v>1285725</v>
      </c>
      <c r="T124" s="69">
        <f>SUM(K124+N124+Q124)/3</f>
        <v>19322.5</v>
      </c>
      <c r="U124" s="67">
        <v>0</v>
      </c>
      <c r="V124" s="71">
        <f t="shared" si="31"/>
        <v>1352575</v>
      </c>
      <c r="X124" s="452"/>
      <c r="Y124" s="531">
        <f t="shared" si="32"/>
        <v>1352575</v>
      </c>
      <c r="Z124" s="452"/>
      <c r="AA124" s="452"/>
      <c r="AB124" s="452"/>
      <c r="AC124" s="452"/>
      <c r="AD124" s="452"/>
      <c r="AE124" s="452"/>
      <c r="AF124" s="452"/>
      <c r="AG124" s="452"/>
      <c r="AH124" s="452"/>
      <c r="AI124" s="452"/>
      <c r="AJ124" s="452"/>
      <c r="AK124" s="452"/>
      <c r="AL124" s="452"/>
      <c r="AM124" s="452"/>
      <c r="AN124" s="452"/>
      <c r="AO124" s="452"/>
      <c r="AP124" s="452"/>
      <c r="AQ124" s="452"/>
      <c r="AR124" s="452"/>
      <c r="AS124" s="452"/>
      <c r="AT124" s="452"/>
      <c r="AU124" s="452"/>
      <c r="AV124" s="452"/>
      <c r="AW124" s="452"/>
      <c r="AX124" s="452"/>
    </row>
    <row r="125" spans="1:50" s="26" customFormat="1" ht="15" x14ac:dyDescent="0.25">
      <c r="A125" s="57">
        <v>5</v>
      </c>
      <c r="B125" s="59">
        <v>15019</v>
      </c>
      <c r="C125" s="59">
        <v>1501929</v>
      </c>
      <c r="D125" s="56">
        <v>150192904</v>
      </c>
      <c r="E125" s="55">
        <v>9</v>
      </c>
      <c r="F125" s="64" t="s">
        <v>198</v>
      </c>
      <c r="G125" s="72" t="s">
        <v>197</v>
      </c>
      <c r="H125" s="72"/>
      <c r="I125" s="72"/>
      <c r="J125" s="65">
        <v>600</v>
      </c>
      <c r="K125" s="66">
        <v>2380</v>
      </c>
      <c r="L125" s="67">
        <v>0</v>
      </c>
      <c r="M125" s="201">
        <f t="shared" si="28"/>
        <v>1428000</v>
      </c>
      <c r="N125" s="209">
        <v>2520</v>
      </c>
      <c r="O125" s="210">
        <v>0</v>
      </c>
      <c r="P125" s="247">
        <f t="shared" si="29"/>
        <v>1512000</v>
      </c>
      <c r="Q125" s="66">
        <v>2405.6</v>
      </c>
      <c r="R125" s="67">
        <v>0</v>
      </c>
      <c r="S125" s="68">
        <f t="shared" si="30"/>
        <v>1443360</v>
      </c>
      <c r="T125" s="69">
        <f t="shared" si="33"/>
        <v>2435.2000000000003</v>
      </c>
      <c r="U125" s="67">
        <v>0</v>
      </c>
      <c r="V125" s="71">
        <f t="shared" si="31"/>
        <v>1461120.0000000002</v>
      </c>
      <c r="X125" s="452"/>
      <c r="Y125" s="531">
        <f t="shared" si="32"/>
        <v>1461120.0000000002</v>
      </c>
      <c r="Z125" s="452"/>
      <c r="AA125" s="452"/>
      <c r="AB125" s="452"/>
      <c r="AC125" s="452"/>
      <c r="AD125" s="452"/>
      <c r="AE125" s="452"/>
      <c r="AF125" s="452"/>
      <c r="AG125" s="452"/>
      <c r="AH125" s="452"/>
      <c r="AI125" s="452"/>
      <c r="AJ125" s="452"/>
      <c r="AK125" s="452"/>
      <c r="AL125" s="452"/>
      <c r="AM125" s="452"/>
      <c r="AN125" s="452"/>
      <c r="AO125" s="452"/>
      <c r="AP125" s="452"/>
      <c r="AQ125" s="452"/>
      <c r="AR125" s="452"/>
      <c r="AS125" s="452"/>
      <c r="AT125" s="452"/>
      <c r="AU125" s="452"/>
      <c r="AV125" s="452"/>
      <c r="AW125" s="452"/>
      <c r="AX125" s="452"/>
    </row>
    <row r="126" spans="1:50" s="26" customFormat="1" ht="30" x14ac:dyDescent="0.25">
      <c r="A126" s="57">
        <v>5</v>
      </c>
      <c r="B126" s="59">
        <v>11017</v>
      </c>
      <c r="C126" s="59">
        <v>1101716</v>
      </c>
      <c r="D126" s="56">
        <v>110171607</v>
      </c>
      <c r="E126" s="55">
        <v>10</v>
      </c>
      <c r="F126" s="64" t="s">
        <v>199</v>
      </c>
      <c r="G126" s="72" t="s">
        <v>197</v>
      </c>
      <c r="H126" s="72"/>
      <c r="I126" s="72"/>
      <c r="J126" s="65">
        <v>15</v>
      </c>
      <c r="K126" s="66">
        <v>19600</v>
      </c>
      <c r="L126" s="67">
        <v>0</v>
      </c>
      <c r="M126" s="201">
        <f t="shared" si="28"/>
        <v>294000</v>
      </c>
      <c r="N126" s="209">
        <v>20100</v>
      </c>
      <c r="O126" s="210">
        <v>0</v>
      </c>
      <c r="P126" s="247">
        <f t="shared" si="29"/>
        <v>301500</v>
      </c>
      <c r="Q126" s="66">
        <v>17437.5</v>
      </c>
      <c r="R126" s="67">
        <v>0</v>
      </c>
      <c r="S126" s="68">
        <f t="shared" si="30"/>
        <v>261562.5</v>
      </c>
      <c r="T126" s="69">
        <f>SUM(K126+N126+Q126)/3</f>
        <v>19045.833333333332</v>
      </c>
      <c r="U126" s="67">
        <v>0</v>
      </c>
      <c r="V126" s="71">
        <f t="shared" si="31"/>
        <v>285687.5</v>
      </c>
      <c r="X126" s="452"/>
      <c r="Y126" s="531">
        <f t="shared" si="32"/>
        <v>285687.5</v>
      </c>
      <c r="Z126" s="452"/>
      <c r="AA126" s="452"/>
      <c r="AB126" s="452"/>
      <c r="AC126" s="452"/>
      <c r="AD126" s="452"/>
      <c r="AE126" s="452"/>
      <c r="AF126" s="452"/>
      <c r="AG126" s="452"/>
      <c r="AH126" s="452"/>
      <c r="AI126" s="452"/>
      <c r="AJ126" s="452"/>
      <c r="AK126" s="452"/>
      <c r="AL126" s="452"/>
      <c r="AM126" s="452"/>
      <c r="AN126" s="452"/>
      <c r="AO126" s="452"/>
      <c r="AP126" s="452"/>
      <c r="AQ126" s="452"/>
      <c r="AR126" s="452"/>
      <c r="AS126" s="452"/>
      <c r="AT126" s="452"/>
      <c r="AU126" s="452"/>
      <c r="AV126" s="452"/>
      <c r="AW126" s="452"/>
      <c r="AX126" s="452"/>
    </row>
    <row r="127" spans="1:50" s="26" customFormat="1" ht="30" x14ac:dyDescent="0.25">
      <c r="A127" s="57">
        <v>5</v>
      </c>
      <c r="B127" s="59">
        <v>50170</v>
      </c>
      <c r="C127" s="59">
        <v>5017180</v>
      </c>
      <c r="D127" s="56">
        <v>50171830</v>
      </c>
      <c r="E127" s="55">
        <v>11</v>
      </c>
      <c r="F127" s="64" t="s">
        <v>200</v>
      </c>
      <c r="G127" s="72" t="s">
        <v>197</v>
      </c>
      <c r="H127" s="72"/>
      <c r="I127" s="72"/>
      <c r="J127" s="65">
        <v>370</v>
      </c>
      <c r="K127" s="66">
        <v>1400</v>
      </c>
      <c r="L127" s="67">
        <v>0</v>
      </c>
      <c r="M127" s="201">
        <f t="shared" si="28"/>
        <v>518000</v>
      </c>
      <c r="N127" s="209">
        <v>1250</v>
      </c>
      <c r="O127" s="210">
        <v>0</v>
      </c>
      <c r="P127" s="247">
        <f t="shared" si="29"/>
        <v>462500</v>
      </c>
      <c r="Q127" s="66">
        <v>744</v>
      </c>
      <c r="R127" s="67">
        <v>0</v>
      </c>
      <c r="S127" s="68">
        <f t="shared" si="30"/>
        <v>275280</v>
      </c>
      <c r="T127" s="69">
        <f t="shared" si="33"/>
        <v>1131.3333333333333</v>
      </c>
      <c r="U127" s="67">
        <v>0</v>
      </c>
      <c r="V127" s="71">
        <f t="shared" si="31"/>
        <v>418593.33333333331</v>
      </c>
      <c r="X127" s="452"/>
      <c r="Y127" s="531">
        <f t="shared" si="32"/>
        <v>418593.33333333331</v>
      </c>
      <c r="Z127" s="452"/>
      <c r="AA127" s="452"/>
      <c r="AB127" s="452"/>
      <c r="AC127" s="452"/>
      <c r="AD127" s="452"/>
      <c r="AE127" s="452"/>
      <c r="AF127" s="452"/>
      <c r="AG127" s="452"/>
      <c r="AH127" s="452"/>
      <c r="AI127" s="452"/>
      <c r="AJ127" s="452"/>
      <c r="AK127" s="452"/>
      <c r="AL127" s="452"/>
      <c r="AM127" s="452"/>
      <c r="AN127" s="452"/>
      <c r="AO127" s="452"/>
      <c r="AP127" s="452"/>
      <c r="AQ127" s="452"/>
      <c r="AR127" s="452"/>
      <c r="AS127" s="452"/>
      <c r="AT127" s="452"/>
      <c r="AU127" s="452"/>
      <c r="AV127" s="452"/>
      <c r="AW127" s="452"/>
      <c r="AX127" s="452"/>
    </row>
    <row r="128" spans="1:50" s="26" customFormat="1" ht="15" x14ac:dyDescent="0.25">
      <c r="A128" s="57">
        <v>5</v>
      </c>
      <c r="B128" s="59">
        <v>14713</v>
      </c>
      <c r="C128" s="59">
        <v>1471311</v>
      </c>
      <c r="D128" s="56">
        <v>147131154</v>
      </c>
      <c r="E128" s="55">
        <v>12</v>
      </c>
      <c r="F128" s="64" t="s">
        <v>201</v>
      </c>
      <c r="G128" s="72" t="s">
        <v>202</v>
      </c>
      <c r="H128" s="72"/>
      <c r="I128" s="72"/>
      <c r="J128" s="65">
        <v>55</v>
      </c>
      <c r="K128" s="66">
        <v>12880</v>
      </c>
      <c r="L128" s="67">
        <v>0</v>
      </c>
      <c r="M128" s="201">
        <f t="shared" si="28"/>
        <v>708400</v>
      </c>
      <c r="N128" s="209">
        <v>14900</v>
      </c>
      <c r="O128" s="210">
        <v>0</v>
      </c>
      <c r="P128" s="247">
        <f t="shared" si="29"/>
        <v>819500</v>
      </c>
      <c r="Q128" s="66">
        <v>14725</v>
      </c>
      <c r="R128" s="67">
        <v>0</v>
      </c>
      <c r="S128" s="68">
        <f t="shared" si="30"/>
        <v>809875</v>
      </c>
      <c r="T128" s="69">
        <f t="shared" si="33"/>
        <v>14168.333333333334</v>
      </c>
      <c r="U128" s="67">
        <v>0</v>
      </c>
      <c r="V128" s="71">
        <f t="shared" si="31"/>
        <v>779258.33333333337</v>
      </c>
      <c r="X128" s="452"/>
      <c r="Y128" s="531">
        <f t="shared" si="32"/>
        <v>779258.33333333337</v>
      </c>
      <c r="Z128" s="452"/>
      <c r="AA128" s="452"/>
      <c r="AB128" s="452"/>
      <c r="AC128" s="452"/>
      <c r="AD128" s="452"/>
      <c r="AE128" s="452"/>
      <c r="AF128" s="452"/>
      <c r="AG128" s="452"/>
      <c r="AH128" s="452"/>
      <c r="AI128" s="452"/>
      <c r="AJ128" s="452"/>
      <c r="AK128" s="452"/>
      <c r="AL128" s="452"/>
      <c r="AM128" s="452"/>
      <c r="AN128" s="452"/>
      <c r="AO128" s="452"/>
      <c r="AP128" s="452"/>
      <c r="AQ128" s="452"/>
      <c r="AR128" s="452"/>
      <c r="AS128" s="452"/>
      <c r="AT128" s="452"/>
      <c r="AU128" s="452"/>
      <c r="AV128" s="452"/>
      <c r="AW128" s="452"/>
      <c r="AX128" s="452"/>
    </row>
    <row r="129" spans="1:50" s="26" customFormat="1" ht="45" x14ac:dyDescent="0.25">
      <c r="A129" s="57">
        <v>5</v>
      </c>
      <c r="B129" s="59">
        <v>15017</v>
      </c>
      <c r="C129" s="59">
        <v>1501715</v>
      </c>
      <c r="D129" s="56">
        <v>150171559</v>
      </c>
      <c r="E129" s="55">
        <v>13</v>
      </c>
      <c r="F129" s="64" t="s">
        <v>203</v>
      </c>
      <c r="G129" s="57" t="s">
        <v>197</v>
      </c>
      <c r="H129" s="57"/>
      <c r="I129" s="57"/>
      <c r="J129" s="65">
        <v>15</v>
      </c>
      <c r="K129" s="66">
        <v>9800</v>
      </c>
      <c r="L129" s="67">
        <v>0</v>
      </c>
      <c r="M129" s="201">
        <f t="shared" si="28"/>
        <v>147000</v>
      </c>
      <c r="N129" s="209">
        <v>12000</v>
      </c>
      <c r="O129" s="210">
        <v>0</v>
      </c>
      <c r="P129" s="247">
        <f t="shared" si="29"/>
        <v>180000</v>
      </c>
      <c r="Q129" s="66">
        <v>11625</v>
      </c>
      <c r="R129" s="67">
        <v>0</v>
      </c>
      <c r="S129" s="68">
        <f t="shared" si="30"/>
        <v>174375</v>
      </c>
      <c r="T129" s="69">
        <f t="shared" si="33"/>
        <v>11141.666666666666</v>
      </c>
      <c r="U129" s="67">
        <v>0</v>
      </c>
      <c r="V129" s="71">
        <f t="shared" si="31"/>
        <v>167125</v>
      </c>
      <c r="X129" s="452"/>
      <c r="Y129" s="531">
        <f t="shared" si="32"/>
        <v>167125</v>
      </c>
      <c r="Z129" s="452"/>
      <c r="AA129" s="452"/>
      <c r="AB129" s="452"/>
      <c r="AC129" s="452"/>
      <c r="AD129" s="452"/>
      <c r="AE129" s="452"/>
      <c r="AF129" s="452"/>
      <c r="AG129" s="452"/>
      <c r="AH129" s="452"/>
      <c r="AI129" s="452"/>
      <c r="AJ129" s="452"/>
      <c r="AK129" s="452"/>
      <c r="AL129" s="452"/>
      <c r="AM129" s="452"/>
      <c r="AN129" s="452"/>
      <c r="AO129" s="452"/>
      <c r="AP129" s="452"/>
      <c r="AQ129" s="452"/>
      <c r="AR129" s="452"/>
      <c r="AS129" s="452"/>
      <c r="AT129" s="452"/>
      <c r="AU129" s="452"/>
      <c r="AV129" s="452"/>
      <c r="AW129" s="452"/>
      <c r="AX129" s="452"/>
    </row>
    <row r="130" spans="1:50" s="26" customFormat="1" ht="30" x14ac:dyDescent="0.25">
      <c r="A130" s="57">
        <v>5</v>
      </c>
      <c r="B130" s="73">
        <v>15017</v>
      </c>
      <c r="C130" s="59">
        <v>1501715</v>
      </c>
      <c r="D130" s="56">
        <v>150171559</v>
      </c>
      <c r="E130" s="55">
        <v>14</v>
      </c>
      <c r="F130" s="64" t="s">
        <v>204</v>
      </c>
      <c r="G130" s="57" t="s">
        <v>197</v>
      </c>
      <c r="H130" s="57"/>
      <c r="I130" s="57"/>
      <c r="J130" s="65">
        <v>15</v>
      </c>
      <c r="K130" s="66">
        <v>31780</v>
      </c>
      <c r="L130" s="67">
        <v>0</v>
      </c>
      <c r="M130" s="201">
        <f t="shared" si="28"/>
        <v>476700</v>
      </c>
      <c r="N130" s="209">
        <v>34100</v>
      </c>
      <c r="O130" s="210">
        <v>0</v>
      </c>
      <c r="P130" s="247">
        <f t="shared" si="29"/>
        <v>511500</v>
      </c>
      <c r="Q130" s="66">
        <v>33325</v>
      </c>
      <c r="R130" s="67">
        <v>0</v>
      </c>
      <c r="S130" s="68">
        <f t="shared" si="30"/>
        <v>499875</v>
      </c>
      <c r="T130" s="69">
        <f t="shared" si="33"/>
        <v>33068.333333333336</v>
      </c>
      <c r="U130" s="67">
        <v>0</v>
      </c>
      <c r="V130" s="71">
        <f t="shared" si="31"/>
        <v>496025.00000000006</v>
      </c>
      <c r="X130" s="452"/>
      <c r="Y130" s="531">
        <f t="shared" si="32"/>
        <v>496025.00000000006</v>
      </c>
      <c r="Z130" s="452"/>
      <c r="AA130" s="452"/>
      <c r="AB130" s="452"/>
      <c r="AC130" s="452"/>
      <c r="AD130" s="452"/>
      <c r="AE130" s="452"/>
      <c r="AF130" s="452"/>
      <c r="AG130" s="452"/>
      <c r="AH130" s="452"/>
      <c r="AI130" s="452"/>
      <c r="AJ130" s="452"/>
      <c r="AK130" s="452"/>
      <c r="AL130" s="452"/>
      <c r="AM130" s="452"/>
      <c r="AN130" s="452"/>
      <c r="AO130" s="452"/>
      <c r="AP130" s="452"/>
      <c r="AQ130" s="452"/>
      <c r="AR130" s="452"/>
      <c r="AS130" s="452"/>
      <c r="AT130" s="452"/>
      <c r="AU130" s="452"/>
      <c r="AV130" s="452"/>
      <c r="AW130" s="452"/>
      <c r="AX130" s="452"/>
    </row>
    <row r="131" spans="1:50" s="26" customFormat="1" ht="30" x14ac:dyDescent="0.25">
      <c r="A131" s="57">
        <v>5</v>
      </c>
      <c r="B131" s="73">
        <v>12171</v>
      </c>
      <c r="C131" s="73">
        <v>1217150</v>
      </c>
      <c r="D131" s="56">
        <v>12171504</v>
      </c>
      <c r="E131" s="55">
        <v>15</v>
      </c>
      <c r="F131" s="64" t="s">
        <v>205</v>
      </c>
      <c r="G131" s="57" t="s">
        <v>206</v>
      </c>
      <c r="H131" s="57"/>
      <c r="I131" s="57"/>
      <c r="J131" s="65">
        <v>10</v>
      </c>
      <c r="K131" s="66">
        <v>63000</v>
      </c>
      <c r="L131" s="67">
        <v>0</v>
      </c>
      <c r="M131" s="201">
        <f t="shared" si="28"/>
        <v>630000</v>
      </c>
      <c r="N131" s="209">
        <v>67000</v>
      </c>
      <c r="O131" s="210">
        <v>0</v>
      </c>
      <c r="P131" s="247">
        <f t="shared" si="29"/>
        <v>670000</v>
      </c>
      <c r="Q131" s="66">
        <v>3875</v>
      </c>
      <c r="R131" s="67">
        <v>0</v>
      </c>
      <c r="S131" s="68">
        <f t="shared" si="30"/>
        <v>38750</v>
      </c>
      <c r="T131" s="69">
        <f t="shared" si="33"/>
        <v>44625</v>
      </c>
      <c r="U131" s="67">
        <v>0</v>
      </c>
      <c r="V131" s="71">
        <f t="shared" si="31"/>
        <v>446250</v>
      </c>
      <c r="X131" s="452"/>
      <c r="Y131" s="531">
        <f t="shared" si="32"/>
        <v>446250</v>
      </c>
      <c r="Z131" s="452"/>
      <c r="AA131" s="452"/>
      <c r="AB131" s="452"/>
      <c r="AC131" s="452"/>
      <c r="AD131" s="452"/>
      <c r="AE131" s="452"/>
      <c r="AF131" s="452"/>
      <c r="AG131" s="452"/>
      <c r="AH131" s="452"/>
      <c r="AI131" s="452"/>
      <c r="AJ131" s="452"/>
      <c r="AK131" s="452"/>
      <c r="AL131" s="452"/>
      <c r="AM131" s="452"/>
      <c r="AN131" s="452"/>
      <c r="AO131" s="452"/>
      <c r="AP131" s="452"/>
      <c r="AQ131" s="452"/>
      <c r="AR131" s="452"/>
      <c r="AS131" s="452"/>
      <c r="AT131" s="452"/>
      <c r="AU131" s="452"/>
      <c r="AV131" s="452"/>
      <c r="AW131" s="452"/>
      <c r="AX131" s="452"/>
    </row>
    <row r="132" spans="1:50" s="26" customFormat="1" ht="30" x14ac:dyDescent="0.25">
      <c r="A132" s="57">
        <v>5</v>
      </c>
      <c r="B132" s="73">
        <v>12171</v>
      </c>
      <c r="C132" s="73">
        <v>1217150</v>
      </c>
      <c r="D132" s="56">
        <v>12171504</v>
      </c>
      <c r="E132" s="55">
        <v>16</v>
      </c>
      <c r="F132" s="64" t="s">
        <v>207</v>
      </c>
      <c r="G132" s="57" t="s">
        <v>206</v>
      </c>
      <c r="H132" s="57"/>
      <c r="I132" s="57"/>
      <c r="J132" s="65">
        <v>10</v>
      </c>
      <c r="K132" s="66">
        <v>63000</v>
      </c>
      <c r="L132" s="67">
        <v>0</v>
      </c>
      <c r="M132" s="201">
        <f t="shared" si="28"/>
        <v>630000</v>
      </c>
      <c r="N132" s="209">
        <v>67000</v>
      </c>
      <c r="O132" s="210">
        <v>0</v>
      </c>
      <c r="P132" s="247">
        <f t="shared" si="29"/>
        <v>670000</v>
      </c>
      <c r="Q132" s="66">
        <v>3875</v>
      </c>
      <c r="R132" s="67">
        <v>0</v>
      </c>
      <c r="S132" s="68">
        <f t="shared" si="30"/>
        <v>38750</v>
      </c>
      <c r="T132" s="69">
        <f t="shared" si="33"/>
        <v>44625</v>
      </c>
      <c r="U132" s="67">
        <v>0</v>
      </c>
      <c r="V132" s="71">
        <f t="shared" si="31"/>
        <v>446250</v>
      </c>
      <c r="X132" s="452"/>
      <c r="Y132" s="531">
        <f t="shared" si="32"/>
        <v>446250</v>
      </c>
      <c r="Z132" s="452"/>
      <c r="AA132" s="452"/>
      <c r="AB132" s="452"/>
      <c r="AC132" s="452"/>
      <c r="AD132" s="452"/>
      <c r="AE132" s="452"/>
      <c r="AF132" s="452"/>
      <c r="AG132" s="452"/>
      <c r="AH132" s="452"/>
      <c r="AI132" s="452"/>
      <c r="AJ132" s="452"/>
      <c r="AK132" s="452"/>
      <c r="AL132" s="452"/>
      <c r="AM132" s="452"/>
      <c r="AN132" s="452"/>
      <c r="AO132" s="452"/>
      <c r="AP132" s="452"/>
      <c r="AQ132" s="452"/>
      <c r="AR132" s="452"/>
      <c r="AS132" s="452"/>
      <c r="AT132" s="452"/>
      <c r="AU132" s="452"/>
      <c r="AV132" s="452"/>
      <c r="AW132" s="452"/>
      <c r="AX132" s="452"/>
    </row>
    <row r="133" spans="1:50" s="26" customFormat="1" ht="45" x14ac:dyDescent="0.25">
      <c r="A133" s="57">
        <v>5</v>
      </c>
      <c r="B133" s="73">
        <v>12171</v>
      </c>
      <c r="C133" s="73">
        <v>1217150</v>
      </c>
      <c r="D133" s="56">
        <v>12171504</v>
      </c>
      <c r="E133" s="55">
        <v>17</v>
      </c>
      <c r="F133" s="64" t="s">
        <v>208</v>
      </c>
      <c r="G133" s="57" t="s">
        <v>209</v>
      </c>
      <c r="H133" s="57"/>
      <c r="I133" s="57"/>
      <c r="J133" s="65">
        <v>10</v>
      </c>
      <c r="K133" s="66">
        <v>42000</v>
      </c>
      <c r="L133" s="67">
        <v>0</v>
      </c>
      <c r="M133" s="201">
        <f t="shared" si="28"/>
        <v>420000</v>
      </c>
      <c r="N133" s="209">
        <v>52000</v>
      </c>
      <c r="O133" s="210">
        <v>0</v>
      </c>
      <c r="P133" s="247">
        <f t="shared" si="29"/>
        <v>520000</v>
      </c>
      <c r="Q133" s="66">
        <v>3875</v>
      </c>
      <c r="R133" s="67">
        <v>0</v>
      </c>
      <c r="S133" s="68">
        <f t="shared" si="30"/>
        <v>38750</v>
      </c>
      <c r="T133" s="69">
        <f t="shared" si="33"/>
        <v>32625</v>
      </c>
      <c r="U133" s="67">
        <v>0</v>
      </c>
      <c r="V133" s="71">
        <f t="shared" si="31"/>
        <v>326250</v>
      </c>
      <c r="X133" s="452"/>
      <c r="Y133" s="531">
        <f t="shared" si="32"/>
        <v>326250</v>
      </c>
      <c r="Z133" s="452"/>
      <c r="AA133" s="452"/>
      <c r="AB133" s="452"/>
      <c r="AC133" s="452"/>
      <c r="AD133" s="452"/>
      <c r="AE133" s="452"/>
      <c r="AF133" s="452"/>
      <c r="AG133" s="452"/>
      <c r="AH133" s="452"/>
      <c r="AI133" s="452"/>
      <c r="AJ133" s="452"/>
      <c r="AK133" s="452"/>
      <c r="AL133" s="452"/>
      <c r="AM133" s="452"/>
      <c r="AN133" s="452"/>
      <c r="AO133" s="452"/>
      <c r="AP133" s="452"/>
      <c r="AQ133" s="452"/>
      <c r="AR133" s="452"/>
      <c r="AS133" s="452"/>
      <c r="AT133" s="452"/>
      <c r="AU133" s="452"/>
      <c r="AV133" s="452"/>
      <c r="AW133" s="452"/>
      <c r="AX133" s="452"/>
    </row>
    <row r="134" spans="1:50" s="26" customFormat="1" ht="30" x14ac:dyDescent="0.25">
      <c r="A134" s="55">
        <v>5</v>
      </c>
      <c r="B134" s="55">
        <v>12171</v>
      </c>
      <c r="C134" s="55">
        <v>1217150</v>
      </c>
      <c r="D134" s="55">
        <v>12171504</v>
      </c>
      <c r="E134" s="55">
        <v>18</v>
      </c>
      <c r="F134" s="74" t="s">
        <v>210</v>
      </c>
      <c r="G134" s="56" t="s">
        <v>209</v>
      </c>
      <c r="H134" s="56"/>
      <c r="I134" s="56"/>
      <c r="J134" s="55">
        <v>10</v>
      </c>
      <c r="K134" s="75">
        <v>53480</v>
      </c>
      <c r="L134" s="67">
        <v>0</v>
      </c>
      <c r="M134" s="201">
        <f t="shared" si="28"/>
        <v>534800</v>
      </c>
      <c r="N134" s="211">
        <v>56000</v>
      </c>
      <c r="O134" s="210">
        <v>0</v>
      </c>
      <c r="P134" s="247">
        <f t="shared" si="29"/>
        <v>560000</v>
      </c>
      <c r="Q134" s="75">
        <v>3875</v>
      </c>
      <c r="R134" s="67">
        <v>0</v>
      </c>
      <c r="S134" s="68">
        <f t="shared" si="30"/>
        <v>38750</v>
      </c>
      <c r="T134" s="69">
        <f t="shared" si="33"/>
        <v>37785</v>
      </c>
      <c r="U134" s="67">
        <v>0</v>
      </c>
      <c r="V134" s="71">
        <f t="shared" si="31"/>
        <v>377850</v>
      </c>
      <c r="X134" s="452"/>
      <c r="Y134" s="531">
        <f t="shared" si="32"/>
        <v>377850</v>
      </c>
      <c r="Z134" s="452"/>
      <c r="AA134" s="452"/>
      <c r="AB134" s="452"/>
      <c r="AC134" s="452"/>
      <c r="AD134" s="452"/>
      <c r="AE134" s="452"/>
      <c r="AF134" s="452"/>
      <c r="AG134" s="452"/>
      <c r="AH134" s="452"/>
      <c r="AI134" s="452"/>
      <c r="AJ134" s="452"/>
      <c r="AK134" s="452"/>
      <c r="AL134" s="452"/>
      <c r="AM134" s="452"/>
      <c r="AN134" s="452"/>
      <c r="AO134" s="452"/>
      <c r="AP134" s="452"/>
      <c r="AQ134" s="452"/>
      <c r="AR134" s="452"/>
      <c r="AS134" s="452"/>
      <c r="AT134" s="452"/>
      <c r="AU134" s="452"/>
      <c r="AV134" s="452"/>
      <c r="AW134" s="452"/>
      <c r="AX134" s="452"/>
    </row>
    <row r="135" spans="1:50" s="26" customFormat="1" ht="30" x14ac:dyDescent="0.25">
      <c r="A135" s="57">
        <v>5</v>
      </c>
      <c r="B135" s="57">
        <v>11015</v>
      </c>
      <c r="C135" s="57">
        <v>1101515</v>
      </c>
      <c r="D135" s="56">
        <v>110151509</v>
      </c>
      <c r="E135" s="55">
        <v>19</v>
      </c>
      <c r="F135" s="76" t="s">
        <v>211</v>
      </c>
      <c r="G135" s="57" t="s">
        <v>212</v>
      </c>
      <c r="H135" s="57"/>
      <c r="I135" s="57"/>
      <c r="J135" s="77">
        <v>10</v>
      </c>
      <c r="K135" s="75">
        <v>32200</v>
      </c>
      <c r="L135" s="67">
        <v>0</v>
      </c>
      <c r="M135" s="201">
        <f t="shared" si="28"/>
        <v>322000</v>
      </c>
      <c r="N135" s="211">
        <v>30700</v>
      </c>
      <c r="O135" s="210">
        <v>0</v>
      </c>
      <c r="P135" s="247">
        <f t="shared" si="29"/>
        <v>307000</v>
      </c>
      <c r="Q135" s="75">
        <v>29527.5</v>
      </c>
      <c r="R135" s="67">
        <v>0</v>
      </c>
      <c r="S135" s="68">
        <f t="shared" si="30"/>
        <v>295275</v>
      </c>
      <c r="T135" s="69">
        <f t="shared" si="33"/>
        <v>30809.166666666668</v>
      </c>
      <c r="U135" s="67">
        <v>0</v>
      </c>
      <c r="V135" s="71">
        <f t="shared" si="31"/>
        <v>308091.66666666669</v>
      </c>
      <c r="X135" s="452"/>
      <c r="Y135" s="531">
        <f t="shared" si="32"/>
        <v>308091.66666666669</v>
      </c>
      <c r="Z135" s="452"/>
      <c r="AA135" s="452"/>
      <c r="AB135" s="452"/>
      <c r="AC135" s="452"/>
      <c r="AD135" s="452"/>
      <c r="AE135" s="452"/>
      <c r="AF135" s="452"/>
      <c r="AG135" s="452"/>
      <c r="AH135" s="452"/>
      <c r="AI135" s="452"/>
      <c r="AJ135" s="452"/>
      <c r="AK135" s="452"/>
      <c r="AL135" s="452"/>
      <c r="AM135" s="452"/>
      <c r="AN135" s="452"/>
      <c r="AO135" s="452"/>
      <c r="AP135" s="452"/>
      <c r="AQ135" s="452"/>
      <c r="AR135" s="452"/>
      <c r="AS135" s="452"/>
      <c r="AT135" s="452"/>
      <c r="AU135" s="452"/>
      <c r="AV135" s="452"/>
      <c r="AW135" s="452"/>
      <c r="AX135" s="452"/>
    </row>
    <row r="136" spans="1:50" s="26" customFormat="1" ht="30" x14ac:dyDescent="0.25">
      <c r="A136" s="57">
        <v>5</v>
      </c>
      <c r="B136" s="57">
        <v>15017</v>
      </c>
      <c r="C136" s="57">
        <v>1501715</v>
      </c>
      <c r="D136" s="56">
        <v>150171559</v>
      </c>
      <c r="E136" s="55">
        <v>20</v>
      </c>
      <c r="F136" s="76" t="s">
        <v>213</v>
      </c>
      <c r="G136" s="57" t="s">
        <v>209</v>
      </c>
      <c r="H136" s="57"/>
      <c r="I136" s="57"/>
      <c r="J136" s="77">
        <v>10</v>
      </c>
      <c r="K136" s="75">
        <v>30800</v>
      </c>
      <c r="L136" s="67">
        <v>0</v>
      </c>
      <c r="M136" s="201">
        <f t="shared" si="28"/>
        <v>308000</v>
      </c>
      <c r="N136" s="211">
        <v>39800</v>
      </c>
      <c r="O136" s="210">
        <v>0</v>
      </c>
      <c r="P136" s="247">
        <f t="shared" si="29"/>
        <v>398000</v>
      </c>
      <c r="Q136" s="75">
        <v>39525</v>
      </c>
      <c r="R136" s="67">
        <v>0</v>
      </c>
      <c r="S136" s="68">
        <f t="shared" si="30"/>
        <v>395250</v>
      </c>
      <c r="T136" s="69">
        <f t="shared" si="33"/>
        <v>36708.333333333336</v>
      </c>
      <c r="U136" s="67">
        <v>0</v>
      </c>
      <c r="V136" s="71">
        <f t="shared" si="31"/>
        <v>367083.33333333337</v>
      </c>
      <c r="X136" s="452"/>
      <c r="Y136" s="531">
        <f t="shared" si="32"/>
        <v>367083.33333333337</v>
      </c>
      <c r="Z136" s="452"/>
      <c r="AA136" s="452"/>
      <c r="AB136" s="452"/>
      <c r="AC136" s="452"/>
      <c r="AD136" s="452"/>
      <c r="AE136" s="452"/>
      <c r="AF136" s="452"/>
      <c r="AG136" s="452"/>
      <c r="AH136" s="452"/>
      <c r="AI136" s="452"/>
      <c r="AJ136" s="452"/>
      <c r="AK136" s="452"/>
      <c r="AL136" s="452"/>
      <c r="AM136" s="452"/>
      <c r="AN136" s="452"/>
      <c r="AO136" s="452"/>
      <c r="AP136" s="452"/>
      <c r="AQ136" s="452"/>
      <c r="AR136" s="452"/>
      <c r="AS136" s="452"/>
      <c r="AT136" s="452"/>
      <c r="AU136" s="452"/>
      <c r="AV136" s="452"/>
      <c r="AW136" s="452"/>
      <c r="AX136" s="452"/>
    </row>
    <row r="137" spans="1:50" s="26" customFormat="1" ht="30" x14ac:dyDescent="0.25">
      <c r="A137" s="57">
        <v>5</v>
      </c>
      <c r="B137" s="57">
        <v>15017</v>
      </c>
      <c r="C137" s="57">
        <v>1501715</v>
      </c>
      <c r="D137" s="56">
        <v>150171559</v>
      </c>
      <c r="E137" s="55">
        <v>21</v>
      </c>
      <c r="F137" s="76" t="s">
        <v>214</v>
      </c>
      <c r="G137" s="57" t="s">
        <v>206</v>
      </c>
      <c r="H137" s="57"/>
      <c r="I137" s="57"/>
      <c r="J137" s="77">
        <v>10</v>
      </c>
      <c r="K137" s="75">
        <v>75600</v>
      </c>
      <c r="L137" s="67">
        <v>0</v>
      </c>
      <c r="M137" s="201">
        <f t="shared" si="28"/>
        <v>756000</v>
      </c>
      <c r="N137" s="211">
        <v>79800</v>
      </c>
      <c r="O137" s="210">
        <v>0</v>
      </c>
      <c r="P137" s="247">
        <f t="shared" si="29"/>
        <v>798000</v>
      </c>
      <c r="Q137" s="75">
        <v>39525</v>
      </c>
      <c r="R137" s="67">
        <v>0</v>
      </c>
      <c r="S137" s="68">
        <f t="shared" si="30"/>
        <v>395250</v>
      </c>
      <c r="T137" s="69">
        <f t="shared" si="33"/>
        <v>64975</v>
      </c>
      <c r="U137" s="67">
        <v>0</v>
      </c>
      <c r="V137" s="71">
        <f t="shared" si="31"/>
        <v>649750</v>
      </c>
      <c r="X137" s="452"/>
      <c r="Y137" s="531">
        <f t="shared" si="32"/>
        <v>649750</v>
      </c>
      <c r="Z137" s="452"/>
      <c r="AA137" s="452"/>
      <c r="AB137" s="452"/>
      <c r="AC137" s="452"/>
      <c r="AD137" s="452"/>
      <c r="AE137" s="452"/>
      <c r="AF137" s="452"/>
      <c r="AG137" s="452"/>
      <c r="AH137" s="452"/>
      <c r="AI137" s="452"/>
      <c r="AJ137" s="452"/>
      <c r="AK137" s="452"/>
      <c r="AL137" s="452"/>
      <c r="AM137" s="452"/>
      <c r="AN137" s="452"/>
      <c r="AO137" s="452"/>
      <c r="AP137" s="452"/>
      <c r="AQ137" s="452"/>
      <c r="AR137" s="452"/>
      <c r="AS137" s="452"/>
      <c r="AT137" s="452"/>
      <c r="AU137" s="452"/>
      <c r="AV137" s="452"/>
      <c r="AW137" s="452"/>
      <c r="AX137" s="452"/>
    </row>
    <row r="138" spans="1:50" s="26" customFormat="1" ht="30" x14ac:dyDescent="0.25">
      <c r="A138" s="57">
        <v>5</v>
      </c>
      <c r="B138" s="57">
        <v>15017</v>
      </c>
      <c r="C138" s="57">
        <v>1501715</v>
      </c>
      <c r="D138" s="56">
        <v>150171559</v>
      </c>
      <c r="E138" s="55">
        <v>22</v>
      </c>
      <c r="F138" s="76" t="s">
        <v>215</v>
      </c>
      <c r="G138" s="57" t="s">
        <v>206</v>
      </c>
      <c r="H138" s="57"/>
      <c r="I138" s="57"/>
      <c r="J138" s="77">
        <v>10</v>
      </c>
      <c r="K138" s="75">
        <v>30800</v>
      </c>
      <c r="L138" s="67">
        <v>0</v>
      </c>
      <c r="M138" s="201">
        <f t="shared" si="28"/>
        <v>308000</v>
      </c>
      <c r="N138" s="211">
        <v>40400</v>
      </c>
      <c r="O138" s="210">
        <v>0</v>
      </c>
      <c r="P138" s="247">
        <f t="shared" si="29"/>
        <v>404000</v>
      </c>
      <c r="Q138" s="75">
        <v>39525</v>
      </c>
      <c r="R138" s="67">
        <v>0</v>
      </c>
      <c r="S138" s="68">
        <f t="shared" si="30"/>
        <v>395250</v>
      </c>
      <c r="T138" s="69">
        <f t="shared" si="33"/>
        <v>36908.333333333336</v>
      </c>
      <c r="U138" s="67">
        <v>0</v>
      </c>
      <c r="V138" s="71">
        <f t="shared" si="31"/>
        <v>369083.33333333337</v>
      </c>
      <c r="X138" s="452"/>
      <c r="Y138" s="531">
        <f t="shared" si="32"/>
        <v>369083.33333333337</v>
      </c>
      <c r="Z138" s="452"/>
      <c r="AA138" s="452"/>
      <c r="AB138" s="452"/>
      <c r="AC138" s="452"/>
      <c r="AD138" s="452"/>
      <c r="AE138" s="452"/>
      <c r="AF138" s="452"/>
      <c r="AG138" s="452"/>
      <c r="AH138" s="452"/>
      <c r="AI138" s="452"/>
      <c r="AJ138" s="452"/>
      <c r="AK138" s="452"/>
      <c r="AL138" s="452"/>
      <c r="AM138" s="452"/>
      <c r="AN138" s="452"/>
      <c r="AO138" s="452"/>
      <c r="AP138" s="452"/>
      <c r="AQ138" s="452"/>
      <c r="AR138" s="452"/>
      <c r="AS138" s="452"/>
      <c r="AT138" s="452"/>
      <c r="AU138" s="452"/>
      <c r="AV138" s="452"/>
      <c r="AW138" s="452"/>
      <c r="AX138" s="452"/>
    </row>
    <row r="139" spans="1:50" s="26" customFormat="1" ht="30" x14ac:dyDescent="0.25">
      <c r="A139" s="57">
        <v>5</v>
      </c>
      <c r="B139" s="57">
        <v>60120</v>
      </c>
      <c r="C139" s="57">
        <v>6012110</v>
      </c>
      <c r="D139" s="56">
        <v>60121124</v>
      </c>
      <c r="E139" s="55">
        <v>23</v>
      </c>
      <c r="F139" s="76" t="s">
        <v>216</v>
      </c>
      <c r="G139" s="57" t="s">
        <v>71</v>
      </c>
      <c r="H139" s="57"/>
      <c r="I139" s="57"/>
      <c r="J139" s="77">
        <v>160</v>
      </c>
      <c r="K139" s="75">
        <v>1820</v>
      </c>
      <c r="L139" s="67">
        <v>0</v>
      </c>
      <c r="M139" s="201">
        <f t="shared" si="28"/>
        <v>291200</v>
      </c>
      <c r="N139" s="211">
        <v>2100</v>
      </c>
      <c r="O139" s="210">
        <v>0</v>
      </c>
      <c r="P139" s="247">
        <f t="shared" si="29"/>
        <v>336000</v>
      </c>
      <c r="Q139" s="75">
        <v>0</v>
      </c>
      <c r="R139" s="67">
        <v>0</v>
      </c>
      <c r="S139" s="68">
        <f t="shared" si="30"/>
        <v>0</v>
      </c>
      <c r="T139" s="69">
        <f>SUM(K139+N139+Q139)/2</f>
        <v>1960</v>
      </c>
      <c r="U139" s="67">
        <v>0</v>
      </c>
      <c r="V139" s="71">
        <f t="shared" si="31"/>
        <v>313600</v>
      </c>
      <c r="X139" s="452"/>
      <c r="Y139" s="531">
        <f t="shared" si="32"/>
        <v>313600</v>
      </c>
      <c r="Z139" s="452"/>
      <c r="AA139" s="452"/>
      <c r="AB139" s="452"/>
      <c r="AC139" s="452"/>
      <c r="AD139" s="452"/>
      <c r="AE139" s="452"/>
      <c r="AF139" s="452"/>
      <c r="AG139" s="452"/>
      <c r="AH139" s="452"/>
      <c r="AI139" s="452"/>
      <c r="AJ139" s="452"/>
      <c r="AK139" s="452"/>
      <c r="AL139" s="452"/>
      <c r="AM139" s="452"/>
      <c r="AN139" s="452"/>
      <c r="AO139" s="452"/>
      <c r="AP139" s="452"/>
      <c r="AQ139" s="452"/>
      <c r="AR139" s="452"/>
      <c r="AS139" s="452"/>
      <c r="AT139" s="452"/>
      <c r="AU139" s="452"/>
      <c r="AV139" s="452"/>
      <c r="AW139" s="452"/>
      <c r="AX139" s="452"/>
    </row>
    <row r="140" spans="1:50" s="26" customFormat="1" ht="30" x14ac:dyDescent="0.25">
      <c r="A140" s="57">
        <v>5</v>
      </c>
      <c r="B140" s="57">
        <v>24411</v>
      </c>
      <c r="C140" s="57">
        <v>12411152</v>
      </c>
      <c r="D140" s="56">
        <v>24120000</v>
      </c>
      <c r="E140" s="55">
        <v>24</v>
      </c>
      <c r="F140" s="76" t="s">
        <v>217</v>
      </c>
      <c r="G140" s="57" t="s">
        <v>71</v>
      </c>
      <c r="H140" s="57"/>
      <c r="I140" s="57"/>
      <c r="J140" s="77">
        <v>450</v>
      </c>
      <c r="K140" s="75">
        <v>2100</v>
      </c>
      <c r="L140" s="67">
        <v>0</v>
      </c>
      <c r="M140" s="201">
        <f t="shared" si="28"/>
        <v>945000</v>
      </c>
      <c r="N140" s="211">
        <v>2250</v>
      </c>
      <c r="O140" s="210">
        <v>0</v>
      </c>
      <c r="P140" s="247">
        <f t="shared" si="29"/>
        <v>1012500</v>
      </c>
      <c r="Q140" s="75">
        <v>1860</v>
      </c>
      <c r="R140" s="67">
        <v>0</v>
      </c>
      <c r="S140" s="68">
        <f t="shared" si="30"/>
        <v>837000</v>
      </c>
      <c r="T140" s="69">
        <f t="shared" si="33"/>
        <v>2070</v>
      </c>
      <c r="U140" s="67">
        <v>0</v>
      </c>
      <c r="V140" s="71">
        <f t="shared" si="31"/>
        <v>931500</v>
      </c>
      <c r="X140" s="452"/>
      <c r="Y140" s="531">
        <f t="shared" si="32"/>
        <v>931500</v>
      </c>
      <c r="Z140" s="452"/>
      <c r="AA140" s="452"/>
      <c r="AB140" s="452"/>
      <c r="AC140" s="452"/>
      <c r="AD140" s="452"/>
      <c r="AE140" s="452"/>
      <c r="AF140" s="452"/>
      <c r="AG140" s="452"/>
      <c r="AH140" s="452"/>
      <c r="AI140" s="452"/>
      <c r="AJ140" s="452"/>
      <c r="AK140" s="452"/>
      <c r="AL140" s="452"/>
      <c r="AM140" s="452"/>
      <c r="AN140" s="452"/>
      <c r="AO140" s="452"/>
      <c r="AP140" s="452"/>
      <c r="AQ140" s="452"/>
      <c r="AR140" s="452"/>
      <c r="AS140" s="452"/>
      <c r="AT140" s="452"/>
      <c r="AU140" s="452"/>
      <c r="AV140" s="452"/>
      <c r="AW140" s="452"/>
      <c r="AX140" s="452"/>
    </row>
    <row r="141" spans="1:50" s="26" customFormat="1" ht="30" x14ac:dyDescent="0.25">
      <c r="A141" s="57">
        <v>5</v>
      </c>
      <c r="B141" s="57">
        <v>24545</v>
      </c>
      <c r="C141" s="57">
        <v>12411152</v>
      </c>
      <c r="D141" s="56">
        <v>24120000</v>
      </c>
      <c r="E141" s="55">
        <v>25</v>
      </c>
      <c r="F141" s="76" t="s">
        <v>218</v>
      </c>
      <c r="G141" s="57" t="s">
        <v>71</v>
      </c>
      <c r="H141" s="57"/>
      <c r="I141" s="57"/>
      <c r="J141" s="77">
        <v>450</v>
      </c>
      <c r="K141" s="75">
        <v>2520</v>
      </c>
      <c r="L141" s="67">
        <v>0</v>
      </c>
      <c r="M141" s="201">
        <f t="shared" si="28"/>
        <v>1134000</v>
      </c>
      <c r="N141" s="211">
        <v>3450</v>
      </c>
      <c r="O141" s="210">
        <v>0</v>
      </c>
      <c r="P141" s="247">
        <f t="shared" si="29"/>
        <v>1552500</v>
      </c>
      <c r="Q141" s="75">
        <v>3358.3</v>
      </c>
      <c r="R141" s="67">
        <v>0</v>
      </c>
      <c r="S141" s="68">
        <f t="shared" si="30"/>
        <v>1511235</v>
      </c>
      <c r="T141" s="69">
        <f t="shared" si="33"/>
        <v>3109.4333333333329</v>
      </c>
      <c r="U141" s="67">
        <v>0</v>
      </c>
      <c r="V141" s="71">
        <f t="shared" si="31"/>
        <v>1399244.9999999998</v>
      </c>
      <c r="X141" s="452"/>
      <c r="Y141" s="531">
        <f t="shared" si="32"/>
        <v>1399244.9999999998</v>
      </c>
      <c r="Z141" s="452"/>
      <c r="AA141" s="452"/>
      <c r="AB141" s="452"/>
      <c r="AC141" s="452"/>
      <c r="AD141" s="452"/>
      <c r="AE141" s="452"/>
      <c r="AF141" s="452"/>
      <c r="AG141" s="452"/>
      <c r="AH141" s="452"/>
      <c r="AI141" s="452"/>
      <c r="AJ141" s="452"/>
      <c r="AK141" s="452"/>
      <c r="AL141" s="452"/>
      <c r="AM141" s="452"/>
      <c r="AN141" s="452"/>
      <c r="AO141" s="452"/>
      <c r="AP141" s="452"/>
      <c r="AQ141" s="452"/>
      <c r="AR141" s="452"/>
      <c r="AS141" s="452"/>
      <c r="AT141" s="452"/>
      <c r="AU141" s="452"/>
      <c r="AV141" s="452"/>
      <c r="AW141" s="452"/>
      <c r="AX141" s="452"/>
    </row>
    <row r="142" spans="1:50" s="26" customFormat="1" ht="45" x14ac:dyDescent="0.25">
      <c r="A142" s="57">
        <v>5</v>
      </c>
      <c r="B142" s="57">
        <v>24110</v>
      </c>
      <c r="C142" s="57">
        <v>2411150</v>
      </c>
      <c r="D142" s="56">
        <v>24111502</v>
      </c>
      <c r="E142" s="55">
        <v>26</v>
      </c>
      <c r="F142" s="76" t="s">
        <v>219</v>
      </c>
      <c r="G142" s="57" t="s">
        <v>71</v>
      </c>
      <c r="H142" s="57"/>
      <c r="I142" s="57"/>
      <c r="J142" s="77">
        <v>250</v>
      </c>
      <c r="K142" s="75">
        <v>1576</v>
      </c>
      <c r="L142" s="67">
        <v>0</v>
      </c>
      <c r="M142" s="201">
        <f t="shared" si="28"/>
        <v>394000</v>
      </c>
      <c r="N142" s="211">
        <v>1700</v>
      </c>
      <c r="O142" s="210">
        <v>0</v>
      </c>
      <c r="P142" s="247">
        <f t="shared" si="29"/>
        <v>425000</v>
      </c>
      <c r="Q142" s="75">
        <v>0</v>
      </c>
      <c r="R142" s="67">
        <v>0</v>
      </c>
      <c r="S142" s="68">
        <f t="shared" si="30"/>
        <v>0</v>
      </c>
      <c r="T142" s="69">
        <f>SUM(K142+N142+Q142)/2</f>
        <v>1638</v>
      </c>
      <c r="U142" s="67">
        <v>0</v>
      </c>
      <c r="V142" s="71">
        <f t="shared" si="31"/>
        <v>409500</v>
      </c>
      <c r="X142" s="452"/>
      <c r="Y142" s="531">
        <f t="shared" si="32"/>
        <v>409500</v>
      </c>
      <c r="Z142" s="452"/>
      <c r="AA142" s="452"/>
      <c r="AB142" s="452"/>
      <c r="AC142" s="452"/>
      <c r="AD142" s="452"/>
      <c r="AE142" s="452"/>
      <c r="AF142" s="452"/>
      <c r="AG142" s="452"/>
      <c r="AH142" s="452"/>
      <c r="AI142" s="452"/>
      <c r="AJ142" s="452"/>
      <c r="AK142" s="452"/>
      <c r="AL142" s="452"/>
      <c r="AM142" s="452"/>
      <c r="AN142" s="452"/>
      <c r="AO142" s="452"/>
      <c r="AP142" s="452"/>
      <c r="AQ142" s="452"/>
      <c r="AR142" s="452"/>
      <c r="AS142" s="452"/>
      <c r="AT142" s="452"/>
      <c r="AU142" s="452"/>
      <c r="AV142" s="452"/>
      <c r="AW142" s="452"/>
      <c r="AX142" s="452"/>
    </row>
    <row r="143" spans="1:50" s="26" customFormat="1" ht="45" x14ac:dyDescent="0.25">
      <c r="A143" s="57">
        <v>5</v>
      </c>
      <c r="B143" s="57">
        <v>24110</v>
      </c>
      <c r="C143" s="57">
        <v>2411150</v>
      </c>
      <c r="D143" s="56">
        <v>24111502</v>
      </c>
      <c r="E143" s="55">
        <v>27</v>
      </c>
      <c r="F143" s="76" t="s">
        <v>220</v>
      </c>
      <c r="G143" s="57" t="s">
        <v>71</v>
      </c>
      <c r="H143" s="57"/>
      <c r="I143" s="57"/>
      <c r="J143" s="77">
        <v>250</v>
      </c>
      <c r="K143" s="75">
        <v>1960</v>
      </c>
      <c r="L143" s="67">
        <v>0</v>
      </c>
      <c r="M143" s="201">
        <f t="shared" si="28"/>
        <v>490000</v>
      </c>
      <c r="N143" s="211">
        <v>2000</v>
      </c>
      <c r="O143" s="210">
        <v>0</v>
      </c>
      <c r="P143" s="247">
        <f t="shared" si="29"/>
        <v>500000</v>
      </c>
      <c r="Q143" s="75">
        <v>0</v>
      </c>
      <c r="R143" s="67">
        <v>0</v>
      </c>
      <c r="S143" s="68">
        <f t="shared" si="30"/>
        <v>0</v>
      </c>
      <c r="T143" s="69">
        <f>SUM(K143+N143+Q143)/2</f>
        <v>1980</v>
      </c>
      <c r="U143" s="67">
        <v>0</v>
      </c>
      <c r="V143" s="71">
        <f t="shared" si="31"/>
        <v>495000</v>
      </c>
      <c r="X143" s="452"/>
      <c r="Y143" s="531">
        <f t="shared" si="32"/>
        <v>495000</v>
      </c>
      <c r="Z143" s="452"/>
      <c r="AA143" s="452"/>
      <c r="AB143" s="452"/>
      <c r="AC143" s="452"/>
      <c r="AD143" s="452"/>
      <c r="AE143" s="452"/>
      <c r="AF143" s="452"/>
      <c r="AG143" s="452"/>
      <c r="AH143" s="452"/>
      <c r="AI143" s="452"/>
      <c r="AJ143" s="452"/>
      <c r="AK143" s="452"/>
      <c r="AL143" s="452"/>
      <c r="AM143" s="452"/>
      <c r="AN143" s="452"/>
      <c r="AO143" s="452"/>
      <c r="AP143" s="452"/>
      <c r="AQ143" s="452"/>
      <c r="AR143" s="452"/>
      <c r="AS143" s="452"/>
      <c r="AT143" s="452"/>
      <c r="AU143" s="452"/>
      <c r="AV143" s="452"/>
      <c r="AW143" s="452"/>
      <c r="AX143" s="452"/>
    </row>
    <row r="144" spans="1:50" s="26" customFormat="1" ht="45" x14ac:dyDescent="0.25">
      <c r="A144" s="57">
        <v>5</v>
      </c>
      <c r="B144" s="57">
        <v>24110</v>
      </c>
      <c r="C144" s="57">
        <v>2411150</v>
      </c>
      <c r="D144" s="56">
        <v>24111502</v>
      </c>
      <c r="E144" s="55">
        <v>28</v>
      </c>
      <c r="F144" s="76" t="s">
        <v>221</v>
      </c>
      <c r="G144" s="57" t="s">
        <v>71</v>
      </c>
      <c r="H144" s="57"/>
      <c r="I144" s="57"/>
      <c r="J144" s="77">
        <v>170</v>
      </c>
      <c r="K144" s="75">
        <v>2240</v>
      </c>
      <c r="L144" s="67">
        <v>0</v>
      </c>
      <c r="M144" s="201">
        <f t="shared" si="28"/>
        <v>380800</v>
      </c>
      <c r="N144" s="211">
        <v>2200</v>
      </c>
      <c r="O144" s="210">
        <v>0</v>
      </c>
      <c r="P144" s="247">
        <f t="shared" si="29"/>
        <v>374000</v>
      </c>
      <c r="Q144" s="75">
        <v>0</v>
      </c>
      <c r="R144" s="67">
        <v>0</v>
      </c>
      <c r="S144" s="68">
        <f t="shared" si="30"/>
        <v>0</v>
      </c>
      <c r="T144" s="69">
        <f>SUM(K144+N144+Q144)/2</f>
        <v>2220</v>
      </c>
      <c r="U144" s="67">
        <v>0</v>
      </c>
      <c r="V144" s="71">
        <f t="shared" si="31"/>
        <v>377400</v>
      </c>
      <c r="X144" s="452"/>
      <c r="Y144" s="531">
        <f t="shared" si="32"/>
        <v>377400</v>
      </c>
      <c r="Z144" s="452"/>
      <c r="AA144" s="452"/>
      <c r="AB144" s="452"/>
      <c r="AC144" s="452"/>
      <c r="AD144" s="452"/>
      <c r="AE144" s="452"/>
      <c r="AF144" s="452"/>
      <c r="AG144" s="452"/>
      <c r="AH144" s="452"/>
      <c r="AI144" s="452"/>
      <c r="AJ144" s="452"/>
      <c r="AK144" s="452"/>
      <c r="AL144" s="452"/>
      <c r="AM144" s="452"/>
      <c r="AN144" s="452"/>
      <c r="AO144" s="452"/>
      <c r="AP144" s="452"/>
      <c r="AQ144" s="452"/>
      <c r="AR144" s="452"/>
      <c r="AS144" s="452"/>
      <c r="AT144" s="452"/>
      <c r="AU144" s="452"/>
      <c r="AV144" s="452"/>
      <c r="AW144" s="452"/>
      <c r="AX144" s="452"/>
    </row>
    <row r="145" spans="1:50" s="26" customFormat="1" ht="15" x14ac:dyDescent="0.25">
      <c r="A145" s="57">
        <v>5</v>
      </c>
      <c r="B145" s="57">
        <v>24110</v>
      </c>
      <c r="C145" s="57">
        <v>2411150</v>
      </c>
      <c r="D145" s="56">
        <v>24111502</v>
      </c>
      <c r="E145" s="55">
        <v>29</v>
      </c>
      <c r="F145" s="76" t="s">
        <v>222</v>
      </c>
      <c r="G145" s="57" t="s">
        <v>71</v>
      </c>
      <c r="H145" s="57"/>
      <c r="I145" s="57"/>
      <c r="J145" s="77">
        <v>170</v>
      </c>
      <c r="K145" s="75">
        <v>770</v>
      </c>
      <c r="L145" s="67">
        <v>0</v>
      </c>
      <c r="M145" s="201">
        <f t="shared" si="28"/>
        <v>130900</v>
      </c>
      <c r="N145" s="211">
        <v>900</v>
      </c>
      <c r="O145" s="210">
        <v>0</v>
      </c>
      <c r="P145" s="247">
        <f t="shared" si="29"/>
        <v>153000</v>
      </c>
      <c r="Q145" s="75">
        <v>0</v>
      </c>
      <c r="R145" s="67">
        <v>0</v>
      </c>
      <c r="S145" s="68">
        <f t="shared" si="30"/>
        <v>0</v>
      </c>
      <c r="T145" s="69">
        <f>SUM(K145+N145+Q145)/2</f>
        <v>835</v>
      </c>
      <c r="U145" s="67">
        <v>0</v>
      </c>
      <c r="V145" s="71">
        <f t="shared" si="31"/>
        <v>141950</v>
      </c>
      <c r="X145" s="452"/>
      <c r="Y145" s="531">
        <f t="shared" si="32"/>
        <v>141950</v>
      </c>
      <c r="Z145" s="452"/>
      <c r="AA145" s="452"/>
      <c r="AB145" s="452"/>
      <c r="AC145" s="452"/>
      <c r="AD145" s="452"/>
      <c r="AE145" s="452"/>
      <c r="AF145" s="452"/>
      <c r="AG145" s="452"/>
      <c r="AH145" s="452"/>
      <c r="AI145" s="452"/>
      <c r="AJ145" s="452"/>
      <c r="AK145" s="452"/>
      <c r="AL145" s="452"/>
      <c r="AM145" s="452"/>
      <c r="AN145" s="452"/>
      <c r="AO145" s="452"/>
      <c r="AP145" s="452"/>
      <c r="AQ145" s="452"/>
      <c r="AR145" s="452"/>
      <c r="AS145" s="452"/>
      <c r="AT145" s="452"/>
      <c r="AU145" s="452"/>
      <c r="AV145" s="452"/>
      <c r="AW145" s="452"/>
      <c r="AX145" s="452"/>
    </row>
    <row r="146" spans="1:50" s="26" customFormat="1" ht="15" x14ac:dyDescent="0.25">
      <c r="A146" s="57">
        <v>5</v>
      </c>
      <c r="B146" s="57">
        <v>24110</v>
      </c>
      <c r="C146" s="57">
        <v>2411150</v>
      </c>
      <c r="D146" s="56">
        <v>24111502</v>
      </c>
      <c r="E146" s="55">
        <v>30</v>
      </c>
      <c r="F146" s="76" t="s">
        <v>223</v>
      </c>
      <c r="G146" s="57" t="s">
        <v>71</v>
      </c>
      <c r="H146" s="57"/>
      <c r="I146" s="57"/>
      <c r="J146" s="77">
        <v>80</v>
      </c>
      <c r="K146" s="75">
        <v>910</v>
      </c>
      <c r="L146" s="67">
        <v>0</v>
      </c>
      <c r="M146" s="201">
        <f t="shared" si="28"/>
        <v>72800</v>
      </c>
      <c r="N146" s="211">
        <v>1100</v>
      </c>
      <c r="O146" s="210">
        <v>0</v>
      </c>
      <c r="P146" s="247">
        <f t="shared" si="29"/>
        <v>88000</v>
      </c>
      <c r="Q146" s="75">
        <v>0</v>
      </c>
      <c r="R146" s="67">
        <v>0</v>
      </c>
      <c r="S146" s="68">
        <f t="shared" si="30"/>
        <v>0</v>
      </c>
      <c r="T146" s="69">
        <f>SUM(K146+N146+Q146)/2</f>
        <v>1005</v>
      </c>
      <c r="U146" s="67">
        <v>0</v>
      </c>
      <c r="V146" s="71">
        <f t="shared" si="31"/>
        <v>80400</v>
      </c>
      <c r="X146" s="452"/>
      <c r="Y146" s="531">
        <f t="shared" si="32"/>
        <v>80400</v>
      </c>
      <c r="Z146" s="452"/>
      <c r="AA146" s="452"/>
      <c r="AB146" s="452"/>
      <c r="AC146" s="452"/>
      <c r="AD146" s="452"/>
      <c r="AE146" s="452"/>
      <c r="AF146" s="452"/>
      <c r="AG146" s="452"/>
      <c r="AH146" s="452"/>
      <c r="AI146" s="452"/>
      <c r="AJ146" s="452"/>
      <c r="AK146" s="452"/>
      <c r="AL146" s="452"/>
      <c r="AM146" s="452"/>
      <c r="AN146" s="452"/>
      <c r="AO146" s="452"/>
      <c r="AP146" s="452"/>
      <c r="AQ146" s="452"/>
      <c r="AR146" s="452"/>
      <c r="AS146" s="452"/>
      <c r="AT146" s="452"/>
      <c r="AU146" s="452"/>
      <c r="AV146" s="452"/>
      <c r="AW146" s="452"/>
      <c r="AX146" s="452"/>
    </row>
    <row r="147" spans="1:50" s="26" customFormat="1" ht="15" x14ac:dyDescent="0.25">
      <c r="A147" s="57">
        <v>5</v>
      </c>
      <c r="B147" s="57">
        <v>50160</v>
      </c>
      <c r="C147" s="57">
        <v>5016150</v>
      </c>
      <c r="D147" s="56">
        <v>50161509</v>
      </c>
      <c r="E147" s="55">
        <v>31</v>
      </c>
      <c r="F147" s="76" t="s">
        <v>224</v>
      </c>
      <c r="G147" s="57" t="s">
        <v>225</v>
      </c>
      <c r="H147" s="57"/>
      <c r="I147" s="57"/>
      <c r="J147" s="77">
        <v>10</v>
      </c>
      <c r="K147" s="75">
        <v>14000</v>
      </c>
      <c r="L147" s="67">
        <v>0</v>
      </c>
      <c r="M147" s="201">
        <f t="shared" si="28"/>
        <v>140000</v>
      </c>
      <c r="N147" s="211">
        <v>18000</v>
      </c>
      <c r="O147" s="210">
        <v>0</v>
      </c>
      <c r="P147" s="247">
        <f t="shared" si="29"/>
        <v>180000</v>
      </c>
      <c r="Q147" s="75">
        <v>17980</v>
      </c>
      <c r="R147" s="67">
        <v>0</v>
      </c>
      <c r="S147" s="68">
        <f t="shared" si="30"/>
        <v>179800</v>
      </c>
      <c r="T147" s="69">
        <f>SUM(K147+N147+Q147)/3</f>
        <v>16660</v>
      </c>
      <c r="U147" s="67">
        <v>0</v>
      </c>
      <c r="V147" s="71">
        <f t="shared" si="31"/>
        <v>166600</v>
      </c>
      <c r="X147" s="452"/>
      <c r="Y147" s="531">
        <f t="shared" si="32"/>
        <v>166600</v>
      </c>
      <c r="Z147" s="452"/>
      <c r="AA147" s="452"/>
      <c r="AB147" s="452"/>
      <c r="AC147" s="452"/>
      <c r="AD147" s="452"/>
      <c r="AE147" s="452"/>
      <c r="AF147" s="452"/>
      <c r="AG147" s="452"/>
      <c r="AH147" s="452"/>
      <c r="AI147" s="452"/>
      <c r="AJ147" s="452"/>
      <c r="AK147" s="452"/>
      <c r="AL147" s="452"/>
      <c r="AM147" s="452"/>
      <c r="AN147" s="452"/>
      <c r="AO147" s="452"/>
      <c r="AP147" s="452"/>
      <c r="AQ147" s="452"/>
      <c r="AR147" s="452"/>
      <c r="AS147" s="452"/>
      <c r="AT147" s="452"/>
      <c r="AU147" s="452"/>
      <c r="AV147" s="452"/>
      <c r="AW147" s="452"/>
      <c r="AX147" s="452"/>
    </row>
    <row r="148" spans="1:50" s="26" customFormat="1" ht="15" x14ac:dyDescent="0.25">
      <c r="A148" s="57">
        <v>5</v>
      </c>
      <c r="B148" s="57">
        <v>15017</v>
      </c>
      <c r="C148" s="57">
        <v>1501715</v>
      </c>
      <c r="D148" s="56">
        <v>150171559</v>
      </c>
      <c r="E148" s="55">
        <v>32</v>
      </c>
      <c r="F148" s="76" t="s">
        <v>226</v>
      </c>
      <c r="G148" s="57" t="s">
        <v>206</v>
      </c>
      <c r="H148" s="57"/>
      <c r="I148" s="57"/>
      <c r="J148" s="77">
        <v>10</v>
      </c>
      <c r="K148" s="75">
        <v>53200</v>
      </c>
      <c r="L148" s="67">
        <v>0</v>
      </c>
      <c r="M148" s="201">
        <f t="shared" si="28"/>
        <v>532000</v>
      </c>
      <c r="N148" s="211">
        <v>85000</v>
      </c>
      <c r="O148" s="210">
        <v>0</v>
      </c>
      <c r="P148" s="247">
        <f t="shared" si="29"/>
        <v>850000</v>
      </c>
      <c r="Q148" s="75">
        <v>108500</v>
      </c>
      <c r="R148" s="67">
        <v>0</v>
      </c>
      <c r="S148" s="68">
        <f t="shared" si="30"/>
        <v>1085000</v>
      </c>
      <c r="T148" s="69">
        <f t="shared" si="33"/>
        <v>82233.333333333328</v>
      </c>
      <c r="U148" s="67">
        <v>0</v>
      </c>
      <c r="V148" s="71">
        <f t="shared" si="31"/>
        <v>822333.33333333326</v>
      </c>
      <c r="X148" s="452"/>
      <c r="Y148" s="531">
        <f t="shared" si="32"/>
        <v>822333.33333333326</v>
      </c>
      <c r="Z148" s="452"/>
      <c r="AA148" s="452"/>
      <c r="AB148" s="452"/>
      <c r="AC148" s="452"/>
      <c r="AD148" s="452"/>
      <c r="AE148" s="452"/>
      <c r="AF148" s="452"/>
      <c r="AG148" s="452"/>
      <c r="AH148" s="452"/>
      <c r="AI148" s="452"/>
      <c r="AJ148" s="452"/>
      <c r="AK148" s="452"/>
      <c r="AL148" s="452"/>
      <c r="AM148" s="452"/>
      <c r="AN148" s="452"/>
      <c r="AO148" s="452"/>
      <c r="AP148" s="452"/>
      <c r="AQ148" s="452"/>
      <c r="AR148" s="452"/>
      <c r="AS148" s="452"/>
      <c r="AT148" s="452"/>
      <c r="AU148" s="452"/>
      <c r="AV148" s="452"/>
      <c r="AW148" s="452"/>
      <c r="AX148" s="452"/>
    </row>
    <row r="149" spans="1:50" s="26" customFormat="1" ht="15" x14ac:dyDescent="0.25">
      <c r="A149" s="57">
        <v>5</v>
      </c>
      <c r="B149" s="57">
        <v>15017</v>
      </c>
      <c r="C149" s="57">
        <v>1501715</v>
      </c>
      <c r="D149" s="56">
        <v>150171559</v>
      </c>
      <c r="E149" s="55">
        <v>33</v>
      </c>
      <c r="F149" s="76" t="s">
        <v>227</v>
      </c>
      <c r="G149" s="57" t="s">
        <v>209</v>
      </c>
      <c r="H149" s="57"/>
      <c r="I149" s="57"/>
      <c r="J149" s="77">
        <v>30</v>
      </c>
      <c r="K149" s="75">
        <v>26600</v>
      </c>
      <c r="L149" s="67">
        <v>0</v>
      </c>
      <c r="M149" s="201">
        <f t="shared" si="28"/>
        <v>798000</v>
      </c>
      <c r="N149" s="211">
        <v>50000</v>
      </c>
      <c r="O149" s="210">
        <v>0</v>
      </c>
      <c r="P149" s="247">
        <f t="shared" si="29"/>
        <v>1500000</v>
      </c>
      <c r="Q149" s="75">
        <v>49600</v>
      </c>
      <c r="R149" s="67">
        <v>0</v>
      </c>
      <c r="S149" s="68">
        <f t="shared" si="30"/>
        <v>1488000</v>
      </c>
      <c r="T149" s="69">
        <f t="shared" si="33"/>
        <v>42066.666666666664</v>
      </c>
      <c r="U149" s="67">
        <v>0</v>
      </c>
      <c r="V149" s="71">
        <f t="shared" si="31"/>
        <v>1262000</v>
      </c>
      <c r="X149" s="452"/>
      <c r="Y149" s="531">
        <f t="shared" si="32"/>
        <v>1262000</v>
      </c>
      <c r="Z149" s="452"/>
      <c r="AA149" s="452"/>
      <c r="AB149" s="452"/>
      <c r="AC149" s="452"/>
      <c r="AD149" s="452"/>
      <c r="AE149" s="452"/>
      <c r="AF149" s="452"/>
      <c r="AG149" s="452"/>
      <c r="AH149" s="452"/>
      <c r="AI149" s="452"/>
      <c r="AJ149" s="452"/>
      <c r="AK149" s="452"/>
      <c r="AL149" s="452"/>
      <c r="AM149" s="452"/>
      <c r="AN149" s="452"/>
      <c r="AO149" s="452"/>
      <c r="AP149" s="452"/>
      <c r="AQ149" s="452"/>
      <c r="AR149" s="452"/>
      <c r="AS149" s="452"/>
      <c r="AT149" s="452"/>
      <c r="AU149" s="452"/>
      <c r="AV149" s="452"/>
      <c r="AW149" s="452"/>
      <c r="AX149" s="452"/>
    </row>
    <row r="150" spans="1:50" s="26" customFormat="1" ht="15" x14ac:dyDescent="0.25">
      <c r="A150" s="57">
        <v>5</v>
      </c>
      <c r="B150" s="57">
        <v>15019</v>
      </c>
      <c r="C150" s="57">
        <v>1501929</v>
      </c>
      <c r="D150" s="56">
        <v>150192904</v>
      </c>
      <c r="E150" s="55">
        <v>34</v>
      </c>
      <c r="F150" s="76" t="s">
        <v>228</v>
      </c>
      <c r="G150" s="57" t="s">
        <v>186</v>
      </c>
      <c r="H150" s="57"/>
      <c r="I150" s="57"/>
      <c r="J150" s="77">
        <v>30</v>
      </c>
      <c r="K150" s="75">
        <v>4200</v>
      </c>
      <c r="L150" s="67">
        <v>0</v>
      </c>
      <c r="M150" s="201">
        <f t="shared" si="28"/>
        <v>126000</v>
      </c>
      <c r="N150" s="211">
        <v>7800</v>
      </c>
      <c r="O150" s="210">
        <v>0</v>
      </c>
      <c r="P150" s="247">
        <f t="shared" si="29"/>
        <v>234000</v>
      </c>
      <c r="Q150" s="75">
        <v>9904.5</v>
      </c>
      <c r="R150" s="67">
        <v>0</v>
      </c>
      <c r="S150" s="68">
        <f t="shared" si="30"/>
        <v>297135</v>
      </c>
      <c r="T150" s="69">
        <f t="shared" si="33"/>
        <v>7301.5</v>
      </c>
      <c r="U150" s="67">
        <v>0</v>
      </c>
      <c r="V150" s="71">
        <f t="shared" si="31"/>
        <v>219045</v>
      </c>
      <c r="X150" s="452"/>
      <c r="Y150" s="531">
        <f t="shared" si="32"/>
        <v>219045</v>
      </c>
      <c r="Z150" s="452"/>
      <c r="AA150" s="452"/>
      <c r="AB150" s="452"/>
      <c r="AC150" s="452"/>
      <c r="AD150" s="452"/>
      <c r="AE150" s="452"/>
      <c r="AF150" s="452"/>
      <c r="AG150" s="452"/>
      <c r="AH150" s="452"/>
      <c r="AI150" s="452"/>
      <c r="AJ150" s="452"/>
      <c r="AK150" s="452"/>
      <c r="AL150" s="452"/>
      <c r="AM150" s="452"/>
      <c r="AN150" s="452"/>
      <c r="AO150" s="452"/>
      <c r="AP150" s="452"/>
      <c r="AQ150" s="452"/>
      <c r="AR150" s="452"/>
      <c r="AS150" s="452"/>
      <c r="AT150" s="452"/>
      <c r="AU150" s="452"/>
      <c r="AV150" s="452"/>
      <c r="AW150" s="452"/>
      <c r="AX150" s="452"/>
    </row>
    <row r="151" spans="1:50" s="26" customFormat="1" ht="30" x14ac:dyDescent="0.25">
      <c r="A151" s="57">
        <v>5</v>
      </c>
      <c r="B151" s="57">
        <v>24110</v>
      </c>
      <c r="C151" s="57">
        <v>2411150</v>
      </c>
      <c r="D151" s="56">
        <v>24111502</v>
      </c>
      <c r="E151" s="55">
        <v>35</v>
      </c>
      <c r="F151" s="76" t="s">
        <v>229</v>
      </c>
      <c r="G151" s="55" t="s">
        <v>230</v>
      </c>
      <c r="H151" s="55"/>
      <c r="I151" s="55"/>
      <c r="J151" s="77">
        <v>50</v>
      </c>
      <c r="K151" s="75">
        <v>16800</v>
      </c>
      <c r="L151" s="67">
        <v>0</v>
      </c>
      <c r="M151" s="201">
        <f t="shared" si="28"/>
        <v>840000</v>
      </c>
      <c r="N151" s="211">
        <v>10000</v>
      </c>
      <c r="O151" s="210">
        <v>0</v>
      </c>
      <c r="P151" s="247">
        <f t="shared" si="29"/>
        <v>500000</v>
      </c>
      <c r="Q151" s="75">
        <v>0</v>
      </c>
      <c r="R151" s="67">
        <v>0</v>
      </c>
      <c r="S151" s="68">
        <f t="shared" si="30"/>
        <v>0</v>
      </c>
      <c r="T151" s="69">
        <f>SUM(K151+N151+Q151)/2</f>
        <v>13400</v>
      </c>
      <c r="U151" s="67">
        <v>0</v>
      </c>
      <c r="V151" s="71">
        <f t="shared" si="31"/>
        <v>670000</v>
      </c>
      <c r="X151" s="452"/>
      <c r="Y151" s="531">
        <f t="shared" si="32"/>
        <v>670000</v>
      </c>
      <c r="Z151" s="452"/>
      <c r="AA151" s="452"/>
      <c r="AB151" s="452"/>
      <c r="AC151" s="452"/>
      <c r="AD151" s="452"/>
      <c r="AE151" s="452"/>
      <c r="AF151" s="452"/>
      <c r="AG151" s="452"/>
      <c r="AH151" s="452"/>
      <c r="AI151" s="452"/>
      <c r="AJ151" s="452"/>
      <c r="AK151" s="452"/>
      <c r="AL151" s="452"/>
      <c r="AM151" s="452"/>
      <c r="AN151" s="452"/>
      <c r="AO151" s="452"/>
      <c r="AP151" s="452"/>
      <c r="AQ151" s="452"/>
      <c r="AR151" s="452"/>
      <c r="AS151" s="452"/>
      <c r="AT151" s="452"/>
      <c r="AU151" s="452"/>
      <c r="AV151" s="452"/>
      <c r="AW151" s="452"/>
      <c r="AX151" s="452"/>
    </row>
    <row r="152" spans="1:50" s="26" customFormat="1" ht="15" x14ac:dyDescent="0.25">
      <c r="A152" s="57">
        <v>5</v>
      </c>
      <c r="B152" s="57">
        <v>42280</v>
      </c>
      <c r="C152" s="57">
        <v>4228170</v>
      </c>
      <c r="D152" s="56">
        <v>42281702</v>
      </c>
      <c r="E152" s="55">
        <v>36</v>
      </c>
      <c r="F152" s="76" t="s">
        <v>231</v>
      </c>
      <c r="G152" s="57" t="s">
        <v>71</v>
      </c>
      <c r="H152" s="57"/>
      <c r="I152" s="57"/>
      <c r="J152" s="77">
        <v>50</v>
      </c>
      <c r="K152" s="75">
        <v>8400</v>
      </c>
      <c r="L152" s="67">
        <v>0</v>
      </c>
      <c r="M152" s="201">
        <f t="shared" si="28"/>
        <v>420000</v>
      </c>
      <c r="N152" s="211">
        <v>14000</v>
      </c>
      <c r="O152" s="210">
        <v>0</v>
      </c>
      <c r="P152" s="247">
        <f t="shared" si="29"/>
        <v>700000</v>
      </c>
      <c r="Q152" s="75">
        <v>0</v>
      </c>
      <c r="R152" s="67">
        <v>0</v>
      </c>
      <c r="S152" s="68">
        <f t="shared" si="30"/>
        <v>0</v>
      </c>
      <c r="T152" s="69">
        <f>SUM(K152+N152+Q152)/2</f>
        <v>11200</v>
      </c>
      <c r="U152" s="67">
        <v>0</v>
      </c>
      <c r="V152" s="71">
        <f t="shared" si="31"/>
        <v>560000</v>
      </c>
      <c r="X152" s="452"/>
      <c r="Y152" s="531">
        <f t="shared" si="32"/>
        <v>560000</v>
      </c>
      <c r="Z152" s="452"/>
      <c r="AA152" s="452"/>
      <c r="AB152" s="452"/>
      <c r="AC152" s="452"/>
      <c r="AD152" s="452"/>
      <c r="AE152" s="452"/>
      <c r="AF152" s="452"/>
      <c r="AG152" s="452"/>
      <c r="AH152" s="452"/>
      <c r="AI152" s="452"/>
      <c r="AJ152" s="452"/>
      <c r="AK152" s="452"/>
      <c r="AL152" s="452"/>
      <c r="AM152" s="452"/>
      <c r="AN152" s="452"/>
      <c r="AO152" s="452"/>
      <c r="AP152" s="452"/>
      <c r="AQ152" s="452"/>
      <c r="AR152" s="452"/>
      <c r="AS152" s="452"/>
      <c r="AT152" s="452"/>
      <c r="AU152" s="452"/>
      <c r="AV152" s="452"/>
      <c r="AW152" s="452"/>
      <c r="AX152" s="452"/>
    </row>
    <row r="153" spans="1:50" s="26" customFormat="1" ht="30" x14ac:dyDescent="0.25">
      <c r="A153" s="57">
        <v>5</v>
      </c>
      <c r="B153" s="57">
        <v>27110</v>
      </c>
      <c r="C153" s="57">
        <v>271115</v>
      </c>
      <c r="D153" s="56">
        <v>27111503</v>
      </c>
      <c r="E153" s="55">
        <v>37</v>
      </c>
      <c r="F153" s="76" t="s">
        <v>232</v>
      </c>
      <c r="G153" s="57" t="s">
        <v>71</v>
      </c>
      <c r="H153" s="57"/>
      <c r="I153" s="57"/>
      <c r="J153" s="77">
        <v>60</v>
      </c>
      <c r="K153" s="75">
        <v>42000</v>
      </c>
      <c r="L153" s="67">
        <v>0</v>
      </c>
      <c r="M153" s="201">
        <f t="shared" si="28"/>
        <v>2520000</v>
      </c>
      <c r="N153" s="211">
        <v>35700</v>
      </c>
      <c r="O153" s="210">
        <v>0</v>
      </c>
      <c r="P153" s="247">
        <f t="shared" si="29"/>
        <v>2142000</v>
      </c>
      <c r="Q153" s="75">
        <v>30845</v>
      </c>
      <c r="R153" s="67">
        <v>0</v>
      </c>
      <c r="S153" s="68">
        <f t="shared" si="30"/>
        <v>1850700</v>
      </c>
      <c r="T153" s="69">
        <f>SUM(K153+N153+Q153)/3</f>
        <v>36181.666666666664</v>
      </c>
      <c r="U153" s="67">
        <v>0</v>
      </c>
      <c r="V153" s="71">
        <f t="shared" si="31"/>
        <v>2170900</v>
      </c>
      <c r="X153" s="452"/>
      <c r="Y153" s="531">
        <f t="shared" si="32"/>
        <v>2170900</v>
      </c>
      <c r="Z153" s="452"/>
      <c r="AA153" s="452"/>
      <c r="AB153" s="452"/>
      <c r="AC153" s="452"/>
      <c r="AD153" s="452"/>
      <c r="AE153" s="452"/>
      <c r="AF153" s="452"/>
      <c r="AG153" s="452"/>
      <c r="AH153" s="452"/>
      <c r="AI153" s="452"/>
      <c r="AJ153" s="452"/>
      <c r="AK153" s="452"/>
      <c r="AL153" s="452"/>
      <c r="AM153" s="452"/>
      <c r="AN153" s="452"/>
      <c r="AO153" s="452"/>
      <c r="AP153" s="452"/>
      <c r="AQ153" s="452"/>
      <c r="AR153" s="452"/>
      <c r="AS153" s="452"/>
      <c r="AT153" s="452"/>
      <c r="AU153" s="452"/>
      <c r="AV153" s="452"/>
      <c r="AW153" s="452"/>
      <c r="AX153" s="452"/>
    </row>
    <row r="154" spans="1:50" s="26" customFormat="1" ht="15" x14ac:dyDescent="0.25">
      <c r="A154" s="57">
        <v>5</v>
      </c>
      <c r="B154" s="57">
        <v>14228</v>
      </c>
      <c r="C154" s="57">
        <v>1422816</v>
      </c>
      <c r="D154" s="56">
        <v>142281606</v>
      </c>
      <c r="E154" s="55">
        <v>39</v>
      </c>
      <c r="F154" s="76" t="s">
        <v>233</v>
      </c>
      <c r="G154" s="57" t="s">
        <v>206</v>
      </c>
      <c r="H154" s="57"/>
      <c r="I154" s="57"/>
      <c r="J154" s="77">
        <v>70</v>
      </c>
      <c r="K154" s="75">
        <v>39200</v>
      </c>
      <c r="L154" s="67">
        <v>0</v>
      </c>
      <c r="M154" s="201">
        <f t="shared" si="28"/>
        <v>2744000</v>
      </c>
      <c r="N154" s="211">
        <v>55000</v>
      </c>
      <c r="O154" s="210">
        <v>0</v>
      </c>
      <c r="P154" s="247">
        <f t="shared" si="29"/>
        <v>3850000</v>
      </c>
      <c r="Q154" s="75">
        <v>13345</v>
      </c>
      <c r="R154" s="67">
        <v>0</v>
      </c>
      <c r="S154" s="68">
        <f t="shared" si="30"/>
        <v>934150</v>
      </c>
      <c r="T154" s="69">
        <f>SUM(K154+N154+Q154)/3</f>
        <v>35848.333333333336</v>
      </c>
      <c r="U154" s="67">
        <v>0</v>
      </c>
      <c r="V154" s="71">
        <f t="shared" si="31"/>
        <v>2509383.3333333335</v>
      </c>
      <c r="X154" s="452"/>
      <c r="Y154" s="531">
        <f t="shared" si="32"/>
        <v>2509383.3333333335</v>
      </c>
      <c r="Z154" s="452"/>
      <c r="AA154" s="452"/>
      <c r="AB154" s="452"/>
      <c r="AC154" s="452"/>
      <c r="AD154" s="452"/>
      <c r="AE154" s="452"/>
      <c r="AF154" s="452"/>
      <c r="AG154" s="452"/>
      <c r="AH154" s="452"/>
      <c r="AI154" s="452"/>
      <c r="AJ154" s="452"/>
      <c r="AK154" s="452"/>
      <c r="AL154" s="452"/>
      <c r="AM154" s="452"/>
      <c r="AN154" s="452"/>
      <c r="AO154" s="452"/>
      <c r="AP154" s="452"/>
      <c r="AQ154" s="452"/>
      <c r="AR154" s="452"/>
      <c r="AS154" s="452"/>
      <c r="AT154" s="452"/>
      <c r="AU154" s="452"/>
      <c r="AV154" s="452"/>
      <c r="AW154" s="452"/>
      <c r="AX154" s="452"/>
    </row>
    <row r="155" spans="1:50" s="26" customFormat="1" ht="15" x14ac:dyDescent="0.25">
      <c r="A155" s="57">
        <v>5</v>
      </c>
      <c r="B155" s="57">
        <v>15017</v>
      </c>
      <c r="C155" s="57">
        <v>1501715</v>
      </c>
      <c r="D155" s="56">
        <v>150171559</v>
      </c>
      <c r="E155" s="55">
        <v>40</v>
      </c>
      <c r="F155" s="76" t="s">
        <v>234</v>
      </c>
      <c r="G155" s="57" t="s">
        <v>235</v>
      </c>
      <c r="H155" s="57"/>
      <c r="I155" s="57"/>
      <c r="J155" s="77">
        <v>60</v>
      </c>
      <c r="K155" s="75">
        <v>5600</v>
      </c>
      <c r="L155" s="67">
        <v>0</v>
      </c>
      <c r="M155" s="201">
        <f t="shared" si="28"/>
        <v>336000</v>
      </c>
      <c r="N155" s="211">
        <v>7100</v>
      </c>
      <c r="O155" s="210">
        <v>0</v>
      </c>
      <c r="P155" s="247">
        <f t="shared" si="29"/>
        <v>426000</v>
      </c>
      <c r="Q155" s="75">
        <v>6975</v>
      </c>
      <c r="R155" s="67">
        <v>0</v>
      </c>
      <c r="S155" s="68">
        <f t="shared" si="30"/>
        <v>418500</v>
      </c>
      <c r="T155" s="69">
        <f>SUM(K155+N155+Q155)/3</f>
        <v>6558.333333333333</v>
      </c>
      <c r="U155" s="67">
        <v>0</v>
      </c>
      <c r="V155" s="71">
        <f t="shared" si="31"/>
        <v>393500</v>
      </c>
      <c r="X155" s="452"/>
      <c r="Y155" s="531">
        <f t="shared" si="32"/>
        <v>393500</v>
      </c>
      <c r="Z155" s="452"/>
      <c r="AA155" s="452"/>
      <c r="AB155" s="452"/>
      <c r="AC155" s="452"/>
      <c r="AD155" s="452"/>
      <c r="AE155" s="452"/>
      <c r="AF155" s="452"/>
      <c r="AG155" s="452"/>
      <c r="AH155" s="452"/>
      <c r="AI155" s="452"/>
      <c r="AJ155" s="452"/>
      <c r="AK155" s="452"/>
      <c r="AL155" s="452"/>
      <c r="AM155" s="452"/>
      <c r="AN155" s="452"/>
      <c r="AO155" s="452"/>
      <c r="AP155" s="452"/>
      <c r="AQ155" s="452"/>
      <c r="AR155" s="452"/>
      <c r="AS155" s="452"/>
      <c r="AT155" s="452"/>
      <c r="AU155" s="452"/>
      <c r="AV155" s="452"/>
      <c r="AW155" s="452"/>
      <c r="AX155" s="452"/>
    </row>
    <row r="156" spans="1:50" s="26" customFormat="1" ht="15" x14ac:dyDescent="0.25">
      <c r="A156" s="57">
        <v>5</v>
      </c>
      <c r="B156" s="57">
        <v>15017</v>
      </c>
      <c r="C156" s="57">
        <v>1501715</v>
      </c>
      <c r="D156" s="56">
        <v>150171559</v>
      </c>
      <c r="E156" s="55">
        <v>41</v>
      </c>
      <c r="F156" s="76" t="s">
        <v>236</v>
      </c>
      <c r="G156" s="57" t="s">
        <v>197</v>
      </c>
      <c r="H156" s="57"/>
      <c r="I156" s="57"/>
      <c r="J156" s="77">
        <v>5</v>
      </c>
      <c r="K156" s="75">
        <v>67200</v>
      </c>
      <c r="L156" s="67">
        <v>0</v>
      </c>
      <c r="M156" s="201">
        <f t="shared" si="28"/>
        <v>336000</v>
      </c>
      <c r="N156" s="211">
        <v>150000</v>
      </c>
      <c r="O156" s="210">
        <v>0</v>
      </c>
      <c r="P156" s="247">
        <f t="shared" si="29"/>
        <v>750000</v>
      </c>
      <c r="Q156" s="75">
        <v>132137.5</v>
      </c>
      <c r="R156" s="67">
        <v>0</v>
      </c>
      <c r="S156" s="68">
        <f t="shared" si="30"/>
        <v>660687.5</v>
      </c>
      <c r="T156" s="69">
        <f>SUM(K156+N156+Q156)/3</f>
        <v>116445.83333333333</v>
      </c>
      <c r="U156" s="67">
        <v>0</v>
      </c>
      <c r="V156" s="71">
        <f t="shared" si="31"/>
        <v>582229.16666666663</v>
      </c>
      <c r="X156" s="452"/>
      <c r="Y156" s="531">
        <f t="shared" si="32"/>
        <v>582229.16666666663</v>
      </c>
      <c r="Z156" s="452"/>
      <c r="AA156" s="452"/>
      <c r="AB156" s="452"/>
      <c r="AC156" s="452"/>
      <c r="AD156" s="452"/>
      <c r="AE156" s="452"/>
      <c r="AF156" s="452"/>
      <c r="AG156" s="452"/>
      <c r="AH156" s="452"/>
      <c r="AI156" s="452"/>
      <c r="AJ156" s="452"/>
      <c r="AK156" s="452"/>
      <c r="AL156" s="452"/>
      <c r="AM156" s="452"/>
      <c r="AN156" s="452"/>
      <c r="AO156" s="452"/>
      <c r="AP156" s="452"/>
      <c r="AQ156" s="452"/>
      <c r="AR156" s="452"/>
      <c r="AS156" s="452"/>
      <c r="AT156" s="452"/>
      <c r="AU156" s="452"/>
      <c r="AV156" s="452"/>
      <c r="AW156" s="452"/>
      <c r="AX156" s="452"/>
    </row>
    <row r="157" spans="1:50" s="26" customFormat="1" ht="30" x14ac:dyDescent="0.25">
      <c r="A157" s="57">
        <v>5</v>
      </c>
      <c r="B157" s="57">
        <v>53100</v>
      </c>
      <c r="C157" s="57">
        <v>5310320</v>
      </c>
      <c r="D157" s="56">
        <v>53103201</v>
      </c>
      <c r="E157" s="55">
        <v>42</v>
      </c>
      <c r="F157" s="76" t="s">
        <v>237</v>
      </c>
      <c r="G157" s="57" t="s">
        <v>238</v>
      </c>
      <c r="H157" s="57"/>
      <c r="I157" s="57"/>
      <c r="J157" s="77">
        <v>35</v>
      </c>
      <c r="K157" s="75">
        <v>8400</v>
      </c>
      <c r="L157" s="67">
        <v>0</v>
      </c>
      <c r="M157" s="201">
        <f t="shared" si="28"/>
        <v>294000</v>
      </c>
      <c r="N157" s="211">
        <v>85000</v>
      </c>
      <c r="O157" s="210">
        <v>0</v>
      </c>
      <c r="P157" s="247">
        <f t="shared" si="29"/>
        <v>2975000</v>
      </c>
      <c r="Q157" s="75">
        <v>83651.95</v>
      </c>
      <c r="R157" s="67">
        <v>0</v>
      </c>
      <c r="S157" s="68">
        <f t="shared" si="30"/>
        <v>2927818.25</v>
      </c>
      <c r="T157" s="69">
        <f>SUM(K157+N157+Q157)/3</f>
        <v>59017.316666666673</v>
      </c>
      <c r="U157" s="67">
        <v>0</v>
      </c>
      <c r="V157" s="71">
        <f t="shared" si="31"/>
        <v>2065606.0833333335</v>
      </c>
      <c r="X157" s="452"/>
      <c r="Y157" s="531">
        <f t="shared" si="32"/>
        <v>2065606.0833333335</v>
      </c>
      <c r="Z157" s="452"/>
      <c r="AA157" s="452"/>
      <c r="AB157" s="452"/>
      <c r="AC157" s="452"/>
      <c r="AD157" s="452"/>
      <c r="AE157" s="452"/>
      <c r="AF157" s="452"/>
      <c r="AG157" s="452"/>
      <c r="AH157" s="452"/>
      <c r="AI157" s="452"/>
      <c r="AJ157" s="452"/>
      <c r="AK157" s="452"/>
      <c r="AL157" s="452"/>
      <c r="AM157" s="452"/>
      <c r="AN157" s="452"/>
      <c r="AO157" s="452"/>
      <c r="AP157" s="452"/>
      <c r="AQ157" s="452"/>
      <c r="AR157" s="452"/>
      <c r="AS157" s="452"/>
      <c r="AT157" s="452"/>
      <c r="AU157" s="452"/>
      <c r="AV157" s="452"/>
      <c r="AW157" s="452"/>
      <c r="AX157" s="452"/>
    </row>
    <row r="158" spans="1:50" s="26" customFormat="1" ht="60" x14ac:dyDescent="0.25">
      <c r="A158" s="57">
        <v>5</v>
      </c>
      <c r="B158" s="57">
        <v>53130</v>
      </c>
      <c r="C158" s="57">
        <v>5313160</v>
      </c>
      <c r="D158" s="56">
        <v>53131624</v>
      </c>
      <c r="E158" s="55">
        <v>43</v>
      </c>
      <c r="F158" s="76" t="s">
        <v>239</v>
      </c>
      <c r="G158" s="57" t="s">
        <v>240</v>
      </c>
      <c r="H158" s="57"/>
      <c r="I158" s="57"/>
      <c r="J158" s="77">
        <v>50</v>
      </c>
      <c r="K158" s="75">
        <v>43750</v>
      </c>
      <c r="L158" s="67">
        <v>0</v>
      </c>
      <c r="M158" s="201">
        <f t="shared" si="28"/>
        <v>2187500</v>
      </c>
      <c r="N158" s="211">
        <v>62900</v>
      </c>
      <c r="O158" s="210">
        <v>0</v>
      </c>
      <c r="P158" s="247">
        <f t="shared" si="29"/>
        <v>3145000</v>
      </c>
      <c r="Q158" s="75">
        <v>63395</v>
      </c>
      <c r="R158" s="67">
        <v>0</v>
      </c>
      <c r="S158" s="68">
        <f t="shared" si="30"/>
        <v>3169750</v>
      </c>
      <c r="T158" s="69">
        <f t="shared" si="33"/>
        <v>56681.666666666664</v>
      </c>
      <c r="U158" s="67">
        <v>0</v>
      </c>
      <c r="V158" s="71">
        <f t="shared" si="31"/>
        <v>2834083.333333333</v>
      </c>
      <c r="X158" s="452"/>
      <c r="Y158" s="531">
        <f t="shared" si="32"/>
        <v>2834083.333333333</v>
      </c>
      <c r="Z158" s="452"/>
      <c r="AA158" s="452"/>
      <c r="AB158" s="452"/>
      <c r="AC158" s="452"/>
      <c r="AD158" s="452"/>
      <c r="AE158" s="452"/>
      <c r="AF158" s="452"/>
      <c r="AG158" s="452"/>
      <c r="AH158" s="452"/>
      <c r="AI158" s="452"/>
      <c r="AJ158" s="452"/>
      <c r="AK158" s="452"/>
      <c r="AL158" s="452"/>
      <c r="AM158" s="452"/>
      <c r="AN158" s="452"/>
      <c r="AO158" s="452"/>
      <c r="AP158" s="452"/>
      <c r="AQ158" s="452"/>
      <c r="AR158" s="452"/>
      <c r="AS158" s="452"/>
      <c r="AT158" s="452"/>
      <c r="AU158" s="452"/>
      <c r="AV158" s="452"/>
      <c r="AW158" s="452"/>
      <c r="AX158" s="452"/>
    </row>
    <row r="159" spans="1:50" s="26" customFormat="1" ht="30" x14ac:dyDescent="0.25">
      <c r="A159" s="57">
        <v>5</v>
      </c>
      <c r="B159" s="57">
        <v>42130</v>
      </c>
      <c r="C159" s="57">
        <v>4213220</v>
      </c>
      <c r="D159" s="56">
        <v>42132205</v>
      </c>
      <c r="E159" s="55">
        <v>44</v>
      </c>
      <c r="F159" s="76" t="s">
        <v>241</v>
      </c>
      <c r="G159" s="57" t="s">
        <v>242</v>
      </c>
      <c r="H159" s="57"/>
      <c r="I159" s="57"/>
      <c r="J159" s="77">
        <v>35</v>
      </c>
      <c r="K159" s="75">
        <v>95200</v>
      </c>
      <c r="L159" s="67">
        <v>0</v>
      </c>
      <c r="M159" s="201">
        <f t="shared" si="28"/>
        <v>3332000</v>
      </c>
      <c r="N159" s="211">
        <v>99800</v>
      </c>
      <c r="O159" s="210">
        <v>0</v>
      </c>
      <c r="P159" s="247">
        <f t="shared" si="29"/>
        <v>3493000</v>
      </c>
      <c r="Q159" s="75">
        <v>100750</v>
      </c>
      <c r="R159" s="67">
        <v>0</v>
      </c>
      <c r="S159" s="68">
        <f t="shared" si="30"/>
        <v>3526250</v>
      </c>
      <c r="T159" s="69">
        <f t="shared" si="33"/>
        <v>98583.333333333328</v>
      </c>
      <c r="U159" s="67">
        <v>0</v>
      </c>
      <c r="V159" s="71">
        <f t="shared" si="31"/>
        <v>3450416.6666666665</v>
      </c>
      <c r="X159" s="452"/>
      <c r="Y159" s="531">
        <f t="shared" si="32"/>
        <v>3450416.6666666665</v>
      </c>
      <c r="Z159" s="452"/>
      <c r="AA159" s="452"/>
      <c r="AB159" s="452"/>
      <c r="AC159" s="452"/>
      <c r="AD159" s="452"/>
      <c r="AE159" s="452"/>
      <c r="AF159" s="452"/>
      <c r="AG159" s="452"/>
      <c r="AH159" s="452"/>
      <c r="AI159" s="452"/>
      <c r="AJ159" s="452"/>
      <c r="AK159" s="452"/>
      <c r="AL159" s="452"/>
      <c r="AM159" s="452"/>
      <c r="AN159" s="452"/>
      <c r="AO159" s="452"/>
      <c r="AP159" s="452"/>
      <c r="AQ159" s="452"/>
      <c r="AR159" s="452"/>
      <c r="AS159" s="452"/>
      <c r="AT159" s="452"/>
      <c r="AU159" s="452"/>
      <c r="AV159" s="452"/>
      <c r="AW159" s="452"/>
      <c r="AX159" s="452"/>
    </row>
    <row r="160" spans="1:50" s="26" customFormat="1" ht="30" x14ac:dyDescent="0.25">
      <c r="A160" s="57">
        <v>5</v>
      </c>
      <c r="B160" s="57">
        <v>41110</v>
      </c>
      <c r="C160" s="57">
        <v>4111220</v>
      </c>
      <c r="D160" s="56">
        <v>41112224</v>
      </c>
      <c r="E160" s="55">
        <v>45</v>
      </c>
      <c r="F160" s="76" t="s">
        <v>243</v>
      </c>
      <c r="G160" s="57" t="s">
        <v>71</v>
      </c>
      <c r="H160" s="57"/>
      <c r="I160" s="57"/>
      <c r="J160" s="77">
        <v>5</v>
      </c>
      <c r="K160" s="75">
        <v>42000</v>
      </c>
      <c r="L160" s="67">
        <v>0</v>
      </c>
      <c r="M160" s="201">
        <f t="shared" si="28"/>
        <v>210000</v>
      </c>
      <c r="N160" s="211">
        <v>320000</v>
      </c>
      <c r="O160" s="210">
        <v>0</v>
      </c>
      <c r="P160" s="247">
        <f t="shared" si="29"/>
        <v>1600000</v>
      </c>
      <c r="Q160" s="75">
        <v>0</v>
      </c>
      <c r="R160" s="67">
        <v>0</v>
      </c>
      <c r="S160" s="68">
        <f t="shared" si="30"/>
        <v>0</v>
      </c>
      <c r="T160" s="69">
        <f>SUM(K160+N160+Q160)/2</f>
        <v>181000</v>
      </c>
      <c r="U160" s="67">
        <v>0</v>
      </c>
      <c r="V160" s="71">
        <f t="shared" si="31"/>
        <v>905000</v>
      </c>
      <c r="X160" s="452"/>
      <c r="Y160" s="531">
        <f t="shared" si="32"/>
        <v>905000</v>
      </c>
      <c r="Z160" s="452"/>
      <c r="AA160" s="452"/>
      <c r="AB160" s="452"/>
      <c r="AC160" s="452"/>
      <c r="AD160" s="452"/>
      <c r="AE160" s="452"/>
      <c r="AF160" s="452"/>
      <c r="AG160" s="452"/>
      <c r="AH160" s="452"/>
      <c r="AI160" s="452"/>
      <c r="AJ160" s="452"/>
      <c r="AK160" s="452"/>
      <c r="AL160" s="452"/>
      <c r="AM160" s="452"/>
      <c r="AN160" s="452"/>
      <c r="AO160" s="452"/>
      <c r="AP160" s="452"/>
      <c r="AQ160" s="452"/>
      <c r="AR160" s="452"/>
      <c r="AS160" s="452"/>
      <c r="AT160" s="452"/>
      <c r="AU160" s="452"/>
      <c r="AV160" s="452"/>
      <c r="AW160" s="452"/>
      <c r="AX160" s="452"/>
    </row>
    <row r="161" spans="1:50" s="26" customFormat="1" ht="30" x14ac:dyDescent="0.25">
      <c r="A161" s="57">
        <v>5</v>
      </c>
      <c r="B161" s="57">
        <v>41110</v>
      </c>
      <c r="C161" s="57">
        <v>4111220</v>
      </c>
      <c r="D161" s="56">
        <v>41112224</v>
      </c>
      <c r="E161" s="55">
        <v>47</v>
      </c>
      <c r="F161" s="76" t="s">
        <v>244</v>
      </c>
      <c r="G161" s="57" t="s">
        <v>71</v>
      </c>
      <c r="H161" s="57"/>
      <c r="I161" s="57"/>
      <c r="J161" s="77">
        <v>30</v>
      </c>
      <c r="K161" s="75">
        <v>42000</v>
      </c>
      <c r="L161" s="67">
        <v>0</v>
      </c>
      <c r="M161" s="201">
        <f t="shared" si="28"/>
        <v>1260000</v>
      </c>
      <c r="N161" s="211">
        <v>25000</v>
      </c>
      <c r="O161" s="210">
        <v>0</v>
      </c>
      <c r="P161" s="247">
        <f t="shared" si="29"/>
        <v>750000</v>
      </c>
      <c r="Q161" s="75">
        <v>0</v>
      </c>
      <c r="R161" s="67">
        <v>0</v>
      </c>
      <c r="S161" s="68">
        <f t="shared" si="30"/>
        <v>0</v>
      </c>
      <c r="T161" s="69">
        <f>SUM(K161+N161+Q161)/2</f>
        <v>33500</v>
      </c>
      <c r="U161" s="67">
        <v>0</v>
      </c>
      <c r="V161" s="71">
        <f t="shared" si="31"/>
        <v>1005000</v>
      </c>
      <c r="X161" s="452"/>
      <c r="Y161" s="531">
        <f t="shared" si="32"/>
        <v>1005000</v>
      </c>
      <c r="Z161" s="452"/>
      <c r="AA161" s="452"/>
      <c r="AB161" s="452"/>
      <c r="AC161" s="452"/>
      <c r="AD161" s="452"/>
      <c r="AE161" s="452"/>
      <c r="AF161" s="452"/>
      <c r="AG161" s="452"/>
      <c r="AH161" s="452"/>
      <c r="AI161" s="452"/>
      <c r="AJ161" s="452"/>
      <c r="AK161" s="452"/>
      <c r="AL161" s="452"/>
      <c r="AM161" s="452"/>
      <c r="AN161" s="452"/>
      <c r="AO161" s="452"/>
      <c r="AP161" s="452"/>
      <c r="AQ161" s="452"/>
      <c r="AR161" s="452"/>
      <c r="AS161" s="452"/>
      <c r="AT161" s="452"/>
      <c r="AU161" s="452"/>
      <c r="AV161" s="452"/>
      <c r="AW161" s="452"/>
      <c r="AX161" s="452"/>
    </row>
    <row r="162" spans="1:50" s="26" customFormat="1" ht="30" x14ac:dyDescent="0.25">
      <c r="A162" s="57">
        <v>5</v>
      </c>
      <c r="B162" s="57">
        <v>23028</v>
      </c>
      <c r="C162" s="57">
        <v>11117231</v>
      </c>
      <c r="D162" s="56">
        <v>42180000</v>
      </c>
      <c r="E162" s="55">
        <v>48</v>
      </c>
      <c r="F162" s="76" t="s">
        <v>245</v>
      </c>
      <c r="G162" s="57" t="s">
        <v>242</v>
      </c>
      <c r="H162" s="57"/>
      <c r="I162" s="57"/>
      <c r="J162" s="77">
        <v>35</v>
      </c>
      <c r="K162" s="75">
        <v>20160</v>
      </c>
      <c r="L162" s="67">
        <v>0</v>
      </c>
      <c r="M162" s="201">
        <f t="shared" si="28"/>
        <v>705600</v>
      </c>
      <c r="N162" s="211">
        <v>25000</v>
      </c>
      <c r="O162" s="210">
        <v>0</v>
      </c>
      <c r="P162" s="247">
        <f t="shared" si="29"/>
        <v>875000</v>
      </c>
      <c r="Q162" s="75">
        <v>120745</v>
      </c>
      <c r="R162" s="67">
        <v>0</v>
      </c>
      <c r="S162" s="68">
        <f t="shared" si="30"/>
        <v>4226075</v>
      </c>
      <c r="T162" s="69">
        <f>SUM(K162+N162+Q162)/3</f>
        <v>55301.666666666664</v>
      </c>
      <c r="U162" s="67">
        <v>0</v>
      </c>
      <c r="V162" s="71">
        <f t="shared" si="31"/>
        <v>1935558.3333333333</v>
      </c>
      <c r="X162" s="452"/>
      <c r="Y162" s="531">
        <f t="shared" si="32"/>
        <v>1935558.3333333333</v>
      </c>
      <c r="Z162" s="452"/>
      <c r="AA162" s="452"/>
      <c r="AB162" s="452"/>
      <c r="AC162" s="452"/>
      <c r="AD162" s="452"/>
      <c r="AE162" s="452"/>
      <c r="AF162" s="452"/>
      <c r="AG162" s="452"/>
      <c r="AH162" s="452"/>
      <c r="AI162" s="452"/>
      <c r="AJ162" s="452"/>
      <c r="AK162" s="452"/>
      <c r="AL162" s="452"/>
      <c r="AM162" s="452"/>
      <c r="AN162" s="452"/>
      <c r="AO162" s="452"/>
      <c r="AP162" s="452"/>
      <c r="AQ162" s="452"/>
      <c r="AR162" s="452"/>
      <c r="AS162" s="452"/>
      <c r="AT162" s="452"/>
      <c r="AU162" s="452"/>
      <c r="AV162" s="452"/>
      <c r="AW162" s="452"/>
      <c r="AX162" s="452"/>
    </row>
    <row r="163" spans="1:50" s="26" customFormat="1" ht="30" x14ac:dyDescent="0.25">
      <c r="A163" s="57">
        <v>5</v>
      </c>
      <c r="B163" s="57">
        <v>42130</v>
      </c>
      <c r="C163" s="57">
        <v>4213160</v>
      </c>
      <c r="D163" s="56">
        <v>42131611</v>
      </c>
      <c r="E163" s="55">
        <v>49</v>
      </c>
      <c r="F163" s="76" t="s">
        <v>246</v>
      </c>
      <c r="G163" s="57" t="s">
        <v>242</v>
      </c>
      <c r="H163" s="57"/>
      <c r="I163" s="57"/>
      <c r="J163" s="77">
        <v>35</v>
      </c>
      <c r="K163" s="75">
        <v>36400</v>
      </c>
      <c r="L163" s="67">
        <v>0</v>
      </c>
      <c r="M163" s="201">
        <f t="shared" si="28"/>
        <v>1274000</v>
      </c>
      <c r="N163" s="211">
        <v>48000</v>
      </c>
      <c r="O163" s="210">
        <v>0</v>
      </c>
      <c r="P163" s="247">
        <f t="shared" si="29"/>
        <v>1680000</v>
      </c>
      <c r="Q163" s="75">
        <v>54095</v>
      </c>
      <c r="R163" s="67">
        <v>0</v>
      </c>
      <c r="S163" s="68">
        <f t="shared" si="30"/>
        <v>1893325</v>
      </c>
      <c r="T163" s="69">
        <f t="shared" si="33"/>
        <v>46165</v>
      </c>
      <c r="U163" s="67">
        <v>0</v>
      </c>
      <c r="V163" s="71">
        <f t="shared" si="31"/>
        <v>1615775</v>
      </c>
      <c r="X163" s="452"/>
      <c r="Y163" s="531">
        <f t="shared" si="32"/>
        <v>1615775</v>
      </c>
      <c r="Z163" s="452"/>
      <c r="AA163" s="452"/>
      <c r="AB163" s="452"/>
      <c r="AC163" s="452"/>
      <c r="AD163" s="452"/>
      <c r="AE163" s="452"/>
      <c r="AF163" s="452"/>
      <c r="AG163" s="452"/>
      <c r="AH163" s="452"/>
      <c r="AI163" s="452"/>
      <c r="AJ163" s="452"/>
      <c r="AK163" s="452"/>
      <c r="AL163" s="452"/>
      <c r="AM163" s="452"/>
      <c r="AN163" s="452"/>
      <c r="AO163" s="452"/>
      <c r="AP163" s="452"/>
      <c r="AQ163" s="452"/>
      <c r="AR163" s="452"/>
      <c r="AS163" s="452"/>
      <c r="AT163" s="452"/>
      <c r="AU163" s="452"/>
      <c r="AV163" s="452"/>
      <c r="AW163" s="452"/>
      <c r="AX163" s="452"/>
    </row>
    <row r="164" spans="1:50" s="26" customFormat="1" ht="15" x14ac:dyDescent="0.25">
      <c r="A164" s="57">
        <v>5</v>
      </c>
      <c r="B164" s="57">
        <v>47100</v>
      </c>
      <c r="C164" s="57">
        <v>4710160</v>
      </c>
      <c r="D164" s="56">
        <v>47101608</v>
      </c>
      <c r="E164" s="55">
        <v>50</v>
      </c>
      <c r="F164" s="76" t="s">
        <v>247</v>
      </c>
      <c r="G164" s="57" t="s">
        <v>248</v>
      </c>
      <c r="H164" s="57"/>
      <c r="I164" s="57"/>
      <c r="J164" s="77">
        <v>10</v>
      </c>
      <c r="K164" s="75">
        <v>63000</v>
      </c>
      <c r="L164" s="67">
        <v>0</v>
      </c>
      <c r="M164" s="201">
        <f t="shared" si="28"/>
        <v>630000</v>
      </c>
      <c r="N164" s="211">
        <v>52000</v>
      </c>
      <c r="O164" s="210">
        <v>0</v>
      </c>
      <c r="P164" s="247">
        <f t="shared" si="29"/>
        <v>520000</v>
      </c>
      <c r="Q164" s="75">
        <v>46500</v>
      </c>
      <c r="R164" s="67">
        <v>0</v>
      </c>
      <c r="S164" s="68">
        <f t="shared" si="30"/>
        <v>465000</v>
      </c>
      <c r="T164" s="69">
        <f t="shared" si="33"/>
        <v>53833.333333333336</v>
      </c>
      <c r="U164" s="67">
        <v>0</v>
      </c>
      <c r="V164" s="71">
        <f t="shared" si="31"/>
        <v>538333.33333333337</v>
      </c>
      <c r="X164" s="452"/>
      <c r="Y164" s="531">
        <f t="shared" si="32"/>
        <v>538333.33333333337</v>
      </c>
      <c r="Z164" s="452"/>
      <c r="AA164" s="452"/>
      <c r="AB164" s="452"/>
      <c r="AC164" s="452"/>
      <c r="AD164" s="452"/>
      <c r="AE164" s="452"/>
      <c r="AF164" s="452"/>
      <c r="AG164" s="452"/>
      <c r="AH164" s="452"/>
      <c r="AI164" s="452"/>
      <c r="AJ164" s="452"/>
      <c r="AK164" s="452"/>
      <c r="AL164" s="452"/>
      <c r="AM164" s="452"/>
      <c r="AN164" s="452"/>
      <c r="AO164" s="452"/>
      <c r="AP164" s="452"/>
      <c r="AQ164" s="452"/>
      <c r="AR164" s="452"/>
      <c r="AS164" s="452"/>
      <c r="AT164" s="452"/>
      <c r="AU164" s="452"/>
      <c r="AV164" s="452"/>
      <c r="AW164" s="452"/>
      <c r="AX164" s="452"/>
    </row>
    <row r="165" spans="1:50" s="26" customFormat="1" ht="15" x14ac:dyDescent="0.25">
      <c r="A165" s="57">
        <v>5</v>
      </c>
      <c r="B165" s="57">
        <v>13115</v>
      </c>
      <c r="C165" s="57">
        <v>1311515</v>
      </c>
      <c r="D165" s="56">
        <v>131151519</v>
      </c>
      <c r="E165" s="55">
        <v>51</v>
      </c>
      <c r="F165" s="76" t="s">
        <v>249</v>
      </c>
      <c r="G165" s="57" t="s">
        <v>202</v>
      </c>
      <c r="H165" s="57"/>
      <c r="I165" s="57"/>
      <c r="J165" s="77">
        <v>15</v>
      </c>
      <c r="K165" s="75">
        <v>16940</v>
      </c>
      <c r="L165" s="67">
        <v>0</v>
      </c>
      <c r="M165" s="201">
        <f t="shared" si="28"/>
        <v>254100</v>
      </c>
      <c r="N165" s="211">
        <v>21000</v>
      </c>
      <c r="O165" s="210">
        <v>0</v>
      </c>
      <c r="P165" s="247">
        <f t="shared" si="29"/>
        <v>315000</v>
      </c>
      <c r="Q165" s="75">
        <v>16895</v>
      </c>
      <c r="R165" s="67">
        <v>0</v>
      </c>
      <c r="S165" s="68">
        <f t="shared" si="30"/>
        <v>253425</v>
      </c>
      <c r="T165" s="69">
        <f t="shared" si="33"/>
        <v>18278.333333333332</v>
      </c>
      <c r="U165" s="67">
        <v>0</v>
      </c>
      <c r="V165" s="71">
        <f t="shared" si="31"/>
        <v>274175</v>
      </c>
      <c r="X165" s="452"/>
      <c r="Y165" s="531">
        <f t="shared" si="32"/>
        <v>274175</v>
      </c>
      <c r="Z165" s="452"/>
      <c r="AA165" s="452"/>
      <c r="AB165" s="452"/>
      <c r="AC165" s="452"/>
      <c r="AD165" s="452"/>
      <c r="AE165" s="452"/>
      <c r="AF165" s="452"/>
      <c r="AG165" s="452"/>
      <c r="AH165" s="452"/>
      <c r="AI165" s="452"/>
      <c r="AJ165" s="452"/>
      <c r="AK165" s="452"/>
      <c r="AL165" s="452"/>
      <c r="AM165" s="452"/>
      <c r="AN165" s="452"/>
      <c r="AO165" s="452"/>
      <c r="AP165" s="452"/>
      <c r="AQ165" s="452"/>
      <c r="AR165" s="452"/>
      <c r="AS165" s="452"/>
      <c r="AT165" s="452"/>
      <c r="AU165" s="452"/>
      <c r="AV165" s="452"/>
      <c r="AW165" s="452"/>
      <c r="AX165" s="452"/>
    </row>
    <row r="166" spans="1:50" s="26" customFormat="1" ht="30" x14ac:dyDescent="0.25">
      <c r="A166" s="57">
        <v>5</v>
      </c>
      <c r="B166" s="57">
        <v>24110</v>
      </c>
      <c r="C166" s="57">
        <v>2411150</v>
      </c>
      <c r="D166" s="56">
        <v>24111502</v>
      </c>
      <c r="E166" s="55">
        <v>52</v>
      </c>
      <c r="F166" s="76" t="s">
        <v>250</v>
      </c>
      <c r="G166" s="57" t="s">
        <v>71</v>
      </c>
      <c r="H166" s="57"/>
      <c r="I166" s="57"/>
      <c r="J166" s="77">
        <v>115</v>
      </c>
      <c r="K166" s="75">
        <v>3920</v>
      </c>
      <c r="L166" s="67">
        <v>0</v>
      </c>
      <c r="M166" s="201">
        <f t="shared" si="28"/>
        <v>450800</v>
      </c>
      <c r="N166" s="211">
        <v>3900</v>
      </c>
      <c r="O166" s="210">
        <v>0</v>
      </c>
      <c r="P166" s="247">
        <f t="shared" si="29"/>
        <v>448500</v>
      </c>
      <c r="Q166" s="75">
        <v>2790</v>
      </c>
      <c r="R166" s="67">
        <v>0</v>
      </c>
      <c r="S166" s="68">
        <f t="shared" si="30"/>
        <v>320850</v>
      </c>
      <c r="T166" s="69">
        <f t="shared" si="33"/>
        <v>3536.6666666666665</v>
      </c>
      <c r="U166" s="67">
        <v>0</v>
      </c>
      <c r="V166" s="71">
        <f t="shared" si="31"/>
        <v>406716.66666666663</v>
      </c>
      <c r="X166" s="452"/>
      <c r="Y166" s="531">
        <f t="shared" si="32"/>
        <v>406716.66666666663</v>
      </c>
      <c r="Z166" s="452"/>
      <c r="AA166" s="452"/>
      <c r="AB166" s="452"/>
      <c r="AC166" s="452"/>
      <c r="AD166" s="452"/>
      <c r="AE166" s="452"/>
      <c r="AF166" s="452"/>
      <c r="AG166" s="452"/>
      <c r="AH166" s="452"/>
      <c r="AI166" s="452"/>
      <c r="AJ166" s="452"/>
      <c r="AK166" s="452"/>
      <c r="AL166" s="452"/>
      <c r="AM166" s="452"/>
      <c r="AN166" s="452"/>
      <c r="AO166" s="452"/>
      <c r="AP166" s="452"/>
      <c r="AQ166" s="452"/>
      <c r="AR166" s="452"/>
      <c r="AS166" s="452"/>
      <c r="AT166" s="452"/>
      <c r="AU166" s="452"/>
      <c r="AV166" s="452"/>
      <c r="AW166" s="452"/>
      <c r="AX166" s="452"/>
    </row>
    <row r="167" spans="1:50" s="26" customFormat="1" ht="30" x14ac:dyDescent="0.25">
      <c r="A167" s="57">
        <v>5</v>
      </c>
      <c r="B167" s="57">
        <v>24110</v>
      </c>
      <c r="C167" s="57">
        <v>2411150</v>
      </c>
      <c r="D167" s="56">
        <v>24111502</v>
      </c>
      <c r="E167" s="55">
        <v>53</v>
      </c>
      <c r="F167" s="76" t="s">
        <v>251</v>
      </c>
      <c r="G167" s="57" t="s">
        <v>71</v>
      </c>
      <c r="H167" s="57"/>
      <c r="I167" s="57"/>
      <c r="J167" s="77">
        <v>115</v>
      </c>
      <c r="K167" s="75">
        <v>4900</v>
      </c>
      <c r="L167" s="67">
        <v>0</v>
      </c>
      <c r="M167" s="201">
        <f t="shared" si="28"/>
        <v>563500</v>
      </c>
      <c r="N167" s="211">
        <v>5100</v>
      </c>
      <c r="O167" s="210">
        <v>0</v>
      </c>
      <c r="P167" s="247">
        <f t="shared" si="29"/>
        <v>586500</v>
      </c>
      <c r="Q167" s="75">
        <v>0</v>
      </c>
      <c r="R167" s="67">
        <v>0</v>
      </c>
      <c r="S167" s="68">
        <f t="shared" si="30"/>
        <v>0</v>
      </c>
      <c r="T167" s="69">
        <f>SUM(K167+N167+Q167)/2</f>
        <v>5000</v>
      </c>
      <c r="U167" s="67">
        <v>0</v>
      </c>
      <c r="V167" s="71">
        <f t="shared" si="31"/>
        <v>575000</v>
      </c>
      <c r="X167" s="452"/>
      <c r="Y167" s="531">
        <f t="shared" si="32"/>
        <v>575000</v>
      </c>
      <c r="Z167" s="452"/>
      <c r="AA167" s="452"/>
      <c r="AB167" s="452"/>
      <c r="AC167" s="452"/>
      <c r="AD167" s="452"/>
      <c r="AE167" s="452"/>
      <c r="AF167" s="452"/>
      <c r="AG167" s="452"/>
      <c r="AH167" s="452"/>
      <c r="AI167" s="452"/>
      <c r="AJ167" s="452"/>
      <c r="AK167" s="452"/>
      <c r="AL167" s="452"/>
      <c r="AM167" s="452"/>
      <c r="AN167" s="452"/>
      <c r="AO167" s="452"/>
      <c r="AP167" s="452"/>
      <c r="AQ167" s="452"/>
      <c r="AR167" s="452"/>
      <c r="AS167" s="452"/>
      <c r="AT167" s="452"/>
      <c r="AU167" s="452"/>
      <c r="AV167" s="452"/>
      <c r="AW167" s="452"/>
      <c r="AX167" s="452"/>
    </row>
    <row r="168" spans="1:50" s="26" customFormat="1" ht="15" x14ac:dyDescent="0.25">
      <c r="A168" s="57">
        <v>5</v>
      </c>
      <c r="B168" s="57">
        <v>23199</v>
      </c>
      <c r="C168" s="57">
        <v>15017155</v>
      </c>
      <c r="D168" s="56" t="s">
        <v>252</v>
      </c>
      <c r="E168" s="55">
        <v>54</v>
      </c>
      <c r="F168" s="76" t="s">
        <v>253</v>
      </c>
      <c r="G168" s="57" t="s">
        <v>197</v>
      </c>
      <c r="H168" s="57"/>
      <c r="I168" s="57"/>
      <c r="J168" s="77">
        <v>25</v>
      </c>
      <c r="K168" s="75">
        <v>0</v>
      </c>
      <c r="L168" s="67">
        <v>0</v>
      </c>
      <c r="M168" s="201">
        <f t="shared" si="28"/>
        <v>0</v>
      </c>
      <c r="N168" s="211">
        <v>40000</v>
      </c>
      <c r="O168" s="210">
        <v>0</v>
      </c>
      <c r="P168" s="247">
        <f t="shared" si="29"/>
        <v>1000000</v>
      </c>
      <c r="Q168" s="75">
        <v>38750</v>
      </c>
      <c r="R168" s="67">
        <v>0</v>
      </c>
      <c r="S168" s="68">
        <f t="shared" si="30"/>
        <v>968750</v>
      </c>
      <c r="T168" s="69">
        <f>SUM(K168+N168+Q168)/2</f>
        <v>39375</v>
      </c>
      <c r="U168" s="67">
        <v>0</v>
      </c>
      <c r="V168" s="78">
        <f t="shared" si="31"/>
        <v>984375</v>
      </c>
      <c r="X168" s="452"/>
      <c r="Y168" s="531">
        <f t="shared" si="32"/>
        <v>984375</v>
      </c>
      <c r="Z168" s="452"/>
      <c r="AA168" s="452"/>
      <c r="AB168" s="452"/>
      <c r="AC168" s="452"/>
      <c r="AD168" s="452"/>
      <c r="AE168" s="452"/>
      <c r="AF168" s="452"/>
      <c r="AG168" s="452"/>
      <c r="AH168" s="452"/>
      <c r="AI168" s="452"/>
      <c r="AJ168" s="452"/>
      <c r="AK168" s="452"/>
      <c r="AL168" s="452"/>
      <c r="AM168" s="452"/>
      <c r="AN168" s="452"/>
      <c r="AO168" s="452"/>
      <c r="AP168" s="452"/>
      <c r="AQ168" s="452"/>
      <c r="AR168" s="452"/>
      <c r="AS168" s="452"/>
      <c r="AT168" s="452"/>
      <c r="AU168" s="452"/>
      <c r="AV168" s="452"/>
      <c r="AW168" s="452"/>
      <c r="AX168" s="452"/>
    </row>
    <row r="169" spans="1:50" s="26" customFormat="1" ht="15.6" x14ac:dyDescent="0.3">
      <c r="A169" s="125">
        <v>5</v>
      </c>
      <c r="B169" s="126">
        <v>150192904</v>
      </c>
      <c r="C169" s="2">
        <v>237120</v>
      </c>
      <c r="D169" s="127" t="s">
        <v>254</v>
      </c>
      <c r="E169" s="125">
        <v>55</v>
      </c>
      <c r="F169" s="128" t="s">
        <v>255</v>
      </c>
      <c r="G169" s="129" t="s">
        <v>256</v>
      </c>
      <c r="H169" s="129"/>
      <c r="I169" s="129"/>
      <c r="J169" s="3">
        <v>10</v>
      </c>
      <c r="K169" s="130">
        <v>33700</v>
      </c>
      <c r="L169" s="131">
        <v>0</v>
      </c>
      <c r="M169" s="202">
        <f>K169*J169</f>
        <v>337000</v>
      </c>
      <c r="N169" s="202">
        <v>36100</v>
      </c>
      <c r="O169" s="177">
        <v>0</v>
      </c>
      <c r="P169" s="204">
        <f>N169*J169</f>
        <v>361000</v>
      </c>
      <c r="Q169" s="130">
        <v>0</v>
      </c>
      <c r="R169" s="131">
        <v>0</v>
      </c>
      <c r="S169" s="132">
        <f>Q169*J169</f>
        <v>0</v>
      </c>
      <c r="T169" s="132">
        <v>0</v>
      </c>
      <c r="U169" s="131">
        <v>0</v>
      </c>
      <c r="V169" s="132">
        <f>T169*J169</f>
        <v>0</v>
      </c>
      <c r="W169" s="130">
        <f>(K169+N169)/2</f>
        <v>34900</v>
      </c>
      <c r="X169" s="424">
        <v>0</v>
      </c>
      <c r="Y169" s="406">
        <f>W169*J169</f>
        <v>349000</v>
      </c>
      <c r="Z169" s="452"/>
      <c r="AA169" s="452"/>
      <c r="AB169" s="452"/>
      <c r="AC169" s="452"/>
      <c r="AD169" s="452"/>
      <c r="AE169" s="452"/>
      <c r="AF169" s="452"/>
      <c r="AG169" s="452"/>
      <c r="AH169" s="452"/>
      <c r="AI169" s="452"/>
      <c r="AJ169" s="452"/>
      <c r="AK169" s="452"/>
      <c r="AL169" s="452"/>
      <c r="AM169" s="452"/>
      <c r="AN169" s="452"/>
      <c r="AO169" s="452"/>
      <c r="AP169" s="452"/>
      <c r="AQ169" s="452"/>
      <c r="AR169" s="452"/>
      <c r="AS169" s="452"/>
      <c r="AT169" s="452"/>
      <c r="AU169" s="452"/>
      <c r="AV169" s="452"/>
      <c r="AW169" s="452"/>
      <c r="AX169" s="452"/>
    </row>
    <row r="170" spans="1:50" s="26" customFormat="1" ht="15.6" x14ac:dyDescent="0.3">
      <c r="A170" s="133">
        <v>5</v>
      </c>
      <c r="B170" s="126">
        <v>150192904</v>
      </c>
      <c r="C170" s="2" t="s">
        <v>257</v>
      </c>
      <c r="D170" s="127" t="s">
        <v>254</v>
      </c>
      <c r="E170" s="125">
        <v>56</v>
      </c>
      <c r="F170" s="128" t="s">
        <v>258</v>
      </c>
      <c r="G170" s="129" t="s">
        <v>29</v>
      </c>
      <c r="H170" s="129"/>
      <c r="I170" s="129"/>
      <c r="J170" s="3">
        <v>10</v>
      </c>
      <c r="K170" s="130">
        <v>28000</v>
      </c>
      <c r="L170" s="131">
        <v>0</v>
      </c>
      <c r="M170" s="202">
        <f t="shared" ref="M170:M217" si="34">K170*J170</f>
        <v>280000</v>
      </c>
      <c r="N170" s="202">
        <v>29900</v>
      </c>
      <c r="O170" s="177">
        <v>0</v>
      </c>
      <c r="P170" s="204">
        <f t="shared" ref="P170:P217" si="35">N170*J170</f>
        <v>299000</v>
      </c>
      <c r="Q170" s="130">
        <v>0</v>
      </c>
      <c r="R170" s="131">
        <v>0</v>
      </c>
      <c r="S170" s="132">
        <f t="shared" ref="S170:S217" si="36">Q170*J170</f>
        <v>0</v>
      </c>
      <c r="T170" s="132">
        <v>0</v>
      </c>
      <c r="U170" s="131">
        <v>0</v>
      </c>
      <c r="V170" s="132">
        <f t="shared" ref="V170:V217" si="37">T170*J170</f>
        <v>0</v>
      </c>
      <c r="W170" s="130">
        <f>(K170+N170)/2</f>
        <v>28950</v>
      </c>
      <c r="X170" s="424">
        <v>0</v>
      </c>
      <c r="Y170" s="406">
        <f t="shared" ref="Y170:Y217" si="38">W170*J170</f>
        <v>289500</v>
      </c>
      <c r="Z170" s="452"/>
      <c r="AA170" s="452"/>
      <c r="AB170" s="452"/>
      <c r="AC170" s="452"/>
      <c r="AD170" s="452"/>
      <c r="AE170" s="452"/>
      <c r="AF170" s="452"/>
      <c r="AG170" s="452"/>
      <c r="AH170" s="452"/>
      <c r="AI170" s="452"/>
      <c r="AJ170" s="452"/>
      <c r="AK170" s="452"/>
      <c r="AL170" s="452"/>
      <c r="AM170" s="452"/>
      <c r="AN170" s="452"/>
      <c r="AO170" s="452"/>
      <c r="AP170" s="452"/>
      <c r="AQ170" s="452"/>
      <c r="AR170" s="452"/>
      <c r="AS170" s="452"/>
      <c r="AT170" s="452"/>
      <c r="AU170" s="452"/>
      <c r="AV170" s="452"/>
      <c r="AW170" s="452"/>
      <c r="AX170" s="452"/>
    </row>
    <row r="171" spans="1:50" s="26" customFormat="1" ht="15.6" x14ac:dyDescent="0.3">
      <c r="A171" s="133">
        <v>5</v>
      </c>
      <c r="B171" s="126">
        <v>150192904</v>
      </c>
      <c r="C171" s="2" t="s">
        <v>259</v>
      </c>
      <c r="D171" s="127">
        <v>10151701</v>
      </c>
      <c r="E171" s="125">
        <v>57</v>
      </c>
      <c r="F171" s="128" t="s">
        <v>260</v>
      </c>
      <c r="G171" s="129" t="s">
        <v>261</v>
      </c>
      <c r="H171" s="129"/>
      <c r="I171" s="129"/>
      <c r="J171" s="3">
        <v>10</v>
      </c>
      <c r="K171" s="130">
        <v>1600</v>
      </c>
      <c r="L171" s="131">
        <v>0</v>
      </c>
      <c r="M171" s="202">
        <f t="shared" si="34"/>
        <v>16000</v>
      </c>
      <c r="N171" s="202">
        <v>2100</v>
      </c>
      <c r="O171" s="177">
        <v>0</v>
      </c>
      <c r="P171" s="204">
        <f t="shared" si="35"/>
        <v>21000</v>
      </c>
      <c r="Q171" s="130">
        <v>0</v>
      </c>
      <c r="R171" s="131">
        <v>0</v>
      </c>
      <c r="S171" s="132">
        <f t="shared" si="36"/>
        <v>0</v>
      </c>
      <c r="T171" s="132">
        <v>0</v>
      </c>
      <c r="U171" s="131">
        <v>0</v>
      </c>
      <c r="V171" s="132">
        <f t="shared" si="37"/>
        <v>0</v>
      </c>
      <c r="W171" s="130">
        <f t="shared" ref="W171:W172" si="39">(K171+N171)/2</f>
        <v>1850</v>
      </c>
      <c r="X171" s="424">
        <v>0</v>
      </c>
      <c r="Y171" s="406">
        <f t="shared" si="38"/>
        <v>18500</v>
      </c>
      <c r="Z171" s="452"/>
      <c r="AA171" s="452"/>
      <c r="AB171" s="452"/>
      <c r="AC171" s="452"/>
      <c r="AD171" s="452"/>
      <c r="AE171" s="452"/>
      <c r="AF171" s="452"/>
      <c r="AG171" s="452"/>
      <c r="AH171" s="452"/>
      <c r="AI171" s="452"/>
      <c r="AJ171" s="452"/>
      <c r="AK171" s="452"/>
      <c r="AL171" s="452"/>
      <c r="AM171" s="452"/>
      <c r="AN171" s="452"/>
      <c r="AO171" s="452"/>
      <c r="AP171" s="452"/>
      <c r="AQ171" s="452"/>
      <c r="AR171" s="452"/>
      <c r="AS171" s="452"/>
      <c r="AT171" s="452"/>
      <c r="AU171" s="452"/>
      <c r="AV171" s="452"/>
      <c r="AW171" s="452"/>
      <c r="AX171" s="452"/>
    </row>
    <row r="172" spans="1:50" s="26" customFormat="1" ht="15.6" x14ac:dyDescent="0.3">
      <c r="A172" s="133">
        <v>5</v>
      </c>
      <c r="B172" s="126">
        <v>150192904</v>
      </c>
      <c r="C172" s="2" t="s">
        <v>262</v>
      </c>
      <c r="D172" s="127">
        <v>50161509</v>
      </c>
      <c r="E172" s="125">
        <v>58</v>
      </c>
      <c r="F172" s="128" t="s">
        <v>263</v>
      </c>
      <c r="G172" s="129" t="s">
        <v>261</v>
      </c>
      <c r="H172" s="129"/>
      <c r="I172" s="129"/>
      <c r="J172" s="3">
        <v>10</v>
      </c>
      <c r="K172" s="130">
        <v>1700</v>
      </c>
      <c r="L172" s="131">
        <v>0</v>
      </c>
      <c r="M172" s="202">
        <f t="shared" si="34"/>
        <v>17000</v>
      </c>
      <c r="N172" s="202">
        <v>2100</v>
      </c>
      <c r="O172" s="177">
        <v>0</v>
      </c>
      <c r="P172" s="204">
        <f t="shared" si="35"/>
        <v>21000</v>
      </c>
      <c r="Q172" s="130">
        <v>0</v>
      </c>
      <c r="R172" s="131">
        <v>0</v>
      </c>
      <c r="S172" s="132">
        <f t="shared" si="36"/>
        <v>0</v>
      </c>
      <c r="T172" s="132">
        <v>0</v>
      </c>
      <c r="U172" s="131">
        <v>0</v>
      </c>
      <c r="V172" s="132">
        <f t="shared" si="37"/>
        <v>0</v>
      </c>
      <c r="W172" s="130">
        <f t="shared" si="39"/>
        <v>1900</v>
      </c>
      <c r="X172" s="424">
        <v>0</v>
      </c>
      <c r="Y172" s="406">
        <f t="shared" si="38"/>
        <v>19000</v>
      </c>
      <c r="Z172" s="452"/>
      <c r="AA172" s="452"/>
      <c r="AB172" s="452"/>
      <c r="AC172" s="452"/>
      <c r="AD172" s="452"/>
      <c r="AE172" s="452"/>
      <c r="AF172" s="452"/>
      <c r="AG172" s="452"/>
      <c r="AH172" s="452"/>
      <c r="AI172" s="452"/>
      <c r="AJ172" s="452"/>
      <c r="AK172" s="452"/>
      <c r="AL172" s="452"/>
      <c r="AM172" s="452"/>
      <c r="AN172" s="452"/>
      <c r="AO172" s="452"/>
      <c r="AP172" s="452"/>
      <c r="AQ172" s="452"/>
      <c r="AR172" s="452"/>
      <c r="AS172" s="452"/>
      <c r="AT172" s="452"/>
      <c r="AU172" s="452"/>
      <c r="AV172" s="452"/>
      <c r="AW172" s="452"/>
      <c r="AX172" s="452"/>
    </row>
    <row r="173" spans="1:50" s="26" customFormat="1" ht="15.6" x14ac:dyDescent="0.3">
      <c r="A173" s="133">
        <v>5</v>
      </c>
      <c r="B173" s="126">
        <v>150192904</v>
      </c>
      <c r="C173" s="2" t="s">
        <v>264</v>
      </c>
      <c r="D173" s="127">
        <v>50112011</v>
      </c>
      <c r="E173" s="125">
        <v>59</v>
      </c>
      <c r="F173" s="128" t="s">
        <v>265</v>
      </c>
      <c r="G173" s="129" t="s">
        <v>266</v>
      </c>
      <c r="H173" s="129"/>
      <c r="I173" s="129"/>
      <c r="J173" s="3">
        <v>10</v>
      </c>
      <c r="K173" s="130">
        <v>0</v>
      </c>
      <c r="L173" s="131">
        <v>0</v>
      </c>
      <c r="M173" s="202">
        <f t="shared" si="34"/>
        <v>0</v>
      </c>
      <c r="N173" s="202">
        <v>20700</v>
      </c>
      <c r="O173" s="177">
        <v>0</v>
      </c>
      <c r="P173" s="204">
        <f t="shared" si="35"/>
        <v>207000</v>
      </c>
      <c r="Q173" s="130">
        <v>17990</v>
      </c>
      <c r="R173" s="131">
        <v>0</v>
      </c>
      <c r="S173" s="132">
        <f t="shared" si="36"/>
        <v>179900</v>
      </c>
      <c r="T173" s="132">
        <v>0</v>
      </c>
      <c r="U173" s="131">
        <v>0</v>
      </c>
      <c r="V173" s="132">
        <f t="shared" si="37"/>
        <v>0</v>
      </c>
      <c r="W173" s="130">
        <f>(Q173+N173)/2</f>
        <v>19345</v>
      </c>
      <c r="X173" s="424">
        <v>0</v>
      </c>
      <c r="Y173" s="406">
        <f t="shared" si="38"/>
        <v>193450</v>
      </c>
      <c r="Z173" s="452"/>
      <c r="AA173" s="452"/>
      <c r="AB173" s="452"/>
      <c r="AC173" s="452"/>
      <c r="AD173" s="452"/>
      <c r="AE173" s="452"/>
      <c r="AF173" s="452"/>
      <c r="AG173" s="452"/>
      <c r="AH173" s="452"/>
      <c r="AI173" s="452"/>
      <c r="AJ173" s="452"/>
      <c r="AK173" s="452"/>
      <c r="AL173" s="452"/>
      <c r="AM173" s="452"/>
      <c r="AN173" s="452"/>
      <c r="AO173" s="452"/>
      <c r="AP173" s="452"/>
      <c r="AQ173" s="452"/>
      <c r="AR173" s="452"/>
      <c r="AS173" s="452"/>
      <c r="AT173" s="452"/>
      <c r="AU173" s="452"/>
      <c r="AV173" s="452"/>
      <c r="AW173" s="452"/>
      <c r="AX173" s="452"/>
    </row>
    <row r="174" spans="1:50" s="26" customFormat="1" ht="15.6" x14ac:dyDescent="0.3">
      <c r="A174" s="133">
        <v>5</v>
      </c>
      <c r="B174" s="126">
        <v>150121553</v>
      </c>
      <c r="C174" s="2" t="s">
        <v>267</v>
      </c>
      <c r="D174" s="127">
        <v>50121600</v>
      </c>
      <c r="E174" s="125">
        <v>60</v>
      </c>
      <c r="F174" s="128" t="s">
        <v>268</v>
      </c>
      <c r="G174" s="129" t="s">
        <v>269</v>
      </c>
      <c r="H174" s="129"/>
      <c r="I174" s="129"/>
      <c r="J174" s="3">
        <v>10</v>
      </c>
      <c r="K174" s="130">
        <v>42500</v>
      </c>
      <c r="L174" s="131">
        <v>0</v>
      </c>
      <c r="M174" s="202">
        <f t="shared" si="34"/>
        <v>425000</v>
      </c>
      <c r="N174" s="202">
        <v>62800</v>
      </c>
      <c r="O174" s="177">
        <v>0</v>
      </c>
      <c r="P174" s="204">
        <f t="shared" si="35"/>
        <v>628000</v>
      </c>
      <c r="Q174" s="130">
        <v>0</v>
      </c>
      <c r="R174" s="131">
        <v>0</v>
      </c>
      <c r="S174" s="132">
        <f t="shared" si="36"/>
        <v>0</v>
      </c>
      <c r="T174" s="132">
        <v>0</v>
      </c>
      <c r="U174" s="131">
        <v>0</v>
      </c>
      <c r="V174" s="132">
        <f t="shared" si="37"/>
        <v>0</v>
      </c>
      <c r="W174" s="130">
        <f>(K174+N174)/2</f>
        <v>52650</v>
      </c>
      <c r="X174" s="424">
        <v>0</v>
      </c>
      <c r="Y174" s="406">
        <f t="shared" si="38"/>
        <v>526500</v>
      </c>
      <c r="Z174" s="452"/>
      <c r="AA174" s="452"/>
      <c r="AB174" s="452"/>
      <c r="AC174" s="452"/>
      <c r="AD174" s="452"/>
      <c r="AE174" s="452"/>
      <c r="AF174" s="452"/>
      <c r="AG174" s="452"/>
      <c r="AH174" s="452"/>
      <c r="AI174" s="452"/>
      <c r="AJ174" s="452"/>
      <c r="AK174" s="452"/>
      <c r="AL174" s="452"/>
      <c r="AM174" s="452"/>
      <c r="AN174" s="452"/>
      <c r="AO174" s="452"/>
      <c r="AP174" s="452"/>
      <c r="AQ174" s="452"/>
      <c r="AR174" s="452"/>
      <c r="AS174" s="452"/>
      <c r="AT174" s="452"/>
      <c r="AU174" s="452"/>
      <c r="AV174" s="452"/>
      <c r="AW174" s="452"/>
      <c r="AX174" s="452"/>
    </row>
    <row r="175" spans="1:50" s="26" customFormat="1" ht="15.6" x14ac:dyDescent="0.3">
      <c r="A175" s="133">
        <v>5</v>
      </c>
      <c r="B175" s="126">
        <v>150111505</v>
      </c>
      <c r="C175" s="2" t="s">
        <v>270</v>
      </c>
      <c r="D175" s="127">
        <v>50111514</v>
      </c>
      <c r="E175" s="125">
        <v>61</v>
      </c>
      <c r="F175" s="128" t="s">
        <v>271</v>
      </c>
      <c r="G175" s="129" t="s">
        <v>269</v>
      </c>
      <c r="H175" s="129"/>
      <c r="I175" s="129"/>
      <c r="J175" s="3">
        <v>10</v>
      </c>
      <c r="K175" s="130">
        <v>19000</v>
      </c>
      <c r="L175" s="131">
        <v>0</v>
      </c>
      <c r="M175" s="202">
        <f t="shared" si="34"/>
        <v>190000</v>
      </c>
      <c r="N175" s="202">
        <v>22280</v>
      </c>
      <c r="O175" s="177">
        <v>0</v>
      </c>
      <c r="P175" s="204">
        <f t="shared" si="35"/>
        <v>222800</v>
      </c>
      <c r="Q175" s="130">
        <v>0</v>
      </c>
      <c r="R175" s="131">
        <v>0</v>
      </c>
      <c r="S175" s="132">
        <f t="shared" si="36"/>
        <v>0</v>
      </c>
      <c r="T175" s="132">
        <v>0</v>
      </c>
      <c r="U175" s="131">
        <v>0</v>
      </c>
      <c r="V175" s="132">
        <f t="shared" si="37"/>
        <v>0</v>
      </c>
      <c r="W175" s="130">
        <f>(K175+N175)/2</f>
        <v>20640</v>
      </c>
      <c r="X175" s="424">
        <v>0</v>
      </c>
      <c r="Y175" s="406">
        <f t="shared" si="38"/>
        <v>206400</v>
      </c>
      <c r="Z175" s="452"/>
      <c r="AA175" s="452"/>
      <c r="AB175" s="452"/>
      <c r="AC175" s="452"/>
      <c r="AD175" s="452"/>
      <c r="AE175" s="452"/>
      <c r="AF175" s="452"/>
      <c r="AG175" s="452"/>
      <c r="AH175" s="452"/>
      <c r="AI175" s="452"/>
      <c r="AJ175" s="452"/>
      <c r="AK175" s="452"/>
      <c r="AL175" s="452"/>
      <c r="AM175" s="452"/>
      <c r="AN175" s="452"/>
      <c r="AO175" s="452"/>
      <c r="AP175" s="452"/>
      <c r="AQ175" s="452"/>
      <c r="AR175" s="452"/>
      <c r="AS175" s="452"/>
      <c r="AT175" s="452"/>
      <c r="AU175" s="452"/>
      <c r="AV175" s="452"/>
      <c r="AW175" s="452"/>
      <c r="AX175" s="452"/>
    </row>
    <row r="176" spans="1:50" s="26" customFormat="1" ht="15.6" x14ac:dyDescent="0.3">
      <c r="A176" s="133">
        <v>5</v>
      </c>
      <c r="B176" s="126">
        <v>150111505</v>
      </c>
      <c r="C176" s="2" t="s">
        <v>272</v>
      </c>
      <c r="D176" s="127">
        <v>50111513</v>
      </c>
      <c r="E176" s="125">
        <v>62</v>
      </c>
      <c r="F176" s="128" t="s">
        <v>273</v>
      </c>
      <c r="G176" s="129" t="s">
        <v>269</v>
      </c>
      <c r="H176" s="129"/>
      <c r="I176" s="129"/>
      <c r="J176" s="3">
        <v>10</v>
      </c>
      <c r="K176" s="130">
        <v>22000</v>
      </c>
      <c r="L176" s="131">
        <v>0</v>
      </c>
      <c r="M176" s="202">
        <f t="shared" si="34"/>
        <v>220000</v>
      </c>
      <c r="N176" s="202">
        <v>27100</v>
      </c>
      <c r="O176" s="177">
        <v>0</v>
      </c>
      <c r="P176" s="204">
        <f t="shared" si="35"/>
        <v>271000</v>
      </c>
      <c r="Q176" s="130">
        <v>0</v>
      </c>
      <c r="R176" s="131">
        <v>0</v>
      </c>
      <c r="S176" s="132">
        <f t="shared" si="36"/>
        <v>0</v>
      </c>
      <c r="T176" s="132">
        <v>0</v>
      </c>
      <c r="U176" s="131">
        <v>0</v>
      </c>
      <c r="V176" s="132">
        <f t="shared" si="37"/>
        <v>0</v>
      </c>
      <c r="W176" s="130">
        <f>(K176+N176)/2</f>
        <v>24550</v>
      </c>
      <c r="X176" s="424">
        <v>0</v>
      </c>
      <c r="Y176" s="406">
        <f t="shared" si="38"/>
        <v>245500</v>
      </c>
      <c r="Z176" s="452"/>
      <c r="AA176" s="452"/>
      <c r="AB176" s="452"/>
      <c r="AC176" s="452"/>
      <c r="AD176" s="452"/>
      <c r="AE176" s="452"/>
      <c r="AF176" s="452"/>
      <c r="AG176" s="452"/>
      <c r="AH176" s="452"/>
      <c r="AI176" s="452"/>
      <c r="AJ176" s="452"/>
      <c r="AK176" s="452"/>
      <c r="AL176" s="452"/>
      <c r="AM176" s="452"/>
      <c r="AN176" s="452"/>
      <c r="AO176" s="452"/>
      <c r="AP176" s="452"/>
      <c r="AQ176" s="452"/>
      <c r="AR176" s="452"/>
      <c r="AS176" s="452"/>
      <c r="AT176" s="452"/>
      <c r="AU176" s="452"/>
      <c r="AV176" s="452"/>
      <c r="AW176" s="452"/>
      <c r="AX176" s="452"/>
    </row>
    <row r="177" spans="1:50" s="26" customFormat="1" ht="15.6" x14ac:dyDescent="0.3">
      <c r="A177" s="133">
        <v>5</v>
      </c>
      <c r="B177" s="126">
        <v>150111505</v>
      </c>
      <c r="C177" s="2" t="s">
        <v>274</v>
      </c>
      <c r="D177" s="127">
        <v>50111513</v>
      </c>
      <c r="E177" s="125">
        <v>63</v>
      </c>
      <c r="F177" s="128" t="s">
        <v>275</v>
      </c>
      <c r="G177" s="129" t="s">
        <v>261</v>
      </c>
      <c r="H177" s="129"/>
      <c r="I177" s="129"/>
      <c r="J177" s="3">
        <v>10</v>
      </c>
      <c r="K177" s="130">
        <v>17000</v>
      </c>
      <c r="L177" s="131">
        <v>0</v>
      </c>
      <c r="M177" s="202">
        <f t="shared" si="34"/>
        <v>170000</v>
      </c>
      <c r="N177" s="202">
        <v>23590</v>
      </c>
      <c r="O177" s="177">
        <v>0</v>
      </c>
      <c r="P177" s="204">
        <f t="shared" si="35"/>
        <v>235900</v>
      </c>
      <c r="Q177" s="130">
        <v>0</v>
      </c>
      <c r="R177" s="131">
        <v>0</v>
      </c>
      <c r="S177" s="132">
        <f t="shared" si="36"/>
        <v>0</v>
      </c>
      <c r="T177" s="132">
        <v>0</v>
      </c>
      <c r="U177" s="131">
        <v>0</v>
      </c>
      <c r="V177" s="132">
        <f t="shared" si="37"/>
        <v>0</v>
      </c>
      <c r="W177" s="130">
        <f t="shared" ref="W177" si="40">(K177+N177)/2</f>
        <v>20295</v>
      </c>
      <c r="X177" s="424">
        <v>0</v>
      </c>
      <c r="Y177" s="406">
        <f t="shared" si="38"/>
        <v>202950</v>
      </c>
      <c r="Z177" s="452"/>
      <c r="AA177" s="452"/>
      <c r="AB177" s="452"/>
      <c r="AC177" s="452"/>
      <c r="AD177" s="452"/>
      <c r="AE177" s="452"/>
      <c r="AF177" s="452"/>
      <c r="AG177" s="452"/>
      <c r="AH177" s="452"/>
      <c r="AI177" s="452"/>
      <c r="AJ177" s="452"/>
      <c r="AK177" s="452"/>
      <c r="AL177" s="452"/>
      <c r="AM177" s="452"/>
      <c r="AN177" s="452"/>
      <c r="AO177" s="452"/>
      <c r="AP177" s="452"/>
      <c r="AQ177" s="452"/>
      <c r="AR177" s="452"/>
      <c r="AS177" s="452"/>
      <c r="AT177" s="452"/>
      <c r="AU177" s="452"/>
      <c r="AV177" s="452"/>
      <c r="AW177" s="452"/>
      <c r="AX177" s="452"/>
    </row>
    <row r="178" spans="1:50" s="26" customFormat="1" ht="15.6" x14ac:dyDescent="0.3">
      <c r="A178" s="133">
        <v>5</v>
      </c>
      <c r="B178" s="126">
        <v>150111608</v>
      </c>
      <c r="C178" s="2" t="s">
        <v>276</v>
      </c>
      <c r="D178" s="127">
        <v>50111518</v>
      </c>
      <c r="E178" s="125">
        <v>64</v>
      </c>
      <c r="F178" s="128" t="s">
        <v>277</v>
      </c>
      <c r="G178" s="129" t="s">
        <v>269</v>
      </c>
      <c r="H178" s="129"/>
      <c r="I178" s="129"/>
      <c r="J178" s="3">
        <v>10</v>
      </c>
      <c r="K178" s="130">
        <v>26800</v>
      </c>
      <c r="L178" s="131">
        <v>0</v>
      </c>
      <c r="M178" s="202">
        <f t="shared" si="34"/>
        <v>268000</v>
      </c>
      <c r="N178" s="202">
        <v>33700</v>
      </c>
      <c r="O178" s="177">
        <v>0</v>
      </c>
      <c r="P178" s="204">
        <f t="shared" si="35"/>
        <v>337000</v>
      </c>
      <c r="Q178" s="130">
        <v>0</v>
      </c>
      <c r="R178" s="131">
        <v>0</v>
      </c>
      <c r="S178" s="132">
        <f t="shared" si="36"/>
        <v>0</v>
      </c>
      <c r="T178" s="132">
        <v>0</v>
      </c>
      <c r="U178" s="131">
        <v>0</v>
      </c>
      <c r="V178" s="132">
        <f t="shared" si="37"/>
        <v>0</v>
      </c>
      <c r="W178" s="130">
        <f>(K178+N178)/2</f>
        <v>30250</v>
      </c>
      <c r="X178" s="424">
        <v>0</v>
      </c>
      <c r="Y178" s="406">
        <f t="shared" si="38"/>
        <v>302500</v>
      </c>
      <c r="Z178" s="452"/>
      <c r="AA178" s="452"/>
      <c r="AB178" s="452"/>
      <c r="AC178" s="452"/>
      <c r="AD178" s="452"/>
      <c r="AE178" s="452"/>
      <c r="AF178" s="452"/>
      <c r="AG178" s="452"/>
      <c r="AH178" s="452"/>
      <c r="AI178" s="452"/>
      <c r="AJ178" s="452"/>
      <c r="AK178" s="452"/>
      <c r="AL178" s="452"/>
      <c r="AM178" s="452"/>
      <c r="AN178" s="452"/>
      <c r="AO178" s="452"/>
      <c r="AP178" s="452"/>
      <c r="AQ178" s="452"/>
      <c r="AR178" s="452"/>
      <c r="AS178" s="452"/>
      <c r="AT178" s="452"/>
      <c r="AU178" s="452"/>
      <c r="AV178" s="452"/>
      <c r="AW178" s="452"/>
      <c r="AX178" s="452"/>
    </row>
    <row r="179" spans="1:50" s="26" customFormat="1" ht="15.6" x14ac:dyDescent="0.3">
      <c r="A179" s="133">
        <v>5</v>
      </c>
      <c r="B179" s="126">
        <v>150111505</v>
      </c>
      <c r="C179" s="2" t="s">
        <v>278</v>
      </c>
      <c r="D179" s="127">
        <v>50111515</v>
      </c>
      <c r="E179" s="125">
        <v>65</v>
      </c>
      <c r="F179" s="128" t="s">
        <v>279</v>
      </c>
      <c r="G179" s="129" t="s">
        <v>269</v>
      </c>
      <c r="H179" s="129"/>
      <c r="I179" s="129"/>
      <c r="J179" s="3">
        <v>10</v>
      </c>
      <c r="K179" s="130">
        <v>11200</v>
      </c>
      <c r="L179" s="131">
        <v>0</v>
      </c>
      <c r="M179" s="202">
        <f t="shared" si="34"/>
        <v>112000</v>
      </c>
      <c r="N179" s="202">
        <v>11070</v>
      </c>
      <c r="O179" s="177">
        <v>0</v>
      </c>
      <c r="P179" s="204">
        <f t="shared" si="35"/>
        <v>110700</v>
      </c>
      <c r="Q179" s="130">
        <v>0</v>
      </c>
      <c r="R179" s="131">
        <v>0</v>
      </c>
      <c r="S179" s="132">
        <f t="shared" si="36"/>
        <v>0</v>
      </c>
      <c r="T179" s="132">
        <v>0</v>
      </c>
      <c r="U179" s="131">
        <v>0</v>
      </c>
      <c r="V179" s="132">
        <f t="shared" si="37"/>
        <v>0</v>
      </c>
      <c r="W179" s="130">
        <f>(K179+N179)/2</f>
        <v>11135</v>
      </c>
      <c r="X179" s="424">
        <v>0</v>
      </c>
      <c r="Y179" s="406">
        <f t="shared" si="38"/>
        <v>111350</v>
      </c>
      <c r="Z179" s="452"/>
      <c r="AA179" s="452"/>
      <c r="AB179" s="452"/>
      <c r="AC179" s="452"/>
      <c r="AD179" s="452"/>
      <c r="AE179" s="452"/>
      <c r="AF179" s="452"/>
      <c r="AG179" s="452"/>
      <c r="AH179" s="452"/>
      <c r="AI179" s="452"/>
      <c r="AJ179" s="452"/>
      <c r="AK179" s="452"/>
      <c r="AL179" s="452"/>
      <c r="AM179" s="452"/>
      <c r="AN179" s="452"/>
      <c r="AO179" s="452"/>
      <c r="AP179" s="452"/>
      <c r="AQ179" s="452"/>
      <c r="AR179" s="452"/>
      <c r="AS179" s="452"/>
      <c r="AT179" s="452"/>
      <c r="AU179" s="452"/>
      <c r="AV179" s="452"/>
      <c r="AW179" s="452"/>
      <c r="AX179" s="452"/>
    </row>
    <row r="180" spans="1:50" s="26" customFormat="1" ht="15.6" x14ac:dyDescent="0.3">
      <c r="A180" s="133">
        <v>5</v>
      </c>
      <c r="B180" s="126">
        <v>150111505</v>
      </c>
      <c r="C180" s="2" t="s">
        <v>280</v>
      </c>
      <c r="D180" s="127">
        <v>50111514</v>
      </c>
      <c r="E180" s="125">
        <v>66</v>
      </c>
      <c r="F180" s="128" t="s">
        <v>281</v>
      </c>
      <c r="G180" s="129" t="s">
        <v>269</v>
      </c>
      <c r="H180" s="129"/>
      <c r="I180" s="129"/>
      <c r="J180" s="3">
        <v>10</v>
      </c>
      <c r="K180" s="130">
        <v>20000</v>
      </c>
      <c r="L180" s="131">
        <v>0</v>
      </c>
      <c r="M180" s="202">
        <f t="shared" si="34"/>
        <v>200000</v>
      </c>
      <c r="N180" s="202">
        <v>17020</v>
      </c>
      <c r="O180" s="177">
        <v>0</v>
      </c>
      <c r="P180" s="204">
        <f t="shared" si="35"/>
        <v>170200</v>
      </c>
      <c r="Q180" s="130">
        <v>0</v>
      </c>
      <c r="R180" s="131">
        <v>0</v>
      </c>
      <c r="S180" s="132">
        <f t="shared" si="36"/>
        <v>0</v>
      </c>
      <c r="T180" s="132">
        <v>0</v>
      </c>
      <c r="U180" s="131">
        <v>0</v>
      </c>
      <c r="V180" s="132">
        <f t="shared" si="37"/>
        <v>0</v>
      </c>
      <c r="W180" s="130">
        <f>(K180+N180)/2</f>
        <v>18510</v>
      </c>
      <c r="X180" s="424">
        <v>0</v>
      </c>
      <c r="Y180" s="406">
        <f t="shared" si="38"/>
        <v>185100</v>
      </c>
      <c r="Z180" s="452"/>
      <c r="AA180" s="452"/>
      <c r="AB180" s="452"/>
      <c r="AC180" s="452"/>
      <c r="AD180" s="452"/>
      <c r="AE180" s="452"/>
      <c r="AF180" s="452"/>
      <c r="AG180" s="452"/>
      <c r="AH180" s="452"/>
      <c r="AI180" s="452"/>
      <c r="AJ180" s="452"/>
      <c r="AK180" s="452"/>
      <c r="AL180" s="452"/>
      <c r="AM180" s="452"/>
      <c r="AN180" s="452"/>
      <c r="AO180" s="452"/>
      <c r="AP180" s="452"/>
      <c r="AQ180" s="452"/>
      <c r="AR180" s="452"/>
      <c r="AS180" s="452"/>
      <c r="AT180" s="452"/>
      <c r="AU180" s="452"/>
      <c r="AV180" s="452"/>
      <c r="AW180" s="452"/>
      <c r="AX180" s="452"/>
    </row>
    <row r="181" spans="1:50" s="26" customFormat="1" ht="28.8" x14ac:dyDescent="0.3">
      <c r="A181" s="133">
        <v>5</v>
      </c>
      <c r="B181" s="126">
        <v>150131713</v>
      </c>
      <c r="C181" s="2" t="s">
        <v>282</v>
      </c>
      <c r="D181" s="127">
        <v>50131702</v>
      </c>
      <c r="E181" s="125">
        <v>67</v>
      </c>
      <c r="F181" s="128" t="s">
        <v>283</v>
      </c>
      <c r="G181" s="129" t="s">
        <v>284</v>
      </c>
      <c r="H181" s="129"/>
      <c r="I181" s="129"/>
      <c r="J181" s="3">
        <v>10</v>
      </c>
      <c r="K181" s="130">
        <v>0</v>
      </c>
      <c r="L181" s="131">
        <v>0</v>
      </c>
      <c r="M181" s="202">
        <f t="shared" si="34"/>
        <v>0</v>
      </c>
      <c r="N181" s="202">
        <v>16210</v>
      </c>
      <c r="O181" s="177">
        <v>0</v>
      </c>
      <c r="P181" s="204">
        <f t="shared" si="35"/>
        <v>162100</v>
      </c>
      <c r="Q181" s="130">
        <v>15990</v>
      </c>
      <c r="R181" s="131">
        <v>0</v>
      </c>
      <c r="S181" s="132">
        <f t="shared" si="36"/>
        <v>159900</v>
      </c>
      <c r="T181" s="132">
        <v>0</v>
      </c>
      <c r="U181" s="131">
        <v>0</v>
      </c>
      <c r="V181" s="132">
        <f t="shared" si="37"/>
        <v>0</v>
      </c>
      <c r="W181" s="130">
        <f>(Q181+N181)/2</f>
        <v>16100</v>
      </c>
      <c r="X181" s="424">
        <v>0</v>
      </c>
      <c r="Y181" s="406">
        <f t="shared" si="38"/>
        <v>161000</v>
      </c>
      <c r="Z181" s="452"/>
      <c r="AA181" s="452"/>
      <c r="AB181" s="452"/>
      <c r="AC181" s="452"/>
      <c r="AD181" s="452"/>
      <c r="AE181" s="452"/>
      <c r="AF181" s="452"/>
      <c r="AG181" s="452"/>
      <c r="AH181" s="452"/>
      <c r="AI181" s="452"/>
      <c r="AJ181" s="452"/>
      <c r="AK181" s="452"/>
      <c r="AL181" s="452"/>
      <c r="AM181" s="452"/>
      <c r="AN181" s="452"/>
      <c r="AO181" s="452"/>
      <c r="AP181" s="452"/>
      <c r="AQ181" s="452"/>
      <c r="AR181" s="452"/>
      <c r="AS181" s="452"/>
      <c r="AT181" s="452"/>
      <c r="AU181" s="452"/>
      <c r="AV181" s="452"/>
      <c r="AW181" s="452"/>
      <c r="AX181" s="452"/>
    </row>
    <row r="182" spans="1:50" s="26" customFormat="1" ht="15.6" x14ac:dyDescent="0.3">
      <c r="A182" s="133">
        <v>5</v>
      </c>
      <c r="B182" s="126">
        <v>150192904</v>
      </c>
      <c r="C182" s="2" t="s">
        <v>285</v>
      </c>
      <c r="D182" s="127">
        <v>50171550</v>
      </c>
      <c r="E182" s="125">
        <v>68</v>
      </c>
      <c r="F182" s="128" t="s">
        <v>286</v>
      </c>
      <c r="G182" s="129" t="s">
        <v>261</v>
      </c>
      <c r="H182" s="129"/>
      <c r="I182" s="129"/>
      <c r="J182" s="3">
        <v>10</v>
      </c>
      <c r="K182" s="130">
        <v>0</v>
      </c>
      <c r="L182" s="131">
        <v>0</v>
      </c>
      <c r="M182" s="202">
        <f t="shared" si="34"/>
        <v>0</v>
      </c>
      <c r="N182" s="202">
        <v>150300</v>
      </c>
      <c r="O182" s="177">
        <v>0</v>
      </c>
      <c r="P182" s="204">
        <f t="shared" si="35"/>
        <v>1503000</v>
      </c>
      <c r="Q182" s="130">
        <v>49750</v>
      </c>
      <c r="R182" s="131">
        <v>0</v>
      </c>
      <c r="S182" s="132">
        <f t="shared" si="36"/>
        <v>497500</v>
      </c>
      <c r="T182" s="132">
        <v>0</v>
      </c>
      <c r="U182" s="131">
        <v>0</v>
      </c>
      <c r="V182" s="132">
        <f t="shared" si="37"/>
        <v>0</v>
      </c>
      <c r="W182" s="130">
        <f>(Q182+N182)/2</f>
        <v>100025</v>
      </c>
      <c r="X182" s="424">
        <v>0</v>
      </c>
      <c r="Y182" s="406">
        <f t="shared" si="38"/>
        <v>1000250</v>
      </c>
      <c r="Z182" s="452"/>
      <c r="AA182" s="452"/>
      <c r="AB182" s="452"/>
      <c r="AC182" s="452"/>
      <c r="AD182" s="452"/>
      <c r="AE182" s="452"/>
      <c r="AF182" s="452"/>
      <c r="AG182" s="452"/>
      <c r="AH182" s="452"/>
      <c r="AI182" s="452"/>
      <c r="AJ182" s="452"/>
      <c r="AK182" s="452"/>
      <c r="AL182" s="452"/>
      <c r="AM182" s="452"/>
      <c r="AN182" s="452"/>
      <c r="AO182" s="452"/>
      <c r="AP182" s="452"/>
      <c r="AQ182" s="452"/>
      <c r="AR182" s="452"/>
      <c r="AS182" s="452"/>
      <c r="AT182" s="452"/>
      <c r="AU182" s="452"/>
      <c r="AV182" s="452"/>
      <c r="AW182" s="452"/>
      <c r="AX182" s="452"/>
    </row>
    <row r="183" spans="1:50" s="26" customFormat="1" ht="15.6" x14ac:dyDescent="0.3">
      <c r="A183" s="133">
        <v>5</v>
      </c>
      <c r="B183" s="126">
        <v>150192904</v>
      </c>
      <c r="C183" s="2" t="s">
        <v>287</v>
      </c>
      <c r="D183" s="127">
        <v>50192902</v>
      </c>
      <c r="E183" s="125">
        <v>69</v>
      </c>
      <c r="F183" s="128" t="s">
        <v>288</v>
      </c>
      <c r="G183" s="129" t="s">
        <v>269</v>
      </c>
      <c r="H183" s="129"/>
      <c r="I183" s="129"/>
      <c r="J183" s="3">
        <v>10</v>
      </c>
      <c r="K183" s="130">
        <v>6450</v>
      </c>
      <c r="L183" s="131">
        <v>0</v>
      </c>
      <c r="M183" s="202">
        <f t="shared" si="34"/>
        <v>64500</v>
      </c>
      <c r="N183" s="202">
        <v>13700</v>
      </c>
      <c r="O183" s="177">
        <v>0</v>
      </c>
      <c r="P183" s="204">
        <f t="shared" si="35"/>
        <v>137000</v>
      </c>
      <c r="Q183" s="130">
        <v>0</v>
      </c>
      <c r="R183" s="131">
        <v>0</v>
      </c>
      <c r="S183" s="132">
        <f t="shared" si="36"/>
        <v>0</v>
      </c>
      <c r="T183" s="132">
        <v>0</v>
      </c>
      <c r="U183" s="131">
        <v>0</v>
      </c>
      <c r="V183" s="132">
        <f t="shared" si="37"/>
        <v>0</v>
      </c>
      <c r="W183" s="130">
        <f>(N183+K183)/2</f>
        <v>10075</v>
      </c>
      <c r="X183" s="424">
        <v>0</v>
      </c>
      <c r="Y183" s="406">
        <f t="shared" si="38"/>
        <v>100750</v>
      </c>
      <c r="Z183" s="452"/>
      <c r="AA183" s="452"/>
      <c r="AB183" s="452"/>
      <c r="AC183" s="452"/>
      <c r="AD183" s="452"/>
      <c r="AE183" s="452"/>
      <c r="AF183" s="452"/>
      <c r="AG183" s="452"/>
      <c r="AH183" s="452"/>
      <c r="AI183" s="452"/>
      <c r="AJ183" s="452"/>
      <c r="AK183" s="452"/>
      <c r="AL183" s="452"/>
      <c r="AM183" s="452"/>
      <c r="AN183" s="452"/>
      <c r="AO183" s="452"/>
      <c r="AP183" s="452"/>
      <c r="AQ183" s="452"/>
      <c r="AR183" s="452"/>
      <c r="AS183" s="452"/>
      <c r="AT183" s="452"/>
      <c r="AU183" s="452"/>
      <c r="AV183" s="452"/>
      <c r="AW183" s="452"/>
      <c r="AX183" s="452"/>
    </row>
    <row r="184" spans="1:50" s="26" customFormat="1" ht="15.6" x14ac:dyDescent="0.3">
      <c r="A184" s="134">
        <v>5</v>
      </c>
      <c r="B184" s="126">
        <v>150121552</v>
      </c>
      <c r="C184" s="2" t="s">
        <v>289</v>
      </c>
      <c r="D184" s="127">
        <v>50121500</v>
      </c>
      <c r="E184" s="125">
        <v>70</v>
      </c>
      <c r="F184" s="128" t="s">
        <v>290</v>
      </c>
      <c r="G184" s="129" t="s">
        <v>269</v>
      </c>
      <c r="H184" s="129"/>
      <c r="I184" s="129"/>
      <c r="J184" s="3">
        <v>10</v>
      </c>
      <c r="K184" s="130">
        <v>0</v>
      </c>
      <c r="L184" s="131">
        <v>0</v>
      </c>
      <c r="M184" s="202">
        <f t="shared" si="34"/>
        <v>0</v>
      </c>
      <c r="N184" s="202">
        <v>0</v>
      </c>
      <c r="O184" s="177">
        <v>0</v>
      </c>
      <c r="P184" s="204">
        <f t="shared" si="35"/>
        <v>0</v>
      </c>
      <c r="Q184" s="130">
        <v>71830</v>
      </c>
      <c r="R184" s="131">
        <v>0</v>
      </c>
      <c r="S184" s="132">
        <f t="shared" si="36"/>
        <v>718300</v>
      </c>
      <c r="T184" s="132">
        <v>65600</v>
      </c>
      <c r="U184" s="131">
        <v>0</v>
      </c>
      <c r="V184" s="132">
        <f t="shared" si="37"/>
        <v>656000</v>
      </c>
      <c r="W184" s="130">
        <f>(Q184+T184)/2</f>
        <v>68715</v>
      </c>
      <c r="X184" s="424">
        <v>0</v>
      </c>
      <c r="Y184" s="406">
        <f t="shared" si="38"/>
        <v>687150</v>
      </c>
      <c r="Z184" s="452"/>
      <c r="AA184" s="452"/>
      <c r="AB184" s="452"/>
      <c r="AC184" s="452"/>
      <c r="AD184" s="452"/>
      <c r="AE184" s="452"/>
      <c r="AF184" s="452"/>
      <c r="AG184" s="452"/>
      <c r="AH184" s="452"/>
      <c r="AI184" s="452"/>
      <c r="AJ184" s="452"/>
      <c r="AK184" s="452"/>
      <c r="AL184" s="452"/>
      <c r="AM184" s="452"/>
      <c r="AN184" s="452"/>
      <c r="AO184" s="452"/>
      <c r="AP184" s="452"/>
      <c r="AQ184" s="452"/>
      <c r="AR184" s="452"/>
      <c r="AS184" s="452"/>
      <c r="AT184" s="452"/>
      <c r="AU184" s="452"/>
      <c r="AV184" s="452"/>
      <c r="AW184" s="452"/>
      <c r="AX184" s="452"/>
    </row>
    <row r="185" spans="1:50" s="26" customFormat="1" ht="15.6" x14ac:dyDescent="0.3">
      <c r="A185" s="135">
        <v>5</v>
      </c>
      <c r="B185" s="126">
        <v>150121552</v>
      </c>
      <c r="C185" s="2" t="s">
        <v>291</v>
      </c>
      <c r="D185" s="127">
        <v>50121500</v>
      </c>
      <c r="E185" s="125">
        <v>71</v>
      </c>
      <c r="F185" s="128" t="s">
        <v>292</v>
      </c>
      <c r="G185" s="129" t="s">
        <v>269</v>
      </c>
      <c r="H185" s="129"/>
      <c r="I185" s="129"/>
      <c r="J185" s="3">
        <v>10</v>
      </c>
      <c r="K185" s="130">
        <v>67500</v>
      </c>
      <c r="L185" s="131">
        <v>0</v>
      </c>
      <c r="M185" s="202">
        <f t="shared" si="34"/>
        <v>675000</v>
      </c>
      <c r="N185" s="202">
        <v>0</v>
      </c>
      <c r="O185" s="177">
        <v>0</v>
      </c>
      <c r="P185" s="204">
        <f t="shared" si="35"/>
        <v>0</v>
      </c>
      <c r="Q185" s="130">
        <v>81290</v>
      </c>
      <c r="R185" s="131">
        <v>0</v>
      </c>
      <c r="S185" s="132">
        <f t="shared" si="36"/>
        <v>812900</v>
      </c>
      <c r="T185" s="132">
        <v>0</v>
      </c>
      <c r="U185" s="131">
        <v>0</v>
      </c>
      <c r="V185" s="132">
        <f t="shared" si="37"/>
        <v>0</v>
      </c>
      <c r="W185" s="130">
        <f>(Q185+K185)/2</f>
        <v>74395</v>
      </c>
      <c r="X185" s="424">
        <v>0</v>
      </c>
      <c r="Y185" s="406">
        <f t="shared" si="38"/>
        <v>743950</v>
      </c>
      <c r="Z185" s="452"/>
      <c r="AA185" s="452"/>
      <c r="AB185" s="452"/>
      <c r="AC185" s="452"/>
      <c r="AD185" s="452"/>
      <c r="AE185" s="452"/>
      <c r="AF185" s="452"/>
      <c r="AG185" s="452"/>
      <c r="AH185" s="452"/>
      <c r="AI185" s="452"/>
      <c r="AJ185" s="452"/>
      <c r="AK185" s="452"/>
      <c r="AL185" s="452"/>
      <c r="AM185" s="452"/>
      <c r="AN185" s="452"/>
      <c r="AO185" s="452"/>
      <c r="AP185" s="452"/>
      <c r="AQ185" s="452"/>
      <c r="AR185" s="452"/>
      <c r="AS185" s="452"/>
      <c r="AT185" s="452"/>
      <c r="AU185" s="452"/>
      <c r="AV185" s="452"/>
      <c r="AW185" s="452"/>
      <c r="AX185" s="452"/>
    </row>
    <row r="186" spans="1:50" s="26" customFormat="1" ht="15.6" x14ac:dyDescent="0.3">
      <c r="A186" s="135">
        <v>5</v>
      </c>
      <c r="B186" s="126">
        <v>150192904</v>
      </c>
      <c r="C186" s="2" t="s">
        <v>293</v>
      </c>
      <c r="D186" s="127">
        <v>10151501</v>
      </c>
      <c r="E186" s="125">
        <v>72</v>
      </c>
      <c r="F186" s="128" t="s">
        <v>294</v>
      </c>
      <c r="G186" s="129" t="s">
        <v>269</v>
      </c>
      <c r="H186" s="129"/>
      <c r="I186" s="129"/>
      <c r="J186" s="3">
        <v>10</v>
      </c>
      <c r="K186" s="130">
        <v>12500</v>
      </c>
      <c r="L186" s="131">
        <v>0</v>
      </c>
      <c r="M186" s="202">
        <f t="shared" si="34"/>
        <v>125000</v>
      </c>
      <c r="N186" s="202">
        <v>16110</v>
      </c>
      <c r="O186" s="177">
        <v>0</v>
      </c>
      <c r="P186" s="204">
        <f t="shared" si="35"/>
        <v>161100</v>
      </c>
      <c r="Q186" s="130">
        <v>0</v>
      </c>
      <c r="R186" s="131">
        <v>0</v>
      </c>
      <c r="S186" s="132">
        <f t="shared" si="36"/>
        <v>0</v>
      </c>
      <c r="T186" s="132">
        <v>0</v>
      </c>
      <c r="U186" s="131">
        <v>0</v>
      </c>
      <c r="V186" s="132">
        <f t="shared" si="37"/>
        <v>0</v>
      </c>
      <c r="W186" s="130">
        <f>(N186+K186)/2</f>
        <v>14305</v>
      </c>
      <c r="X186" s="424">
        <v>0</v>
      </c>
      <c r="Y186" s="406">
        <f t="shared" si="38"/>
        <v>143050</v>
      </c>
      <c r="Z186" s="452"/>
      <c r="AA186" s="452"/>
      <c r="AB186" s="452"/>
      <c r="AC186" s="452"/>
      <c r="AD186" s="452"/>
      <c r="AE186" s="452"/>
      <c r="AF186" s="452"/>
      <c r="AG186" s="452"/>
      <c r="AH186" s="452"/>
      <c r="AI186" s="452"/>
      <c r="AJ186" s="452"/>
      <c r="AK186" s="452"/>
      <c r="AL186" s="452"/>
      <c r="AM186" s="452"/>
      <c r="AN186" s="452"/>
      <c r="AO186" s="452"/>
      <c r="AP186" s="452"/>
      <c r="AQ186" s="452"/>
      <c r="AR186" s="452"/>
      <c r="AS186" s="452"/>
      <c r="AT186" s="452"/>
      <c r="AU186" s="452"/>
      <c r="AV186" s="452"/>
      <c r="AW186" s="452"/>
      <c r="AX186" s="452"/>
    </row>
    <row r="187" spans="1:50" s="26" customFormat="1" ht="15.6" x14ac:dyDescent="0.3">
      <c r="A187" s="135">
        <v>5</v>
      </c>
      <c r="B187" s="126">
        <v>142281606</v>
      </c>
      <c r="C187" s="2" t="s">
        <v>295</v>
      </c>
      <c r="D187" s="127">
        <v>47131803</v>
      </c>
      <c r="E187" s="125">
        <v>73</v>
      </c>
      <c r="F187" s="128" t="s">
        <v>296</v>
      </c>
      <c r="G187" s="129" t="s">
        <v>297</v>
      </c>
      <c r="H187" s="129"/>
      <c r="I187" s="129"/>
      <c r="J187" s="3">
        <v>5</v>
      </c>
      <c r="K187" s="130">
        <v>0</v>
      </c>
      <c r="L187" s="131">
        <v>0</v>
      </c>
      <c r="M187" s="202">
        <f t="shared" si="34"/>
        <v>0</v>
      </c>
      <c r="N187" s="202">
        <v>240300</v>
      </c>
      <c r="O187" s="177">
        <v>0</v>
      </c>
      <c r="P187" s="204">
        <f t="shared" si="35"/>
        <v>1201500</v>
      </c>
      <c r="Q187" s="130">
        <v>0</v>
      </c>
      <c r="R187" s="131">
        <v>0</v>
      </c>
      <c r="S187" s="132">
        <f t="shared" si="36"/>
        <v>0</v>
      </c>
      <c r="T187" s="132">
        <v>7904</v>
      </c>
      <c r="U187" s="131">
        <v>0</v>
      </c>
      <c r="V187" s="132">
        <f t="shared" si="37"/>
        <v>39520</v>
      </c>
      <c r="W187" s="130">
        <f>(N187+T187)/2</f>
        <v>124102</v>
      </c>
      <c r="X187" s="424">
        <v>0</v>
      </c>
      <c r="Y187" s="406">
        <f t="shared" si="38"/>
        <v>620510</v>
      </c>
      <c r="Z187" s="452"/>
      <c r="AA187" s="452"/>
      <c r="AB187" s="452"/>
      <c r="AC187" s="452"/>
      <c r="AD187" s="452"/>
      <c r="AE187" s="452"/>
      <c r="AF187" s="452"/>
      <c r="AG187" s="452"/>
      <c r="AH187" s="452"/>
      <c r="AI187" s="452"/>
      <c r="AJ187" s="452"/>
      <c r="AK187" s="452"/>
      <c r="AL187" s="452"/>
      <c r="AM187" s="452"/>
      <c r="AN187" s="452"/>
      <c r="AO187" s="452"/>
      <c r="AP187" s="452"/>
      <c r="AQ187" s="452"/>
      <c r="AR187" s="452"/>
      <c r="AS187" s="452"/>
      <c r="AT187" s="452"/>
      <c r="AU187" s="452"/>
      <c r="AV187" s="452"/>
      <c r="AW187" s="452"/>
      <c r="AX187" s="452"/>
    </row>
    <row r="188" spans="1:50" s="26" customFormat="1" ht="15.6" x14ac:dyDescent="0.3">
      <c r="A188" s="135">
        <v>5</v>
      </c>
      <c r="B188" s="126">
        <v>147122123</v>
      </c>
      <c r="C188" s="2" t="s">
        <v>298</v>
      </c>
      <c r="D188" s="127">
        <v>73131701</v>
      </c>
      <c r="E188" s="125">
        <v>74</v>
      </c>
      <c r="F188" s="128" t="s">
        <v>299</v>
      </c>
      <c r="G188" s="129" t="s">
        <v>297</v>
      </c>
      <c r="H188" s="129"/>
      <c r="I188" s="129"/>
      <c r="J188" s="3">
        <v>10</v>
      </c>
      <c r="K188" s="130">
        <v>0</v>
      </c>
      <c r="L188" s="131">
        <v>0</v>
      </c>
      <c r="M188" s="202">
        <f t="shared" si="34"/>
        <v>0</v>
      </c>
      <c r="N188" s="202">
        <v>61300</v>
      </c>
      <c r="O188" s="177">
        <v>0</v>
      </c>
      <c r="P188" s="204">
        <f t="shared" si="35"/>
        <v>613000</v>
      </c>
      <c r="Q188" s="130">
        <v>0</v>
      </c>
      <c r="R188" s="131">
        <v>0</v>
      </c>
      <c r="S188" s="132">
        <f t="shared" si="36"/>
        <v>0</v>
      </c>
      <c r="T188" s="132">
        <v>27900</v>
      </c>
      <c r="U188" s="131">
        <v>0</v>
      </c>
      <c r="V188" s="132">
        <f t="shared" si="37"/>
        <v>279000</v>
      </c>
      <c r="W188" s="130">
        <f>(N188+T188)/2</f>
        <v>44600</v>
      </c>
      <c r="X188" s="424">
        <v>0</v>
      </c>
      <c r="Y188" s="406">
        <f t="shared" si="38"/>
        <v>446000</v>
      </c>
      <c r="Z188" s="452"/>
      <c r="AA188" s="452"/>
      <c r="AB188" s="452"/>
      <c r="AC188" s="452"/>
      <c r="AD188" s="452"/>
      <c r="AE188" s="452"/>
      <c r="AF188" s="452"/>
      <c r="AG188" s="452"/>
      <c r="AH188" s="452"/>
      <c r="AI188" s="452"/>
      <c r="AJ188" s="452"/>
      <c r="AK188" s="452"/>
      <c r="AL188" s="452"/>
      <c r="AM188" s="452"/>
      <c r="AN188" s="452"/>
      <c r="AO188" s="452"/>
      <c r="AP188" s="452"/>
      <c r="AQ188" s="452"/>
      <c r="AR188" s="452"/>
      <c r="AS188" s="452"/>
      <c r="AT188" s="452"/>
      <c r="AU188" s="452"/>
      <c r="AV188" s="452"/>
      <c r="AW188" s="452"/>
      <c r="AX188" s="452"/>
    </row>
    <row r="189" spans="1:50" s="26" customFormat="1" ht="15.6" x14ac:dyDescent="0.3">
      <c r="A189" s="135">
        <v>5</v>
      </c>
      <c r="B189" s="126">
        <v>150111608</v>
      </c>
      <c r="C189" s="2" t="s">
        <v>300</v>
      </c>
      <c r="D189" s="127" t="s">
        <v>301</v>
      </c>
      <c r="E189" s="125">
        <v>75</v>
      </c>
      <c r="F189" s="128" t="s">
        <v>302</v>
      </c>
      <c r="G189" s="129" t="s">
        <v>269</v>
      </c>
      <c r="H189" s="129"/>
      <c r="I189" s="129"/>
      <c r="J189" s="3">
        <v>10</v>
      </c>
      <c r="K189" s="130">
        <v>23800</v>
      </c>
      <c r="L189" s="131">
        <v>0</v>
      </c>
      <c r="M189" s="202">
        <f t="shared" si="34"/>
        <v>238000</v>
      </c>
      <c r="N189" s="202">
        <v>36150</v>
      </c>
      <c r="O189" s="177">
        <v>0</v>
      </c>
      <c r="P189" s="204">
        <f t="shared" si="35"/>
        <v>361500</v>
      </c>
      <c r="Q189" s="130">
        <v>0</v>
      </c>
      <c r="R189" s="131">
        <v>0</v>
      </c>
      <c r="S189" s="132">
        <f t="shared" si="36"/>
        <v>0</v>
      </c>
      <c r="T189" s="132">
        <v>0</v>
      </c>
      <c r="U189" s="131">
        <v>0</v>
      </c>
      <c r="V189" s="132">
        <f t="shared" si="37"/>
        <v>0</v>
      </c>
      <c r="W189" s="130">
        <f>(N189+K189)/2</f>
        <v>29975</v>
      </c>
      <c r="X189" s="424">
        <v>0</v>
      </c>
      <c r="Y189" s="406">
        <f t="shared" si="38"/>
        <v>299750</v>
      </c>
      <c r="Z189" s="452"/>
      <c r="AA189" s="452"/>
      <c r="AB189" s="452"/>
      <c r="AC189" s="452"/>
      <c r="AD189" s="452"/>
      <c r="AE189" s="452"/>
      <c r="AF189" s="452"/>
      <c r="AG189" s="452"/>
      <c r="AH189" s="452"/>
      <c r="AI189" s="452"/>
      <c r="AJ189" s="452"/>
      <c r="AK189" s="452"/>
      <c r="AL189" s="452"/>
      <c r="AM189" s="452"/>
      <c r="AN189" s="452"/>
      <c r="AO189" s="452"/>
      <c r="AP189" s="452"/>
      <c r="AQ189" s="452"/>
      <c r="AR189" s="452"/>
      <c r="AS189" s="452"/>
      <c r="AT189" s="452"/>
      <c r="AU189" s="452"/>
      <c r="AV189" s="452"/>
      <c r="AW189" s="452"/>
      <c r="AX189" s="452"/>
    </row>
    <row r="190" spans="1:50" s="26" customFormat="1" ht="15.6" x14ac:dyDescent="0.3">
      <c r="A190" s="135">
        <v>5</v>
      </c>
      <c r="B190" s="126">
        <v>150121553</v>
      </c>
      <c r="C190" s="2" t="s">
        <v>303</v>
      </c>
      <c r="D190" s="127">
        <v>50121600</v>
      </c>
      <c r="E190" s="125">
        <v>76</v>
      </c>
      <c r="F190" s="128" t="s">
        <v>304</v>
      </c>
      <c r="G190" s="129" t="s">
        <v>269</v>
      </c>
      <c r="H190" s="129"/>
      <c r="I190" s="129"/>
      <c r="J190" s="3">
        <v>10</v>
      </c>
      <c r="K190" s="130">
        <v>0</v>
      </c>
      <c r="L190" s="131">
        <v>0</v>
      </c>
      <c r="M190" s="202">
        <f t="shared" si="34"/>
        <v>0</v>
      </c>
      <c r="N190" s="202">
        <v>454300</v>
      </c>
      <c r="O190" s="177">
        <v>0</v>
      </c>
      <c r="P190" s="204">
        <f t="shared" si="35"/>
        <v>4543000</v>
      </c>
      <c r="Q190" s="130">
        <v>0</v>
      </c>
      <c r="R190" s="131">
        <v>0</v>
      </c>
      <c r="S190" s="132">
        <f t="shared" si="36"/>
        <v>0</v>
      </c>
      <c r="T190" s="132">
        <v>89120</v>
      </c>
      <c r="U190" s="131">
        <v>0</v>
      </c>
      <c r="V190" s="132">
        <f t="shared" si="37"/>
        <v>891200</v>
      </c>
      <c r="W190" s="130">
        <f>(N190+T190)/2</f>
        <v>271710</v>
      </c>
      <c r="X190" s="424">
        <v>0</v>
      </c>
      <c r="Y190" s="406">
        <f t="shared" si="38"/>
        <v>2717100</v>
      </c>
      <c r="Z190" s="452"/>
      <c r="AA190" s="452"/>
      <c r="AB190" s="452"/>
      <c r="AC190" s="452"/>
      <c r="AD190" s="452"/>
      <c r="AE190" s="452"/>
      <c r="AF190" s="452"/>
      <c r="AG190" s="452"/>
      <c r="AH190" s="452"/>
      <c r="AI190" s="452"/>
      <c r="AJ190" s="452"/>
      <c r="AK190" s="452"/>
      <c r="AL190" s="452"/>
      <c r="AM190" s="452"/>
      <c r="AN190" s="452"/>
      <c r="AO190" s="452"/>
      <c r="AP190" s="452"/>
      <c r="AQ190" s="452"/>
      <c r="AR190" s="452"/>
      <c r="AS190" s="452"/>
      <c r="AT190" s="452"/>
      <c r="AU190" s="452"/>
      <c r="AV190" s="452"/>
      <c r="AW190" s="452"/>
      <c r="AX190" s="452"/>
    </row>
    <row r="191" spans="1:50" s="26" customFormat="1" ht="15.6" x14ac:dyDescent="0.3">
      <c r="A191" s="135">
        <v>5</v>
      </c>
      <c r="B191" s="126">
        <v>150192904</v>
      </c>
      <c r="C191" s="2" t="s">
        <v>305</v>
      </c>
      <c r="D191" s="127">
        <v>50404503</v>
      </c>
      <c r="E191" s="125">
        <v>77</v>
      </c>
      <c r="F191" s="128" t="s">
        <v>306</v>
      </c>
      <c r="G191" s="129" t="s">
        <v>261</v>
      </c>
      <c r="H191" s="129"/>
      <c r="I191" s="129"/>
      <c r="J191" s="3">
        <v>10</v>
      </c>
      <c r="K191" s="130">
        <v>3100</v>
      </c>
      <c r="L191" s="131">
        <v>0</v>
      </c>
      <c r="M191" s="202">
        <f t="shared" si="34"/>
        <v>31000</v>
      </c>
      <c r="N191" s="202">
        <v>5880</v>
      </c>
      <c r="O191" s="177">
        <v>0</v>
      </c>
      <c r="P191" s="204">
        <f t="shared" si="35"/>
        <v>58800</v>
      </c>
      <c r="Q191" s="130">
        <v>0</v>
      </c>
      <c r="R191" s="131">
        <v>0</v>
      </c>
      <c r="S191" s="132">
        <f t="shared" si="36"/>
        <v>0</v>
      </c>
      <c r="T191" s="132">
        <v>0</v>
      </c>
      <c r="U191" s="131">
        <v>0</v>
      </c>
      <c r="V191" s="132">
        <f t="shared" si="37"/>
        <v>0</v>
      </c>
      <c r="W191" s="130">
        <f>(N191+K191)/2</f>
        <v>4490</v>
      </c>
      <c r="X191" s="424">
        <v>0</v>
      </c>
      <c r="Y191" s="406">
        <f t="shared" si="38"/>
        <v>44900</v>
      </c>
      <c r="Z191" s="452"/>
      <c r="AA191" s="452"/>
      <c r="AB191" s="452"/>
      <c r="AC191" s="452"/>
      <c r="AD191" s="452"/>
      <c r="AE191" s="452"/>
      <c r="AF191" s="452"/>
      <c r="AG191" s="452"/>
      <c r="AH191" s="452"/>
      <c r="AI191" s="452"/>
      <c r="AJ191" s="452"/>
      <c r="AK191" s="452"/>
      <c r="AL191" s="452"/>
      <c r="AM191" s="452"/>
      <c r="AN191" s="452"/>
      <c r="AO191" s="452"/>
      <c r="AP191" s="452"/>
      <c r="AQ191" s="452"/>
      <c r="AR191" s="452"/>
      <c r="AS191" s="452"/>
      <c r="AT191" s="452"/>
      <c r="AU191" s="452"/>
      <c r="AV191" s="452"/>
      <c r="AW191" s="452"/>
      <c r="AX191" s="452"/>
    </row>
    <row r="192" spans="1:50" s="26" customFormat="1" ht="15.6" x14ac:dyDescent="0.3">
      <c r="A192" s="135">
        <v>5</v>
      </c>
      <c r="B192" s="126">
        <v>150111505</v>
      </c>
      <c r="C192" s="2" t="s">
        <v>307</v>
      </c>
      <c r="D192" s="127">
        <v>50111513</v>
      </c>
      <c r="E192" s="125">
        <v>78</v>
      </c>
      <c r="F192" s="128" t="s">
        <v>308</v>
      </c>
      <c r="G192" s="129" t="s">
        <v>261</v>
      </c>
      <c r="H192" s="129"/>
      <c r="I192" s="129"/>
      <c r="J192" s="3">
        <v>10</v>
      </c>
      <c r="K192" s="130">
        <v>19000</v>
      </c>
      <c r="L192" s="131">
        <v>0</v>
      </c>
      <c r="M192" s="202">
        <f t="shared" si="34"/>
        <v>190000</v>
      </c>
      <c r="N192" s="202">
        <v>29600</v>
      </c>
      <c r="O192" s="177">
        <v>0</v>
      </c>
      <c r="P192" s="204">
        <f t="shared" si="35"/>
        <v>296000</v>
      </c>
      <c r="Q192" s="130">
        <v>0</v>
      </c>
      <c r="R192" s="131">
        <v>0</v>
      </c>
      <c r="S192" s="132">
        <f t="shared" si="36"/>
        <v>0</v>
      </c>
      <c r="T192" s="132">
        <v>0</v>
      </c>
      <c r="U192" s="131">
        <v>0</v>
      </c>
      <c r="V192" s="132">
        <f t="shared" si="37"/>
        <v>0</v>
      </c>
      <c r="W192" s="130">
        <f t="shared" ref="W192:W193" si="41">(N192+K192)/2</f>
        <v>24300</v>
      </c>
      <c r="X192" s="424">
        <v>0</v>
      </c>
      <c r="Y192" s="406">
        <f t="shared" si="38"/>
        <v>243000</v>
      </c>
      <c r="Z192" s="452"/>
      <c r="AA192" s="452"/>
      <c r="AB192" s="452"/>
      <c r="AC192" s="452"/>
      <c r="AD192" s="452"/>
      <c r="AE192" s="452"/>
      <c r="AF192" s="452"/>
      <c r="AG192" s="452"/>
      <c r="AH192" s="452"/>
      <c r="AI192" s="452"/>
      <c r="AJ192" s="452"/>
      <c r="AK192" s="452"/>
      <c r="AL192" s="452"/>
      <c r="AM192" s="452"/>
      <c r="AN192" s="452"/>
      <c r="AO192" s="452"/>
      <c r="AP192" s="452"/>
      <c r="AQ192" s="452"/>
      <c r="AR192" s="452"/>
      <c r="AS192" s="452"/>
      <c r="AT192" s="452"/>
      <c r="AU192" s="452"/>
      <c r="AV192" s="452"/>
      <c r="AW192" s="452"/>
      <c r="AX192" s="452"/>
    </row>
    <row r="193" spans="1:50" s="26" customFormat="1" ht="15.6" x14ac:dyDescent="0.3">
      <c r="A193" s="135">
        <v>5</v>
      </c>
      <c r="B193" s="126">
        <v>150131713</v>
      </c>
      <c r="C193" s="2" t="s">
        <v>309</v>
      </c>
      <c r="D193" s="127">
        <v>50121600</v>
      </c>
      <c r="E193" s="125">
        <v>79</v>
      </c>
      <c r="F193" s="128" t="s">
        <v>310</v>
      </c>
      <c r="G193" s="129" t="s">
        <v>261</v>
      </c>
      <c r="H193" s="129"/>
      <c r="I193" s="129"/>
      <c r="J193" s="3">
        <v>10</v>
      </c>
      <c r="K193" s="130">
        <v>7000</v>
      </c>
      <c r="L193" s="131">
        <v>0</v>
      </c>
      <c r="M193" s="202">
        <f t="shared" si="34"/>
        <v>70000</v>
      </c>
      <c r="N193" s="202">
        <v>36700</v>
      </c>
      <c r="O193" s="177">
        <v>0</v>
      </c>
      <c r="P193" s="204">
        <f t="shared" si="35"/>
        <v>367000</v>
      </c>
      <c r="Q193" s="130">
        <v>0</v>
      </c>
      <c r="R193" s="131">
        <v>0</v>
      </c>
      <c r="S193" s="132">
        <f t="shared" si="36"/>
        <v>0</v>
      </c>
      <c r="T193" s="132">
        <v>0</v>
      </c>
      <c r="U193" s="131">
        <v>0</v>
      </c>
      <c r="V193" s="132">
        <f t="shared" si="37"/>
        <v>0</v>
      </c>
      <c r="W193" s="130">
        <f t="shared" si="41"/>
        <v>21850</v>
      </c>
      <c r="X193" s="424">
        <v>0</v>
      </c>
      <c r="Y193" s="406">
        <f t="shared" si="38"/>
        <v>218500</v>
      </c>
      <c r="Z193" s="452"/>
      <c r="AA193" s="452"/>
      <c r="AB193" s="452"/>
      <c r="AC193" s="452"/>
      <c r="AD193" s="452"/>
      <c r="AE193" s="452"/>
      <c r="AF193" s="452"/>
      <c r="AG193" s="452"/>
      <c r="AH193" s="452"/>
      <c r="AI193" s="452"/>
      <c r="AJ193" s="452"/>
      <c r="AK193" s="452"/>
      <c r="AL193" s="452"/>
      <c r="AM193" s="452"/>
      <c r="AN193" s="452"/>
      <c r="AO193" s="452"/>
      <c r="AP193" s="452"/>
      <c r="AQ193" s="452"/>
      <c r="AR193" s="452"/>
      <c r="AS193" s="452"/>
      <c r="AT193" s="452"/>
      <c r="AU193" s="452"/>
      <c r="AV193" s="452"/>
      <c r="AW193" s="452"/>
      <c r="AX193" s="452"/>
    </row>
    <row r="194" spans="1:50" s="26" customFormat="1" ht="15.6" x14ac:dyDescent="0.3">
      <c r="A194" s="135">
        <v>5</v>
      </c>
      <c r="B194" s="126">
        <v>150192904</v>
      </c>
      <c r="C194" s="2" t="s">
        <v>311</v>
      </c>
      <c r="D194" s="127">
        <v>50171830</v>
      </c>
      <c r="E194" s="125">
        <v>80</v>
      </c>
      <c r="F194" s="128" t="s">
        <v>312</v>
      </c>
      <c r="G194" s="129" t="s">
        <v>313</v>
      </c>
      <c r="H194" s="129"/>
      <c r="I194" s="129"/>
      <c r="J194" s="3">
        <v>10</v>
      </c>
      <c r="K194" s="130">
        <v>0</v>
      </c>
      <c r="L194" s="131">
        <v>0</v>
      </c>
      <c r="M194" s="202">
        <f t="shared" si="34"/>
        <v>0</v>
      </c>
      <c r="N194" s="202">
        <v>50500</v>
      </c>
      <c r="O194" s="177">
        <v>0</v>
      </c>
      <c r="P194" s="204">
        <f t="shared" si="35"/>
        <v>505000</v>
      </c>
      <c r="Q194" s="130">
        <v>0</v>
      </c>
      <c r="R194" s="131">
        <v>0</v>
      </c>
      <c r="S194" s="132">
        <f t="shared" si="36"/>
        <v>0</v>
      </c>
      <c r="T194" s="132">
        <v>25900</v>
      </c>
      <c r="U194" s="131">
        <v>0</v>
      </c>
      <c r="V194" s="132">
        <f t="shared" si="37"/>
        <v>259000</v>
      </c>
      <c r="W194" s="130">
        <f>(N194+T194)/2</f>
        <v>38200</v>
      </c>
      <c r="X194" s="424">
        <v>0</v>
      </c>
      <c r="Y194" s="406">
        <f t="shared" si="38"/>
        <v>382000</v>
      </c>
      <c r="Z194" s="452"/>
      <c r="AA194" s="452"/>
      <c r="AB194" s="452"/>
      <c r="AC194" s="452"/>
      <c r="AD194" s="452"/>
      <c r="AE194" s="452"/>
      <c r="AF194" s="452"/>
      <c r="AG194" s="452"/>
      <c r="AH194" s="452"/>
      <c r="AI194" s="452"/>
      <c r="AJ194" s="452"/>
      <c r="AK194" s="452"/>
      <c r="AL194" s="452"/>
      <c r="AM194" s="452"/>
      <c r="AN194" s="452"/>
      <c r="AO194" s="452"/>
      <c r="AP194" s="452"/>
      <c r="AQ194" s="452"/>
      <c r="AR194" s="452"/>
      <c r="AS194" s="452"/>
      <c r="AT194" s="452"/>
      <c r="AU194" s="452"/>
      <c r="AV194" s="452"/>
      <c r="AW194" s="452"/>
      <c r="AX194" s="452"/>
    </row>
    <row r="195" spans="1:50" s="26" customFormat="1" ht="15.6" x14ac:dyDescent="0.3">
      <c r="A195" s="135">
        <v>5</v>
      </c>
      <c r="B195" s="126">
        <v>150192904</v>
      </c>
      <c r="C195" s="2" t="s">
        <v>314</v>
      </c>
      <c r="D195" s="127">
        <v>50171830</v>
      </c>
      <c r="E195" s="125">
        <v>81</v>
      </c>
      <c r="F195" s="128" t="s">
        <v>315</v>
      </c>
      <c r="G195" s="129" t="s">
        <v>313</v>
      </c>
      <c r="H195" s="129"/>
      <c r="I195" s="129"/>
      <c r="J195" s="3">
        <v>10</v>
      </c>
      <c r="K195" s="130">
        <v>0</v>
      </c>
      <c r="L195" s="131">
        <v>0</v>
      </c>
      <c r="M195" s="202">
        <f t="shared" si="34"/>
        <v>0</v>
      </c>
      <c r="N195" s="202">
        <v>209300</v>
      </c>
      <c r="O195" s="177">
        <v>0</v>
      </c>
      <c r="P195" s="204">
        <f t="shared" si="35"/>
        <v>2093000</v>
      </c>
      <c r="Q195" s="130">
        <v>0</v>
      </c>
      <c r="R195" s="131">
        <v>0</v>
      </c>
      <c r="S195" s="132">
        <f t="shared" si="36"/>
        <v>0</v>
      </c>
      <c r="T195" s="132">
        <v>40318</v>
      </c>
      <c r="U195" s="131">
        <v>0</v>
      </c>
      <c r="V195" s="132">
        <f t="shared" si="37"/>
        <v>403180</v>
      </c>
      <c r="W195" s="130">
        <f>(N195+T195)/2</f>
        <v>124809</v>
      </c>
      <c r="X195" s="424">
        <v>0</v>
      </c>
      <c r="Y195" s="406">
        <f t="shared" si="38"/>
        <v>1248090</v>
      </c>
      <c r="Z195" s="452"/>
      <c r="AA195" s="452"/>
      <c r="AB195" s="452"/>
      <c r="AC195" s="452"/>
      <c r="AD195" s="452"/>
      <c r="AE195" s="452"/>
      <c r="AF195" s="452"/>
      <c r="AG195" s="452"/>
      <c r="AH195" s="452"/>
      <c r="AI195" s="452"/>
      <c r="AJ195" s="452"/>
      <c r="AK195" s="452"/>
      <c r="AL195" s="452"/>
      <c r="AM195" s="452"/>
      <c r="AN195" s="452"/>
      <c r="AO195" s="452"/>
      <c r="AP195" s="452"/>
      <c r="AQ195" s="452"/>
      <c r="AR195" s="452"/>
      <c r="AS195" s="452"/>
      <c r="AT195" s="452"/>
      <c r="AU195" s="452"/>
      <c r="AV195" s="452"/>
      <c r="AW195" s="452"/>
      <c r="AX195" s="452"/>
    </row>
    <row r="196" spans="1:50" s="26" customFormat="1" ht="15.6" x14ac:dyDescent="0.3">
      <c r="A196" s="135">
        <v>5</v>
      </c>
      <c r="B196" s="126">
        <v>150111505</v>
      </c>
      <c r="C196" s="2" t="s">
        <v>316</v>
      </c>
      <c r="D196" s="127">
        <v>50111515</v>
      </c>
      <c r="E196" s="125">
        <v>82</v>
      </c>
      <c r="F196" s="128" t="s">
        <v>317</v>
      </c>
      <c r="G196" s="129" t="s">
        <v>269</v>
      </c>
      <c r="H196" s="129"/>
      <c r="I196" s="129"/>
      <c r="J196" s="3">
        <v>10</v>
      </c>
      <c r="K196" s="130">
        <v>11200</v>
      </c>
      <c r="L196" s="131">
        <v>0</v>
      </c>
      <c r="M196" s="202">
        <f t="shared" si="34"/>
        <v>112000</v>
      </c>
      <c r="N196" s="202">
        <v>41160</v>
      </c>
      <c r="O196" s="177">
        <v>0</v>
      </c>
      <c r="P196" s="204">
        <f t="shared" si="35"/>
        <v>411600</v>
      </c>
      <c r="Q196" s="130">
        <v>0</v>
      </c>
      <c r="R196" s="131">
        <v>0</v>
      </c>
      <c r="S196" s="132">
        <f t="shared" si="36"/>
        <v>0</v>
      </c>
      <c r="T196" s="132">
        <v>0</v>
      </c>
      <c r="U196" s="131">
        <v>0</v>
      </c>
      <c r="V196" s="132">
        <f t="shared" si="37"/>
        <v>0</v>
      </c>
      <c r="W196" s="130">
        <f>(N196+K196)/2</f>
        <v>26180</v>
      </c>
      <c r="X196" s="424">
        <v>0</v>
      </c>
      <c r="Y196" s="406">
        <f t="shared" si="38"/>
        <v>261800</v>
      </c>
      <c r="Z196" s="452"/>
      <c r="AA196" s="452"/>
      <c r="AB196" s="452"/>
      <c r="AC196" s="452"/>
      <c r="AD196" s="452"/>
      <c r="AE196" s="452"/>
      <c r="AF196" s="452"/>
      <c r="AG196" s="452"/>
      <c r="AH196" s="452"/>
      <c r="AI196" s="452"/>
      <c r="AJ196" s="452"/>
      <c r="AK196" s="452"/>
      <c r="AL196" s="452"/>
      <c r="AM196" s="452"/>
      <c r="AN196" s="452"/>
      <c r="AO196" s="452"/>
      <c r="AP196" s="452"/>
      <c r="AQ196" s="452"/>
      <c r="AR196" s="452"/>
      <c r="AS196" s="452"/>
      <c r="AT196" s="452"/>
      <c r="AU196" s="452"/>
      <c r="AV196" s="452"/>
      <c r="AW196" s="452"/>
      <c r="AX196" s="452"/>
    </row>
    <row r="197" spans="1:50" s="26" customFormat="1" ht="15.6" x14ac:dyDescent="0.3">
      <c r="A197" s="135">
        <v>5</v>
      </c>
      <c r="B197" s="126">
        <v>147131155</v>
      </c>
      <c r="C197" s="2">
        <v>259341</v>
      </c>
      <c r="D197" s="127">
        <v>52151500</v>
      </c>
      <c r="E197" s="125">
        <v>83</v>
      </c>
      <c r="F197" s="128" t="s">
        <v>318</v>
      </c>
      <c r="G197" s="129" t="s">
        <v>319</v>
      </c>
      <c r="H197" s="129"/>
      <c r="I197" s="129"/>
      <c r="J197" s="3">
        <v>10</v>
      </c>
      <c r="K197" s="130">
        <v>0</v>
      </c>
      <c r="L197" s="131">
        <v>0</v>
      </c>
      <c r="M197" s="202">
        <f t="shared" si="34"/>
        <v>0</v>
      </c>
      <c r="N197" s="202">
        <v>16800</v>
      </c>
      <c r="O197" s="177">
        <v>0</v>
      </c>
      <c r="P197" s="204">
        <f t="shared" si="35"/>
        <v>168000</v>
      </c>
      <c r="Q197" s="130">
        <v>0</v>
      </c>
      <c r="R197" s="131">
        <v>0</v>
      </c>
      <c r="S197" s="132">
        <f t="shared" si="36"/>
        <v>0</v>
      </c>
      <c r="T197" s="132">
        <v>32769</v>
      </c>
      <c r="U197" s="131">
        <v>0</v>
      </c>
      <c r="V197" s="132">
        <f t="shared" si="37"/>
        <v>327690</v>
      </c>
      <c r="W197" s="130">
        <f>(N197+T197)/2</f>
        <v>24784.5</v>
      </c>
      <c r="X197" s="424">
        <v>0</v>
      </c>
      <c r="Y197" s="406">
        <f t="shared" si="38"/>
        <v>247845</v>
      </c>
      <c r="Z197" s="452"/>
      <c r="AA197" s="452"/>
      <c r="AB197" s="452"/>
      <c r="AC197" s="452"/>
      <c r="AD197" s="452"/>
      <c r="AE197" s="452"/>
      <c r="AF197" s="452"/>
      <c r="AG197" s="452"/>
      <c r="AH197" s="452"/>
      <c r="AI197" s="452"/>
      <c r="AJ197" s="452"/>
      <c r="AK197" s="452"/>
      <c r="AL197" s="452"/>
      <c r="AM197" s="452"/>
      <c r="AN197" s="452"/>
      <c r="AO197" s="452"/>
      <c r="AP197" s="452"/>
      <c r="AQ197" s="452"/>
      <c r="AR197" s="452"/>
      <c r="AS197" s="452"/>
      <c r="AT197" s="452"/>
      <c r="AU197" s="452"/>
      <c r="AV197" s="452"/>
      <c r="AW197" s="452"/>
      <c r="AX197" s="452"/>
    </row>
    <row r="198" spans="1:50" s="26" customFormat="1" ht="15.6" x14ac:dyDescent="0.3">
      <c r="A198" s="135">
        <v>5</v>
      </c>
      <c r="B198" s="126">
        <v>114111707</v>
      </c>
      <c r="C198" s="2" t="s">
        <v>320</v>
      </c>
      <c r="D198" s="127">
        <v>52151500</v>
      </c>
      <c r="E198" s="125">
        <v>84</v>
      </c>
      <c r="F198" s="128" t="s">
        <v>321</v>
      </c>
      <c r="G198" s="129" t="s">
        <v>322</v>
      </c>
      <c r="H198" s="129"/>
      <c r="I198" s="129"/>
      <c r="J198" s="3">
        <v>10</v>
      </c>
      <c r="K198" s="130">
        <v>0</v>
      </c>
      <c r="L198" s="131">
        <v>0</v>
      </c>
      <c r="M198" s="202">
        <f t="shared" si="34"/>
        <v>0</v>
      </c>
      <c r="N198" s="202">
        <v>8190</v>
      </c>
      <c r="O198" s="177">
        <v>0</v>
      </c>
      <c r="P198" s="204">
        <f t="shared" si="35"/>
        <v>81900</v>
      </c>
      <c r="Q198" s="130">
        <v>0</v>
      </c>
      <c r="R198" s="131">
        <v>0</v>
      </c>
      <c r="S198" s="132">
        <f t="shared" si="36"/>
        <v>0</v>
      </c>
      <c r="T198" s="132">
        <v>1984</v>
      </c>
      <c r="U198" s="131">
        <v>0</v>
      </c>
      <c r="V198" s="132">
        <f t="shared" si="37"/>
        <v>19840</v>
      </c>
      <c r="W198" s="130">
        <f>(N198+T198)/2</f>
        <v>5087</v>
      </c>
      <c r="X198" s="424">
        <v>0</v>
      </c>
      <c r="Y198" s="406">
        <f t="shared" si="38"/>
        <v>50870</v>
      </c>
      <c r="Z198" s="452"/>
      <c r="AA198" s="452"/>
      <c r="AB198" s="452"/>
      <c r="AC198" s="452"/>
      <c r="AD198" s="452"/>
      <c r="AE198" s="452"/>
      <c r="AF198" s="452"/>
      <c r="AG198" s="452"/>
      <c r="AH198" s="452"/>
      <c r="AI198" s="452"/>
      <c r="AJ198" s="452"/>
      <c r="AK198" s="452"/>
      <c r="AL198" s="452"/>
      <c r="AM198" s="452"/>
      <c r="AN198" s="452"/>
      <c r="AO198" s="452"/>
      <c r="AP198" s="452"/>
      <c r="AQ198" s="452"/>
      <c r="AR198" s="452"/>
      <c r="AS198" s="452"/>
      <c r="AT198" s="452"/>
      <c r="AU198" s="452"/>
      <c r="AV198" s="452"/>
      <c r="AW198" s="452"/>
      <c r="AX198" s="452"/>
    </row>
    <row r="199" spans="1:50" s="26" customFormat="1" ht="15.6" x14ac:dyDescent="0.3">
      <c r="A199" s="135">
        <v>5</v>
      </c>
      <c r="B199" s="126">
        <v>114111707</v>
      </c>
      <c r="C199" s="2" t="s">
        <v>323</v>
      </c>
      <c r="D199" s="127">
        <v>52151500</v>
      </c>
      <c r="E199" s="125">
        <v>85</v>
      </c>
      <c r="F199" s="128" t="s">
        <v>324</v>
      </c>
      <c r="G199" s="129" t="s">
        <v>325</v>
      </c>
      <c r="H199" s="129"/>
      <c r="I199" s="129"/>
      <c r="J199" s="3">
        <v>10</v>
      </c>
      <c r="K199" s="130">
        <v>0</v>
      </c>
      <c r="L199" s="131">
        <v>0</v>
      </c>
      <c r="M199" s="202">
        <f t="shared" si="34"/>
        <v>0</v>
      </c>
      <c r="N199" s="202">
        <v>5850</v>
      </c>
      <c r="O199" s="177">
        <v>0</v>
      </c>
      <c r="P199" s="204">
        <f t="shared" si="35"/>
        <v>58500</v>
      </c>
      <c r="Q199" s="130">
        <v>43152</v>
      </c>
      <c r="R199" s="131">
        <v>0</v>
      </c>
      <c r="S199" s="132">
        <f t="shared" si="36"/>
        <v>431520</v>
      </c>
      <c r="T199" s="132">
        <v>0</v>
      </c>
      <c r="U199" s="131">
        <v>0</v>
      </c>
      <c r="V199" s="132">
        <f t="shared" si="37"/>
        <v>0</v>
      </c>
      <c r="W199" s="130">
        <f>(Q199+N199)/2</f>
        <v>24501</v>
      </c>
      <c r="X199" s="424">
        <v>0</v>
      </c>
      <c r="Y199" s="406">
        <f t="shared" si="38"/>
        <v>245010</v>
      </c>
      <c r="Z199" s="452"/>
      <c r="AA199" s="452"/>
      <c r="AB199" s="452"/>
      <c r="AC199" s="452"/>
      <c r="AD199" s="452"/>
      <c r="AE199" s="452"/>
      <c r="AF199" s="452"/>
      <c r="AG199" s="452"/>
      <c r="AH199" s="452"/>
      <c r="AI199" s="452"/>
      <c r="AJ199" s="452"/>
      <c r="AK199" s="452"/>
      <c r="AL199" s="452"/>
      <c r="AM199" s="452"/>
      <c r="AN199" s="452"/>
      <c r="AO199" s="452"/>
      <c r="AP199" s="452"/>
      <c r="AQ199" s="452"/>
      <c r="AR199" s="452"/>
      <c r="AS199" s="452"/>
      <c r="AT199" s="452"/>
      <c r="AU199" s="452"/>
      <c r="AV199" s="452"/>
      <c r="AW199" s="452"/>
      <c r="AX199" s="452"/>
    </row>
    <row r="200" spans="1:50" s="26" customFormat="1" ht="15.6" x14ac:dyDescent="0.3">
      <c r="A200" s="135">
        <v>5</v>
      </c>
      <c r="B200" s="126">
        <v>150192904</v>
      </c>
      <c r="C200" s="2" t="s">
        <v>326</v>
      </c>
      <c r="D200" s="127">
        <v>50171553</v>
      </c>
      <c r="E200" s="125">
        <v>86</v>
      </c>
      <c r="F200" s="128" t="s">
        <v>327</v>
      </c>
      <c r="G200" s="129" t="s">
        <v>261</v>
      </c>
      <c r="H200" s="129"/>
      <c r="I200" s="129"/>
      <c r="J200" s="3">
        <v>10</v>
      </c>
      <c r="K200" s="130">
        <v>17700</v>
      </c>
      <c r="L200" s="131">
        <v>0</v>
      </c>
      <c r="M200" s="202">
        <f t="shared" si="34"/>
        <v>177000</v>
      </c>
      <c r="N200" s="202">
        <v>0</v>
      </c>
      <c r="O200" s="177">
        <v>0</v>
      </c>
      <c r="P200" s="204">
        <f t="shared" si="35"/>
        <v>0</v>
      </c>
      <c r="Q200" s="130">
        <v>0</v>
      </c>
      <c r="R200" s="131">
        <v>0</v>
      </c>
      <c r="S200" s="132">
        <f t="shared" si="36"/>
        <v>0</v>
      </c>
      <c r="T200" s="132">
        <v>77500</v>
      </c>
      <c r="U200" s="131">
        <v>0</v>
      </c>
      <c r="V200" s="132">
        <f t="shared" si="37"/>
        <v>775000</v>
      </c>
      <c r="W200" s="130">
        <f>(T200+K200)/2</f>
        <v>47600</v>
      </c>
      <c r="X200" s="424">
        <v>0</v>
      </c>
      <c r="Y200" s="406">
        <f t="shared" si="38"/>
        <v>476000</v>
      </c>
      <c r="Z200" s="452"/>
      <c r="AA200" s="452"/>
      <c r="AB200" s="452"/>
      <c r="AC200" s="452"/>
      <c r="AD200" s="452"/>
      <c r="AE200" s="452"/>
      <c r="AF200" s="452"/>
      <c r="AG200" s="452"/>
      <c r="AH200" s="452"/>
      <c r="AI200" s="452"/>
      <c r="AJ200" s="452"/>
      <c r="AK200" s="452"/>
      <c r="AL200" s="452"/>
      <c r="AM200" s="452"/>
      <c r="AN200" s="452"/>
      <c r="AO200" s="452"/>
      <c r="AP200" s="452"/>
      <c r="AQ200" s="452"/>
      <c r="AR200" s="452"/>
      <c r="AS200" s="452"/>
      <c r="AT200" s="452"/>
      <c r="AU200" s="452"/>
      <c r="AV200" s="452"/>
      <c r="AW200" s="452"/>
      <c r="AX200" s="452"/>
    </row>
    <row r="201" spans="1:50" s="26" customFormat="1" ht="15.6" x14ac:dyDescent="0.3">
      <c r="A201" s="135">
        <v>5</v>
      </c>
      <c r="B201" s="126">
        <v>150192904</v>
      </c>
      <c r="C201" s="2" t="s">
        <v>328</v>
      </c>
      <c r="D201" s="127">
        <v>50171830</v>
      </c>
      <c r="E201" s="125">
        <v>87</v>
      </c>
      <c r="F201" s="128" t="s">
        <v>329</v>
      </c>
      <c r="G201" s="129" t="s">
        <v>313</v>
      </c>
      <c r="H201" s="129"/>
      <c r="I201" s="129"/>
      <c r="J201" s="3">
        <v>10</v>
      </c>
      <c r="K201" s="130">
        <v>0</v>
      </c>
      <c r="L201" s="131">
        <v>0</v>
      </c>
      <c r="M201" s="202">
        <f t="shared" si="34"/>
        <v>0</v>
      </c>
      <c r="N201" s="202">
        <v>63520</v>
      </c>
      <c r="O201" s="177">
        <v>0</v>
      </c>
      <c r="P201" s="204">
        <f t="shared" si="35"/>
        <v>635200</v>
      </c>
      <c r="Q201" s="130">
        <v>0</v>
      </c>
      <c r="R201" s="131">
        <v>0</v>
      </c>
      <c r="S201" s="132">
        <f t="shared" si="36"/>
        <v>0</v>
      </c>
      <c r="T201" s="132">
        <v>67640</v>
      </c>
      <c r="U201" s="131">
        <v>0</v>
      </c>
      <c r="V201" s="132">
        <f t="shared" si="37"/>
        <v>676400</v>
      </c>
      <c r="W201" s="130">
        <f>(N201+T201)/2</f>
        <v>65580</v>
      </c>
      <c r="X201" s="424">
        <v>0</v>
      </c>
      <c r="Y201" s="406">
        <f t="shared" si="38"/>
        <v>655800</v>
      </c>
      <c r="Z201" s="452"/>
      <c r="AA201" s="452"/>
      <c r="AB201" s="452"/>
      <c r="AC201" s="452"/>
      <c r="AD201" s="452"/>
      <c r="AE201" s="452"/>
      <c r="AF201" s="452"/>
      <c r="AG201" s="452"/>
      <c r="AH201" s="452"/>
      <c r="AI201" s="452"/>
      <c r="AJ201" s="452"/>
      <c r="AK201" s="452"/>
      <c r="AL201" s="452"/>
      <c r="AM201" s="452"/>
      <c r="AN201" s="452"/>
      <c r="AO201" s="452"/>
      <c r="AP201" s="452"/>
      <c r="AQ201" s="452"/>
      <c r="AR201" s="452"/>
      <c r="AS201" s="452"/>
      <c r="AT201" s="452"/>
      <c r="AU201" s="452"/>
      <c r="AV201" s="452"/>
      <c r="AW201" s="452"/>
      <c r="AX201" s="452"/>
    </row>
    <row r="202" spans="1:50" s="26" customFormat="1" ht="15.6" x14ac:dyDescent="0.3">
      <c r="A202" s="135">
        <v>5</v>
      </c>
      <c r="B202" s="126">
        <v>150192904</v>
      </c>
      <c r="C202" s="2" t="s">
        <v>330</v>
      </c>
      <c r="D202" s="127">
        <v>50192902</v>
      </c>
      <c r="E202" s="125">
        <v>88</v>
      </c>
      <c r="F202" s="128" t="s">
        <v>331</v>
      </c>
      <c r="G202" s="129" t="s">
        <v>269</v>
      </c>
      <c r="H202" s="129"/>
      <c r="I202" s="129"/>
      <c r="J202" s="3">
        <v>10</v>
      </c>
      <c r="K202" s="130">
        <v>4000</v>
      </c>
      <c r="L202" s="131">
        <v>0</v>
      </c>
      <c r="M202" s="202">
        <f t="shared" si="34"/>
        <v>40000</v>
      </c>
      <c r="N202" s="202">
        <v>10000</v>
      </c>
      <c r="O202" s="177">
        <v>0</v>
      </c>
      <c r="P202" s="204">
        <f t="shared" si="35"/>
        <v>100000</v>
      </c>
      <c r="Q202" s="130">
        <v>0</v>
      </c>
      <c r="R202" s="131">
        <v>0</v>
      </c>
      <c r="S202" s="132">
        <f t="shared" si="36"/>
        <v>0</v>
      </c>
      <c r="T202" s="132">
        <v>0</v>
      </c>
      <c r="U202" s="131">
        <v>0</v>
      </c>
      <c r="V202" s="132">
        <f t="shared" si="37"/>
        <v>0</v>
      </c>
      <c r="W202" s="130">
        <f t="shared" ref="W202:W208" si="42">(N202+K202)/2</f>
        <v>7000</v>
      </c>
      <c r="X202" s="424">
        <v>0</v>
      </c>
      <c r="Y202" s="406">
        <f t="shared" si="38"/>
        <v>70000</v>
      </c>
      <c r="Z202" s="452"/>
      <c r="AA202" s="452"/>
      <c r="AB202" s="452"/>
      <c r="AC202" s="452"/>
      <c r="AD202" s="452"/>
      <c r="AE202" s="452"/>
      <c r="AF202" s="452"/>
      <c r="AG202" s="452"/>
      <c r="AH202" s="452"/>
      <c r="AI202" s="452"/>
      <c r="AJ202" s="452"/>
      <c r="AK202" s="452"/>
      <c r="AL202" s="452"/>
      <c r="AM202" s="452"/>
      <c r="AN202" s="452"/>
      <c r="AO202" s="452"/>
      <c r="AP202" s="452"/>
      <c r="AQ202" s="452"/>
      <c r="AR202" s="452"/>
      <c r="AS202" s="452"/>
      <c r="AT202" s="452"/>
      <c r="AU202" s="452"/>
      <c r="AV202" s="452"/>
      <c r="AW202" s="452"/>
      <c r="AX202" s="452"/>
    </row>
    <row r="203" spans="1:50" s="26" customFormat="1" ht="15.6" x14ac:dyDescent="0.3">
      <c r="A203" s="135">
        <v>5</v>
      </c>
      <c r="B203" s="126">
        <v>150111505</v>
      </c>
      <c r="C203" s="2" t="s">
        <v>332</v>
      </c>
      <c r="D203" s="127">
        <v>50111515</v>
      </c>
      <c r="E203" s="125">
        <v>89</v>
      </c>
      <c r="F203" s="128" t="s">
        <v>333</v>
      </c>
      <c r="G203" s="129" t="s">
        <v>269</v>
      </c>
      <c r="H203" s="129"/>
      <c r="I203" s="129"/>
      <c r="J203" s="3">
        <v>10</v>
      </c>
      <c r="K203" s="130">
        <v>17200</v>
      </c>
      <c r="L203" s="131">
        <v>0</v>
      </c>
      <c r="M203" s="202">
        <f t="shared" si="34"/>
        <v>172000</v>
      </c>
      <c r="N203" s="202">
        <v>14950</v>
      </c>
      <c r="O203" s="177">
        <v>0</v>
      </c>
      <c r="P203" s="204">
        <f t="shared" si="35"/>
        <v>149500</v>
      </c>
      <c r="Q203" s="130">
        <v>0</v>
      </c>
      <c r="R203" s="131">
        <v>0</v>
      </c>
      <c r="S203" s="132">
        <f t="shared" si="36"/>
        <v>0</v>
      </c>
      <c r="T203" s="132">
        <v>0</v>
      </c>
      <c r="U203" s="131">
        <v>0</v>
      </c>
      <c r="V203" s="132">
        <f t="shared" si="37"/>
        <v>0</v>
      </c>
      <c r="W203" s="130">
        <f t="shared" si="42"/>
        <v>16075</v>
      </c>
      <c r="X203" s="424">
        <v>0</v>
      </c>
      <c r="Y203" s="406">
        <f t="shared" si="38"/>
        <v>160750</v>
      </c>
      <c r="Z203" s="452"/>
      <c r="AA203" s="452"/>
      <c r="AB203" s="452"/>
      <c r="AC203" s="452"/>
      <c r="AD203" s="452"/>
      <c r="AE203" s="452"/>
      <c r="AF203" s="452"/>
      <c r="AG203" s="452"/>
      <c r="AH203" s="452"/>
      <c r="AI203" s="452"/>
      <c r="AJ203" s="452"/>
      <c r="AK203" s="452"/>
      <c r="AL203" s="452"/>
      <c r="AM203" s="452"/>
      <c r="AN203" s="452"/>
      <c r="AO203" s="452"/>
      <c r="AP203" s="452"/>
      <c r="AQ203" s="452"/>
      <c r="AR203" s="452"/>
      <c r="AS203" s="452"/>
      <c r="AT203" s="452"/>
      <c r="AU203" s="452"/>
      <c r="AV203" s="452"/>
      <c r="AW203" s="452"/>
      <c r="AX203" s="452"/>
    </row>
    <row r="204" spans="1:50" s="26" customFormat="1" ht="15.6" x14ac:dyDescent="0.3">
      <c r="A204" s="135">
        <v>5</v>
      </c>
      <c r="B204" s="126">
        <v>150111505</v>
      </c>
      <c r="C204" s="2" t="s">
        <v>334</v>
      </c>
      <c r="D204" s="127">
        <v>50111515</v>
      </c>
      <c r="E204" s="125">
        <v>90</v>
      </c>
      <c r="F204" s="128" t="s">
        <v>335</v>
      </c>
      <c r="G204" s="129" t="s">
        <v>269</v>
      </c>
      <c r="H204" s="129"/>
      <c r="I204" s="129"/>
      <c r="J204" s="3">
        <v>10</v>
      </c>
      <c r="K204" s="130">
        <v>9000</v>
      </c>
      <c r="L204" s="131">
        <v>0</v>
      </c>
      <c r="M204" s="202">
        <f t="shared" si="34"/>
        <v>90000</v>
      </c>
      <c r="N204" s="202">
        <v>11280</v>
      </c>
      <c r="O204" s="177">
        <v>0</v>
      </c>
      <c r="P204" s="204">
        <f t="shared" si="35"/>
        <v>112800</v>
      </c>
      <c r="Q204" s="130">
        <v>0</v>
      </c>
      <c r="R204" s="131">
        <v>0</v>
      </c>
      <c r="S204" s="132">
        <f t="shared" si="36"/>
        <v>0</v>
      </c>
      <c r="T204" s="132">
        <v>0</v>
      </c>
      <c r="U204" s="131">
        <v>0</v>
      </c>
      <c r="V204" s="132">
        <f t="shared" si="37"/>
        <v>0</v>
      </c>
      <c r="W204" s="130">
        <f t="shared" si="42"/>
        <v>10140</v>
      </c>
      <c r="X204" s="424">
        <v>0</v>
      </c>
      <c r="Y204" s="406">
        <f t="shared" si="38"/>
        <v>101400</v>
      </c>
      <c r="Z204" s="452"/>
      <c r="AA204" s="452"/>
      <c r="AB204" s="452"/>
      <c r="AC204" s="452"/>
      <c r="AD204" s="452"/>
      <c r="AE204" s="452"/>
      <c r="AF204" s="452"/>
      <c r="AG204" s="452"/>
      <c r="AH204" s="452"/>
      <c r="AI204" s="452"/>
      <c r="AJ204" s="452"/>
      <c r="AK204" s="452"/>
      <c r="AL204" s="452"/>
      <c r="AM204" s="452"/>
      <c r="AN204" s="452"/>
      <c r="AO204" s="452"/>
      <c r="AP204" s="452"/>
      <c r="AQ204" s="452"/>
      <c r="AR204" s="452"/>
      <c r="AS204" s="452"/>
      <c r="AT204" s="452"/>
      <c r="AU204" s="452"/>
      <c r="AV204" s="452"/>
      <c r="AW204" s="452"/>
      <c r="AX204" s="452"/>
    </row>
    <row r="205" spans="1:50" s="26" customFormat="1" ht="15.6" x14ac:dyDescent="0.3">
      <c r="A205" s="135">
        <v>5</v>
      </c>
      <c r="B205" s="126">
        <v>150131713</v>
      </c>
      <c r="C205" s="2" t="s">
        <v>336</v>
      </c>
      <c r="D205" s="127">
        <v>50131802</v>
      </c>
      <c r="E205" s="125">
        <v>91</v>
      </c>
      <c r="F205" s="128" t="s">
        <v>337</v>
      </c>
      <c r="G205" s="129" t="s">
        <v>269</v>
      </c>
      <c r="H205" s="129"/>
      <c r="I205" s="129"/>
      <c r="J205" s="3">
        <v>10</v>
      </c>
      <c r="K205" s="130">
        <v>25000</v>
      </c>
      <c r="L205" s="131">
        <v>0</v>
      </c>
      <c r="M205" s="202">
        <f t="shared" si="34"/>
        <v>250000</v>
      </c>
      <c r="N205" s="202">
        <v>39680</v>
      </c>
      <c r="O205" s="177">
        <v>0</v>
      </c>
      <c r="P205" s="204">
        <f t="shared" si="35"/>
        <v>396800</v>
      </c>
      <c r="Q205" s="130">
        <v>0</v>
      </c>
      <c r="R205" s="131">
        <v>0</v>
      </c>
      <c r="S205" s="132">
        <f t="shared" si="36"/>
        <v>0</v>
      </c>
      <c r="T205" s="132">
        <v>0</v>
      </c>
      <c r="U205" s="131">
        <v>0</v>
      </c>
      <c r="V205" s="132">
        <f t="shared" si="37"/>
        <v>0</v>
      </c>
      <c r="W205" s="130">
        <f t="shared" si="42"/>
        <v>32340</v>
      </c>
      <c r="X205" s="424">
        <v>0</v>
      </c>
      <c r="Y205" s="406">
        <f t="shared" si="38"/>
        <v>323400</v>
      </c>
      <c r="Z205" s="452"/>
      <c r="AA205" s="452"/>
      <c r="AB205" s="452"/>
      <c r="AC205" s="452"/>
      <c r="AD205" s="452"/>
      <c r="AE205" s="452"/>
      <c r="AF205" s="452"/>
      <c r="AG205" s="452"/>
      <c r="AH205" s="452"/>
      <c r="AI205" s="452"/>
      <c r="AJ205" s="452"/>
      <c r="AK205" s="452"/>
      <c r="AL205" s="452"/>
      <c r="AM205" s="452"/>
      <c r="AN205" s="452"/>
      <c r="AO205" s="452"/>
      <c r="AP205" s="452"/>
      <c r="AQ205" s="452"/>
      <c r="AR205" s="452"/>
      <c r="AS205" s="452"/>
      <c r="AT205" s="452"/>
      <c r="AU205" s="452"/>
      <c r="AV205" s="452"/>
      <c r="AW205" s="452"/>
      <c r="AX205" s="452"/>
    </row>
    <row r="206" spans="1:50" s="26" customFormat="1" ht="15.6" x14ac:dyDescent="0.3">
      <c r="A206" s="135">
        <v>5</v>
      </c>
      <c r="B206" s="126">
        <v>150131713</v>
      </c>
      <c r="C206" s="2" t="s">
        <v>338</v>
      </c>
      <c r="D206" s="127">
        <v>50131802</v>
      </c>
      <c r="E206" s="125">
        <v>92</v>
      </c>
      <c r="F206" s="128" t="s">
        <v>339</v>
      </c>
      <c r="G206" s="129" t="s">
        <v>261</v>
      </c>
      <c r="H206" s="129"/>
      <c r="I206" s="129"/>
      <c r="J206" s="3">
        <v>10</v>
      </c>
      <c r="K206" s="130">
        <v>43000</v>
      </c>
      <c r="L206" s="131">
        <v>0</v>
      </c>
      <c r="M206" s="202">
        <f t="shared" si="34"/>
        <v>430000</v>
      </c>
      <c r="N206" s="202">
        <v>46675</v>
      </c>
      <c r="O206" s="177">
        <v>0</v>
      </c>
      <c r="P206" s="204">
        <f t="shared" si="35"/>
        <v>466750</v>
      </c>
      <c r="Q206" s="130">
        <v>0</v>
      </c>
      <c r="R206" s="131">
        <v>0</v>
      </c>
      <c r="S206" s="132">
        <f t="shared" si="36"/>
        <v>0</v>
      </c>
      <c r="T206" s="132">
        <v>0</v>
      </c>
      <c r="U206" s="131">
        <v>0</v>
      </c>
      <c r="V206" s="132">
        <f t="shared" si="37"/>
        <v>0</v>
      </c>
      <c r="W206" s="130">
        <f t="shared" si="42"/>
        <v>44837.5</v>
      </c>
      <c r="X206" s="424">
        <v>0</v>
      </c>
      <c r="Y206" s="406">
        <f t="shared" si="38"/>
        <v>448375</v>
      </c>
      <c r="Z206" s="452"/>
      <c r="AA206" s="452"/>
      <c r="AB206" s="452"/>
      <c r="AC206" s="452"/>
      <c r="AD206" s="452"/>
      <c r="AE206" s="452"/>
      <c r="AF206" s="452"/>
      <c r="AG206" s="452"/>
      <c r="AH206" s="452"/>
      <c r="AI206" s="452"/>
      <c r="AJ206" s="452"/>
      <c r="AK206" s="452"/>
      <c r="AL206" s="452"/>
      <c r="AM206" s="452"/>
      <c r="AN206" s="452"/>
      <c r="AO206" s="452"/>
      <c r="AP206" s="452"/>
      <c r="AQ206" s="452"/>
      <c r="AR206" s="452"/>
      <c r="AS206" s="452"/>
      <c r="AT206" s="452"/>
      <c r="AU206" s="452"/>
      <c r="AV206" s="452"/>
      <c r="AW206" s="452"/>
      <c r="AX206" s="452"/>
    </row>
    <row r="207" spans="1:50" s="26" customFormat="1" ht="15.6" x14ac:dyDescent="0.3">
      <c r="A207" s="135">
        <v>5</v>
      </c>
      <c r="B207" s="126">
        <v>150202238</v>
      </c>
      <c r="C207" s="2" t="s">
        <v>340</v>
      </c>
      <c r="D207" s="127">
        <v>50202206</v>
      </c>
      <c r="E207" s="125">
        <v>93</v>
      </c>
      <c r="F207" s="128" t="s">
        <v>341</v>
      </c>
      <c r="G207" s="129" t="s">
        <v>342</v>
      </c>
      <c r="H207" s="129"/>
      <c r="I207" s="129"/>
      <c r="J207" s="3">
        <v>10</v>
      </c>
      <c r="K207" s="130">
        <v>47500</v>
      </c>
      <c r="L207" s="131">
        <v>0</v>
      </c>
      <c r="M207" s="202">
        <f t="shared" si="34"/>
        <v>475000</v>
      </c>
      <c r="N207" s="202">
        <v>66000</v>
      </c>
      <c r="O207" s="177">
        <v>0</v>
      </c>
      <c r="P207" s="204">
        <f t="shared" si="35"/>
        <v>660000</v>
      </c>
      <c r="Q207" s="130">
        <v>0</v>
      </c>
      <c r="R207" s="131">
        <v>0</v>
      </c>
      <c r="S207" s="132">
        <f t="shared" si="36"/>
        <v>0</v>
      </c>
      <c r="T207" s="132">
        <v>0</v>
      </c>
      <c r="U207" s="131">
        <v>0</v>
      </c>
      <c r="V207" s="132">
        <f t="shared" si="37"/>
        <v>0</v>
      </c>
      <c r="W207" s="130">
        <f t="shared" si="42"/>
        <v>56750</v>
      </c>
      <c r="X207" s="424">
        <v>0</v>
      </c>
      <c r="Y207" s="406">
        <f t="shared" si="38"/>
        <v>567500</v>
      </c>
      <c r="Z207" s="452"/>
      <c r="AA207" s="452"/>
      <c r="AB207" s="452"/>
      <c r="AC207" s="452"/>
      <c r="AD207" s="452"/>
      <c r="AE207" s="452"/>
      <c r="AF207" s="452"/>
      <c r="AG207" s="452"/>
      <c r="AH207" s="452"/>
      <c r="AI207" s="452"/>
      <c r="AJ207" s="452"/>
      <c r="AK207" s="452"/>
      <c r="AL207" s="452"/>
      <c r="AM207" s="452"/>
      <c r="AN207" s="452"/>
      <c r="AO207" s="452"/>
      <c r="AP207" s="452"/>
      <c r="AQ207" s="452"/>
      <c r="AR207" s="452"/>
      <c r="AS207" s="452"/>
      <c r="AT207" s="452"/>
      <c r="AU207" s="452"/>
      <c r="AV207" s="452"/>
      <c r="AW207" s="452"/>
      <c r="AX207" s="452"/>
    </row>
    <row r="208" spans="1:50" s="26" customFormat="1" ht="15.6" x14ac:dyDescent="0.3">
      <c r="A208" s="135">
        <v>5</v>
      </c>
      <c r="B208" s="126">
        <v>150192904</v>
      </c>
      <c r="C208" s="2" t="s">
        <v>343</v>
      </c>
      <c r="D208" s="127">
        <v>50171551</v>
      </c>
      <c r="E208" s="125">
        <v>94</v>
      </c>
      <c r="F208" s="128" t="s">
        <v>344</v>
      </c>
      <c r="G208" s="129" t="s">
        <v>269</v>
      </c>
      <c r="H208" s="129"/>
      <c r="I208" s="129"/>
      <c r="J208" s="3">
        <v>10</v>
      </c>
      <c r="K208" s="130">
        <v>1600</v>
      </c>
      <c r="L208" s="131">
        <v>0</v>
      </c>
      <c r="M208" s="202">
        <f t="shared" si="34"/>
        <v>16000</v>
      </c>
      <c r="N208" s="202">
        <v>2090</v>
      </c>
      <c r="O208" s="177">
        <v>0</v>
      </c>
      <c r="P208" s="204">
        <f t="shared" si="35"/>
        <v>20900</v>
      </c>
      <c r="Q208" s="130">
        <v>0</v>
      </c>
      <c r="R208" s="131">
        <v>0</v>
      </c>
      <c r="S208" s="132">
        <f t="shared" si="36"/>
        <v>0</v>
      </c>
      <c r="T208" s="132">
        <v>0</v>
      </c>
      <c r="U208" s="131">
        <v>0</v>
      </c>
      <c r="V208" s="132">
        <f t="shared" si="37"/>
        <v>0</v>
      </c>
      <c r="W208" s="130">
        <f t="shared" si="42"/>
        <v>1845</v>
      </c>
      <c r="X208" s="424">
        <v>0</v>
      </c>
      <c r="Y208" s="406">
        <f t="shared" si="38"/>
        <v>18450</v>
      </c>
      <c r="Z208" s="452"/>
      <c r="AA208" s="452"/>
      <c r="AB208" s="452"/>
      <c r="AC208" s="452"/>
      <c r="AD208" s="452"/>
      <c r="AE208" s="452"/>
      <c r="AF208" s="452"/>
      <c r="AG208" s="452"/>
      <c r="AH208" s="452"/>
      <c r="AI208" s="452"/>
      <c r="AJ208" s="452"/>
      <c r="AK208" s="452"/>
      <c r="AL208" s="452"/>
      <c r="AM208" s="452"/>
      <c r="AN208" s="452"/>
      <c r="AO208" s="452"/>
      <c r="AP208" s="452"/>
      <c r="AQ208" s="452"/>
      <c r="AR208" s="452"/>
      <c r="AS208" s="452"/>
      <c r="AT208" s="452"/>
      <c r="AU208" s="452"/>
      <c r="AV208" s="452"/>
      <c r="AW208" s="452"/>
      <c r="AX208" s="452"/>
    </row>
    <row r="209" spans="1:50" s="26" customFormat="1" ht="15.6" x14ac:dyDescent="0.3">
      <c r="A209" s="135">
        <v>5</v>
      </c>
      <c r="B209" s="126">
        <v>150192904</v>
      </c>
      <c r="C209" s="2" t="s">
        <v>345</v>
      </c>
      <c r="D209" s="127">
        <v>50171830</v>
      </c>
      <c r="E209" s="125">
        <v>95</v>
      </c>
      <c r="F209" s="128" t="s">
        <v>346</v>
      </c>
      <c r="G209" s="129" t="s">
        <v>297</v>
      </c>
      <c r="H209" s="129"/>
      <c r="I209" s="129"/>
      <c r="J209" s="3">
        <v>10</v>
      </c>
      <c r="K209" s="130">
        <v>0</v>
      </c>
      <c r="L209" s="131">
        <v>0</v>
      </c>
      <c r="M209" s="202">
        <f t="shared" si="34"/>
        <v>0</v>
      </c>
      <c r="N209" s="202">
        <v>36140</v>
      </c>
      <c r="O209" s="177">
        <v>0</v>
      </c>
      <c r="P209" s="204">
        <f t="shared" si="35"/>
        <v>361400</v>
      </c>
      <c r="Q209" s="130">
        <v>39960</v>
      </c>
      <c r="R209" s="131">
        <v>0</v>
      </c>
      <c r="S209" s="132">
        <f t="shared" si="36"/>
        <v>399600</v>
      </c>
      <c r="T209" s="132">
        <v>0</v>
      </c>
      <c r="U209" s="131">
        <v>0</v>
      </c>
      <c r="V209" s="132">
        <f t="shared" si="37"/>
        <v>0</v>
      </c>
      <c r="W209" s="130">
        <f>(N209+Q209)/2</f>
        <v>38050</v>
      </c>
      <c r="X209" s="424">
        <v>0</v>
      </c>
      <c r="Y209" s="406">
        <f t="shared" si="38"/>
        <v>380500</v>
      </c>
      <c r="Z209" s="452"/>
      <c r="AA209" s="452"/>
      <c r="AB209" s="452"/>
      <c r="AC209" s="452"/>
      <c r="AD209" s="452"/>
      <c r="AE209" s="452"/>
      <c r="AF209" s="452"/>
      <c r="AG209" s="452"/>
      <c r="AH209" s="452"/>
      <c r="AI209" s="452"/>
      <c r="AJ209" s="452"/>
      <c r="AK209" s="452"/>
      <c r="AL209" s="452"/>
      <c r="AM209" s="452"/>
      <c r="AN209" s="452"/>
      <c r="AO209" s="452"/>
      <c r="AP209" s="452"/>
      <c r="AQ209" s="452"/>
      <c r="AR209" s="452"/>
      <c r="AS209" s="452"/>
      <c r="AT209" s="452"/>
      <c r="AU209" s="452"/>
      <c r="AV209" s="452"/>
      <c r="AW209" s="452"/>
      <c r="AX209" s="452"/>
    </row>
    <row r="210" spans="1:50" s="26" customFormat="1" ht="15.6" x14ac:dyDescent="0.3">
      <c r="A210" s="135">
        <v>5</v>
      </c>
      <c r="B210" s="126">
        <v>150192904</v>
      </c>
      <c r="C210" s="2" t="s">
        <v>347</v>
      </c>
      <c r="D210" s="127">
        <v>50171830</v>
      </c>
      <c r="E210" s="125">
        <v>96</v>
      </c>
      <c r="F210" s="128" t="s">
        <v>348</v>
      </c>
      <c r="G210" s="129" t="s">
        <v>297</v>
      </c>
      <c r="H210" s="129"/>
      <c r="I210" s="129"/>
      <c r="J210" s="3">
        <v>10</v>
      </c>
      <c r="K210" s="130">
        <v>0</v>
      </c>
      <c r="L210" s="131">
        <v>0</v>
      </c>
      <c r="M210" s="202">
        <f t="shared" si="34"/>
        <v>0</v>
      </c>
      <c r="N210" s="202">
        <v>121900</v>
      </c>
      <c r="O210" s="177">
        <v>0</v>
      </c>
      <c r="P210" s="204">
        <f t="shared" si="35"/>
        <v>1219000</v>
      </c>
      <c r="Q210" s="130">
        <v>103284</v>
      </c>
      <c r="R210" s="131">
        <v>0</v>
      </c>
      <c r="S210" s="132">
        <f t="shared" si="36"/>
        <v>1032840</v>
      </c>
      <c r="T210" s="132">
        <v>0</v>
      </c>
      <c r="U210" s="131">
        <v>0</v>
      </c>
      <c r="V210" s="132">
        <f t="shared" si="37"/>
        <v>0</v>
      </c>
      <c r="W210" s="130">
        <f>(N210+Q210)/2</f>
        <v>112592</v>
      </c>
      <c r="X210" s="424">
        <v>0</v>
      </c>
      <c r="Y210" s="406">
        <f t="shared" si="38"/>
        <v>1125920</v>
      </c>
      <c r="Z210" s="452"/>
      <c r="AA210" s="452"/>
      <c r="AB210" s="452"/>
      <c r="AC210" s="452"/>
      <c r="AD210" s="452"/>
      <c r="AE210" s="452"/>
      <c r="AF210" s="452"/>
      <c r="AG210" s="452"/>
      <c r="AH210" s="452"/>
      <c r="AI210" s="452"/>
      <c r="AJ210" s="452"/>
      <c r="AK210" s="452"/>
      <c r="AL210" s="452"/>
      <c r="AM210" s="452"/>
      <c r="AN210" s="452"/>
      <c r="AO210" s="452"/>
      <c r="AP210" s="452"/>
      <c r="AQ210" s="452"/>
      <c r="AR210" s="452"/>
      <c r="AS210" s="452"/>
      <c r="AT210" s="452"/>
      <c r="AU210" s="452"/>
      <c r="AV210" s="452"/>
      <c r="AW210" s="452"/>
      <c r="AX210" s="452"/>
    </row>
    <row r="211" spans="1:50" s="26" customFormat="1" ht="15.6" x14ac:dyDescent="0.3">
      <c r="A211" s="135">
        <v>5</v>
      </c>
      <c r="B211" s="126">
        <v>150192904</v>
      </c>
      <c r="C211" s="136" t="s">
        <v>349</v>
      </c>
      <c r="D211" s="127">
        <v>50171830</v>
      </c>
      <c r="E211" s="125">
        <v>97</v>
      </c>
      <c r="F211" s="128" t="s">
        <v>350</v>
      </c>
      <c r="G211" s="129" t="s">
        <v>297</v>
      </c>
      <c r="H211" s="129"/>
      <c r="I211" s="129"/>
      <c r="J211" s="4">
        <v>10</v>
      </c>
      <c r="K211" s="130">
        <v>0</v>
      </c>
      <c r="L211" s="131">
        <v>0</v>
      </c>
      <c r="M211" s="202">
        <f t="shared" si="34"/>
        <v>0</v>
      </c>
      <c r="N211" s="202">
        <v>101646</v>
      </c>
      <c r="O211" s="177">
        <v>0</v>
      </c>
      <c r="P211" s="204">
        <f t="shared" si="35"/>
        <v>1016460</v>
      </c>
      <c r="Q211" s="130">
        <v>0</v>
      </c>
      <c r="R211" s="131">
        <v>0</v>
      </c>
      <c r="S211" s="132">
        <f t="shared" si="36"/>
        <v>0</v>
      </c>
      <c r="T211" s="132">
        <v>46816</v>
      </c>
      <c r="U211" s="131">
        <v>0</v>
      </c>
      <c r="V211" s="132">
        <f t="shared" si="37"/>
        <v>468160</v>
      </c>
      <c r="W211" s="130">
        <f>(N211+T211)/2</f>
        <v>74231</v>
      </c>
      <c r="X211" s="424">
        <v>0</v>
      </c>
      <c r="Y211" s="406">
        <f t="shared" si="38"/>
        <v>742310</v>
      </c>
      <c r="Z211" s="452"/>
      <c r="AA211" s="452"/>
      <c r="AB211" s="452"/>
      <c r="AC211" s="452"/>
      <c r="AD211" s="452"/>
      <c r="AE211" s="452"/>
      <c r="AF211" s="452"/>
      <c r="AG211" s="452"/>
      <c r="AH211" s="452"/>
      <c r="AI211" s="452"/>
      <c r="AJ211" s="452"/>
      <c r="AK211" s="452"/>
      <c r="AL211" s="452"/>
      <c r="AM211" s="452"/>
      <c r="AN211" s="452"/>
      <c r="AO211" s="452"/>
      <c r="AP211" s="452"/>
      <c r="AQ211" s="452"/>
      <c r="AR211" s="452"/>
      <c r="AS211" s="452"/>
      <c r="AT211" s="452"/>
      <c r="AU211" s="452"/>
      <c r="AV211" s="452"/>
      <c r="AW211" s="452"/>
      <c r="AX211" s="452"/>
    </row>
    <row r="212" spans="1:50" s="26" customFormat="1" ht="15.6" x14ac:dyDescent="0.3">
      <c r="A212" s="135">
        <v>5</v>
      </c>
      <c r="B212" s="126">
        <v>150121552</v>
      </c>
      <c r="C212" s="2" t="s">
        <v>69</v>
      </c>
      <c r="D212" s="127">
        <v>50121500</v>
      </c>
      <c r="E212" s="125">
        <v>98</v>
      </c>
      <c r="F212" s="128" t="s">
        <v>351</v>
      </c>
      <c r="G212" s="129" t="s">
        <v>269</v>
      </c>
      <c r="H212" s="129"/>
      <c r="I212" s="129"/>
      <c r="J212" s="3">
        <v>10</v>
      </c>
      <c r="K212" s="130">
        <v>18800</v>
      </c>
      <c r="L212" s="131">
        <v>0</v>
      </c>
      <c r="M212" s="202">
        <f t="shared" si="34"/>
        <v>188000</v>
      </c>
      <c r="N212" s="202">
        <v>11280</v>
      </c>
      <c r="O212" s="177">
        <v>0</v>
      </c>
      <c r="P212" s="204">
        <f t="shared" si="35"/>
        <v>112800</v>
      </c>
      <c r="Q212" s="130">
        <v>0</v>
      </c>
      <c r="R212" s="131">
        <v>0</v>
      </c>
      <c r="S212" s="132">
        <f t="shared" si="36"/>
        <v>0</v>
      </c>
      <c r="T212" s="132">
        <v>0</v>
      </c>
      <c r="U212" s="131">
        <v>0</v>
      </c>
      <c r="V212" s="132">
        <f t="shared" si="37"/>
        <v>0</v>
      </c>
      <c r="W212" s="130">
        <f>SUM(K212+N212)/2</f>
        <v>15040</v>
      </c>
      <c r="X212" s="424">
        <v>0</v>
      </c>
      <c r="Y212" s="406">
        <f t="shared" si="38"/>
        <v>150400</v>
      </c>
      <c r="Z212" s="452"/>
      <c r="AA212" s="452"/>
      <c r="AB212" s="452"/>
      <c r="AC212" s="452"/>
      <c r="AD212" s="452"/>
      <c r="AE212" s="452"/>
      <c r="AF212" s="452"/>
      <c r="AG212" s="452"/>
      <c r="AH212" s="452"/>
      <c r="AI212" s="452"/>
      <c r="AJ212" s="452"/>
      <c r="AK212" s="452"/>
      <c r="AL212" s="452"/>
      <c r="AM212" s="452"/>
      <c r="AN212" s="452"/>
      <c r="AO212" s="452"/>
      <c r="AP212" s="452"/>
      <c r="AQ212" s="452"/>
      <c r="AR212" s="452"/>
      <c r="AS212" s="452"/>
      <c r="AT212" s="452"/>
      <c r="AU212" s="452"/>
      <c r="AV212" s="452"/>
      <c r="AW212" s="452"/>
      <c r="AX212" s="452"/>
    </row>
    <row r="213" spans="1:50" s="26" customFormat="1" ht="15.6" x14ac:dyDescent="0.3">
      <c r="A213" s="135">
        <v>5</v>
      </c>
      <c r="B213" s="126">
        <v>150111608</v>
      </c>
      <c r="C213" s="2" t="s">
        <v>352</v>
      </c>
      <c r="D213" s="127">
        <v>50111514</v>
      </c>
      <c r="E213" s="125">
        <v>99</v>
      </c>
      <c r="F213" s="128" t="s">
        <v>353</v>
      </c>
      <c r="G213" s="129" t="s">
        <v>269</v>
      </c>
      <c r="H213" s="129"/>
      <c r="I213" s="129"/>
      <c r="J213" s="3">
        <v>10</v>
      </c>
      <c r="K213" s="130">
        <v>45600</v>
      </c>
      <c r="L213" s="131">
        <v>0</v>
      </c>
      <c r="M213" s="202">
        <f t="shared" si="34"/>
        <v>456000</v>
      </c>
      <c r="N213" s="202">
        <v>41500</v>
      </c>
      <c r="O213" s="177">
        <v>0</v>
      </c>
      <c r="P213" s="204">
        <f t="shared" si="35"/>
        <v>415000</v>
      </c>
      <c r="Q213" s="130">
        <v>0</v>
      </c>
      <c r="R213" s="131">
        <v>0</v>
      </c>
      <c r="S213" s="132">
        <f t="shared" si="36"/>
        <v>0</v>
      </c>
      <c r="T213" s="132">
        <v>0</v>
      </c>
      <c r="U213" s="131">
        <v>0</v>
      </c>
      <c r="V213" s="132">
        <f t="shared" si="37"/>
        <v>0</v>
      </c>
      <c r="W213" s="130">
        <f>(K213+N213)/2</f>
        <v>43550</v>
      </c>
      <c r="X213" s="424">
        <v>0</v>
      </c>
      <c r="Y213" s="406">
        <f t="shared" si="38"/>
        <v>435500</v>
      </c>
      <c r="Z213" s="452"/>
      <c r="AA213" s="452"/>
      <c r="AB213" s="452"/>
      <c r="AC213" s="452"/>
      <c r="AD213" s="452"/>
      <c r="AE213" s="452"/>
      <c r="AF213" s="452"/>
      <c r="AG213" s="452"/>
      <c r="AH213" s="452"/>
      <c r="AI213" s="452"/>
      <c r="AJ213" s="452"/>
      <c r="AK213" s="452"/>
      <c r="AL213" s="452"/>
      <c r="AM213" s="452"/>
      <c r="AN213" s="452"/>
      <c r="AO213" s="452"/>
      <c r="AP213" s="452"/>
      <c r="AQ213" s="452"/>
      <c r="AR213" s="452"/>
      <c r="AS213" s="452"/>
      <c r="AT213" s="452"/>
      <c r="AU213" s="452"/>
      <c r="AV213" s="452"/>
      <c r="AW213" s="452"/>
      <c r="AX213" s="452"/>
    </row>
    <row r="214" spans="1:50" s="26" customFormat="1" ht="15.6" x14ac:dyDescent="0.3">
      <c r="A214" s="135">
        <v>5</v>
      </c>
      <c r="B214" s="126">
        <v>150111505</v>
      </c>
      <c r="C214" s="2" t="s">
        <v>354</v>
      </c>
      <c r="D214" s="127">
        <v>50111514</v>
      </c>
      <c r="E214" s="125">
        <v>100</v>
      </c>
      <c r="F214" s="128" t="s">
        <v>355</v>
      </c>
      <c r="G214" s="129" t="s">
        <v>269</v>
      </c>
      <c r="H214" s="129"/>
      <c r="I214" s="129"/>
      <c r="J214" s="3">
        <v>10</v>
      </c>
      <c r="K214" s="130">
        <v>20000</v>
      </c>
      <c r="L214" s="131">
        <v>0</v>
      </c>
      <c r="M214" s="202">
        <f t="shared" si="34"/>
        <v>200000</v>
      </c>
      <c r="N214" s="202">
        <v>21900</v>
      </c>
      <c r="O214" s="177">
        <v>0</v>
      </c>
      <c r="P214" s="204">
        <f t="shared" si="35"/>
        <v>219000</v>
      </c>
      <c r="Q214" s="130">
        <v>0</v>
      </c>
      <c r="R214" s="131">
        <v>0</v>
      </c>
      <c r="S214" s="132">
        <f t="shared" si="36"/>
        <v>0</v>
      </c>
      <c r="T214" s="132">
        <v>0</v>
      </c>
      <c r="U214" s="131">
        <v>0</v>
      </c>
      <c r="V214" s="132">
        <f t="shared" si="37"/>
        <v>0</v>
      </c>
      <c r="W214" s="130">
        <f>(K214+N214)/2</f>
        <v>20950</v>
      </c>
      <c r="X214" s="424">
        <v>0</v>
      </c>
      <c r="Y214" s="406">
        <f t="shared" si="38"/>
        <v>209500</v>
      </c>
      <c r="Z214" s="452"/>
      <c r="AA214" s="452"/>
      <c r="AB214" s="452"/>
      <c r="AC214" s="452"/>
      <c r="AD214" s="452"/>
      <c r="AE214" s="452"/>
      <c r="AF214" s="452"/>
      <c r="AG214" s="452"/>
      <c r="AH214" s="452"/>
      <c r="AI214" s="452"/>
      <c r="AJ214" s="452"/>
      <c r="AK214" s="452"/>
      <c r="AL214" s="452"/>
      <c r="AM214" s="452"/>
      <c r="AN214" s="452"/>
      <c r="AO214" s="452"/>
      <c r="AP214" s="452"/>
      <c r="AQ214" s="452"/>
      <c r="AR214" s="452"/>
      <c r="AS214" s="452"/>
      <c r="AT214" s="452"/>
      <c r="AU214" s="452"/>
      <c r="AV214" s="452"/>
      <c r="AW214" s="452"/>
      <c r="AX214" s="452"/>
    </row>
    <row r="215" spans="1:50" s="26" customFormat="1" ht="15.6" x14ac:dyDescent="0.3">
      <c r="A215" s="135">
        <v>5</v>
      </c>
      <c r="B215" s="126">
        <v>150121552</v>
      </c>
      <c r="C215" s="2" t="s">
        <v>356</v>
      </c>
      <c r="D215" s="127">
        <v>50121500</v>
      </c>
      <c r="E215" s="125">
        <v>101</v>
      </c>
      <c r="F215" s="128" t="s">
        <v>357</v>
      </c>
      <c r="G215" s="129" t="s">
        <v>269</v>
      </c>
      <c r="H215" s="129"/>
      <c r="I215" s="129"/>
      <c r="J215" s="3">
        <v>10</v>
      </c>
      <c r="K215" s="130">
        <v>22000</v>
      </c>
      <c r="L215" s="131">
        <v>0</v>
      </c>
      <c r="M215" s="202">
        <f t="shared" si="34"/>
        <v>220000</v>
      </c>
      <c r="N215" s="202">
        <v>24070</v>
      </c>
      <c r="O215" s="177">
        <v>0</v>
      </c>
      <c r="P215" s="204">
        <f t="shared" si="35"/>
        <v>240700</v>
      </c>
      <c r="Q215" s="130">
        <v>0</v>
      </c>
      <c r="R215" s="131">
        <v>0</v>
      </c>
      <c r="S215" s="132">
        <f t="shared" si="36"/>
        <v>0</v>
      </c>
      <c r="T215" s="132">
        <v>0</v>
      </c>
      <c r="U215" s="131">
        <v>0</v>
      </c>
      <c r="V215" s="132">
        <f t="shared" si="37"/>
        <v>0</v>
      </c>
      <c r="W215" s="130">
        <f>(K215+N215)/2</f>
        <v>23035</v>
      </c>
      <c r="X215" s="424">
        <v>0</v>
      </c>
      <c r="Y215" s="406">
        <f t="shared" si="38"/>
        <v>230350</v>
      </c>
      <c r="Z215" s="452"/>
      <c r="AA215" s="452"/>
      <c r="AB215" s="452"/>
      <c r="AC215" s="452"/>
      <c r="AD215" s="452"/>
      <c r="AE215" s="452"/>
      <c r="AF215" s="452"/>
      <c r="AG215" s="452"/>
      <c r="AH215" s="452"/>
      <c r="AI215" s="452"/>
      <c r="AJ215" s="452"/>
      <c r="AK215" s="452"/>
      <c r="AL215" s="452"/>
      <c r="AM215" s="452"/>
      <c r="AN215" s="452"/>
      <c r="AO215" s="452"/>
      <c r="AP215" s="452"/>
      <c r="AQ215" s="452"/>
      <c r="AR215" s="452"/>
      <c r="AS215" s="452"/>
      <c r="AT215" s="452"/>
      <c r="AU215" s="452"/>
      <c r="AV215" s="452"/>
      <c r="AW215" s="452"/>
      <c r="AX215" s="452"/>
    </row>
    <row r="216" spans="1:50" s="26" customFormat="1" ht="15.6" x14ac:dyDescent="0.3">
      <c r="A216" s="135">
        <v>5</v>
      </c>
      <c r="B216" s="126">
        <v>150202238</v>
      </c>
      <c r="C216" s="2" t="s">
        <v>358</v>
      </c>
      <c r="D216" s="127">
        <v>50202203</v>
      </c>
      <c r="E216" s="125">
        <v>102</v>
      </c>
      <c r="F216" s="128" t="s">
        <v>359</v>
      </c>
      <c r="G216" s="129" t="s">
        <v>360</v>
      </c>
      <c r="H216" s="129"/>
      <c r="I216" s="129"/>
      <c r="J216" s="3">
        <v>10</v>
      </c>
      <c r="K216" s="130">
        <v>13900</v>
      </c>
      <c r="L216" s="131">
        <v>0</v>
      </c>
      <c r="M216" s="202">
        <f t="shared" si="34"/>
        <v>139000</v>
      </c>
      <c r="N216" s="202">
        <v>31380</v>
      </c>
      <c r="O216" s="177">
        <v>0</v>
      </c>
      <c r="P216" s="204">
        <f t="shared" si="35"/>
        <v>313800</v>
      </c>
      <c r="Q216" s="130">
        <v>0</v>
      </c>
      <c r="R216" s="131">
        <v>0</v>
      </c>
      <c r="S216" s="132">
        <f t="shared" si="36"/>
        <v>0</v>
      </c>
      <c r="T216" s="132">
        <v>0</v>
      </c>
      <c r="U216" s="131">
        <v>0</v>
      </c>
      <c r="V216" s="132">
        <f t="shared" si="37"/>
        <v>0</v>
      </c>
      <c r="W216" s="130">
        <f>(K216+N216)/2</f>
        <v>22640</v>
      </c>
      <c r="X216" s="424">
        <v>0</v>
      </c>
      <c r="Y216" s="406">
        <f t="shared" si="38"/>
        <v>226400</v>
      </c>
      <c r="Z216" s="452"/>
      <c r="AA216" s="452"/>
      <c r="AB216" s="452"/>
      <c r="AC216" s="452"/>
      <c r="AD216" s="452"/>
      <c r="AE216" s="452"/>
      <c r="AF216" s="452"/>
      <c r="AG216" s="452"/>
      <c r="AH216" s="452"/>
      <c r="AI216" s="452"/>
      <c r="AJ216" s="452"/>
      <c r="AK216" s="452"/>
      <c r="AL216" s="452"/>
      <c r="AM216" s="452"/>
      <c r="AN216" s="452"/>
      <c r="AO216" s="452"/>
      <c r="AP216" s="452"/>
      <c r="AQ216" s="452"/>
      <c r="AR216" s="452"/>
      <c r="AS216" s="452"/>
      <c r="AT216" s="452"/>
      <c r="AU216" s="452"/>
      <c r="AV216" s="452"/>
      <c r="AW216" s="452"/>
      <c r="AX216" s="452"/>
    </row>
    <row r="217" spans="1:50" s="26" customFormat="1" ht="15.6" x14ac:dyDescent="0.3">
      <c r="A217" s="135">
        <v>5</v>
      </c>
      <c r="B217" s="126">
        <v>150202238</v>
      </c>
      <c r="C217" s="2" t="s">
        <v>361</v>
      </c>
      <c r="D217" s="127">
        <v>50202203</v>
      </c>
      <c r="E217" s="125">
        <v>103</v>
      </c>
      <c r="F217" s="128" t="s">
        <v>362</v>
      </c>
      <c r="G217" s="129" t="s">
        <v>360</v>
      </c>
      <c r="H217" s="129"/>
      <c r="I217" s="129"/>
      <c r="J217" s="3">
        <v>10</v>
      </c>
      <c r="K217" s="130">
        <v>13900</v>
      </c>
      <c r="L217" s="131">
        <v>0</v>
      </c>
      <c r="M217" s="202">
        <f t="shared" si="34"/>
        <v>139000</v>
      </c>
      <c r="N217" s="202">
        <v>45030</v>
      </c>
      <c r="O217" s="177">
        <v>0</v>
      </c>
      <c r="P217" s="204">
        <f t="shared" si="35"/>
        <v>450300</v>
      </c>
      <c r="Q217" s="130">
        <v>0</v>
      </c>
      <c r="R217" s="131">
        <v>0</v>
      </c>
      <c r="S217" s="132">
        <f t="shared" si="36"/>
        <v>0</v>
      </c>
      <c r="T217" s="132">
        <v>0</v>
      </c>
      <c r="U217" s="131">
        <v>0</v>
      </c>
      <c r="V217" s="132">
        <f t="shared" si="37"/>
        <v>0</v>
      </c>
      <c r="W217" s="130">
        <f>SUM(K217+N217)/2</f>
        <v>29465</v>
      </c>
      <c r="X217" s="424">
        <v>0</v>
      </c>
      <c r="Y217" s="406">
        <f t="shared" si="38"/>
        <v>294650</v>
      </c>
      <c r="Z217" s="452"/>
      <c r="AA217" s="452"/>
      <c r="AB217" s="452"/>
      <c r="AC217" s="452"/>
      <c r="AD217" s="452"/>
      <c r="AE217" s="452"/>
      <c r="AF217" s="452"/>
      <c r="AG217" s="452"/>
      <c r="AH217" s="452"/>
      <c r="AI217" s="452"/>
      <c r="AJ217" s="452"/>
      <c r="AK217" s="452"/>
      <c r="AL217" s="452"/>
      <c r="AM217" s="452"/>
      <c r="AN217" s="452"/>
      <c r="AO217" s="452"/>
      <c r="AP217" s="452"/>
      <c r="AQ217" s="452"/>
      <c r="AR217" s="452"/>
      <c r="AS217" s="452"/>
      <c r="AT217" s="452"/>
      <c r="AU217" s="452"/>
      <c r="AV217" s="452"/>
      <c r="AW217" s="452"/>
      <c r="AX217" s="452"/>
    </row>
    <row r="218" spans="1:50" s="26" customFormat="1" ht="15.6" x14ac:dyDescent="0.3">
      <c r="A218"/>
      <c r="B218"/>
      <c r="C218"/>
      <c r="D218"/>
      <c r="E218" s="344"/>
      <c r="F218"/>
      <c r="G218"/>
      <c r="H218"/>
      <c r="I218"/>
      <c r="J218"/>
      <c r="K218"/>
      <c r="L218"/>
      <c r="M218" s="203"/>
      <c r="N218" s="203"/>
      <c r="O218" s="203"/>
      <c r="P218" s="239"/>
      <c r="Q218"/>
      <c r="R218"/>
      <c r="S218"/>
      <c r="T218"/>
      <c r="U218"/>
      <c r="V218"/>
      <c r="W218" s="738"/>
      <c r="X218" s="739"/>
      <c r="Y218" s="469">
        <f>SUM(Y117:Y217)</f>
        <v>64459435.25</v>
      </c>
      <c r="Z218" s="452"/>
      <c r="AA218" s="452"/>
      <c r="AB218" s="452"/>
      <c r="AC218" s="452"/>
      <c r="AD218" s="452"/>
      <c r="AE218" s="452"/>
      <c r="AF218" s="452"/>
      <c r="AG218" s="452"/>
      <c r="AH218" s="452"/>
      <c r="AI218" s="452"/>
      <c r="AJ218" s="452"/>
      <c r="AK218" s="452"/>
      <c r="AL218" s="452"/>
      <c r="AM218" s="452"/>
      <c r="AN218" s="452"/>
      <c r="AO218" s="452"/>
      <c r="AP218" s="452"/>
      <c r="AQ218" s="452"/>
      <c r="AR218" s="452"/>
      <c r="AS218" s="452"/>
      <c r="AT218" s="452"/>
      <c r="AU218" s="452"/>
      <c r="AV218" s="452"/>
      <c r="AW218" s="452"/>
      <c r="AX218" s="452"/>
    </row>
    <row r="219" spans="1:50" s="26" customFormat="1" ht="15" x14ac:dyDescent="0.25">
      <c r="E219" s="342"/>
      <c r="M219" s="92"/>
      <c r="N219" s="92"/>
      <c r="O219" s="92"/>
      <c r="P219" s="242"/>
      <c r="X219" s="452"/>
      <c r="Y219" s="452"/>
      <c r="Z219" s="452"/>
      <c r="AA219" s="452"/>
      <c r="AB219" s="452"/>
      <c r="AC219" s="452"/>
      <c r="AD219" s="452"/>
      <c r="AE219" s="452"/>
      <c r="AF219" s="452"/>
      <c r="AG219" s="452"/>
      <c r="AH219" s="452"/>
      <c r="AI219" s="452"/>
      <c r="AJ219" s="452"/>
      <c r="AK219" s="452"/>
      <c r="AL219" s="452"/>
      <c r="AM219" s="452"/>
      <c r="AN219" s="452"/>
      <c r="AO219" s="452"/>
      <c r="AP219" s="452"/>
      <c r="AQ219" s="452"/>
      <c r="AR219" s="452"/>
      <c r="AS219" s="452"/>
      <c r="AT219" s="452"/>
      <c r="AU219" s="452"/>
      <c r="AV219" s="452"/>
      <c r="AW219" s="452"/>
      <c r="AX219" s="452"/>
    </row>
    <row r="220" spans="1:50" s="26" customFormat="1" ht="15" x14ac:dyDescent="0.25">
      <c r="E220" s="342"/>
      <c r="M220" s="92"/>
      <c r="N220" s="92"/>
      <c r="O220" s="92"/>
      <c r="P220" s="242"/>
      <c r="X220" s="452"/>
      <c r="Y220" s="452"/>
      <c r="Z220" s="452"/>
      <c r="AA220" s="452"/>
      <c r="AB220" s="452"/>
      <c r="AC220" s="452"/>
      <c r="AD220" s="452"/>
      <c r="AE220" s="452"/>
      <c r="AF220" s="452"/>
      <c r="AG220" s="452"/>
      <c r="AH220" s="452"/>
      <c r="AI220" s="452"/>
      <c r="AJ220" s="452"/>
      <c r="AK220" s="452"/>
      <c r="AL220" s="452"/>
      <c r="AM220" s="452"/>
      <c r="AN220" s="452"/>
      <c r="AO220" s="452"/>
      <c r="AP220" s="452"/>
      <c r="AQ220" s="452"/>
      <c r="AR220" s="452"/>
      <c r="AS220" s="452"/>
      <c r="AT220" s="452"/>
      <c r="AU220" s="452"/>
      <c r="AV220" s="452"/>
      <c r="AW220" s="452"/>
      <c r="AX220" s="452"/>
    </row>
    <row r="221" spans="1:50" s="26" customFormat="1" ht="21" x14ac:dyDescent="0.25">
      <c r="A221" s="604" t="s">
        <v>363</v>
      </c>
      <c r="B221" s="605"/>
      <c r="C221" s="605"/>
      <c r="D221" s="605"/>
      <c r="E221" s="727" t="s">
        <v>363</v>
      </c>
      <c r="F221" s="727"/>
      <c r="G221" s="727"/>
      <c r="H221" s="727"/>
      <c r="I221" s="727"/>
      <c r="J221" s="727"/>
      <c r="K221" s="727"/>
      <c r="L221" s="605"/>
      <c r="M221" s="605"/>
      <c r="N221" s="605"/>
      <c r="O221" s="605"/>
      <c r="P221" s="605"/>
      <c r="Q221" s="605"/>
      <c r="R221" s="605"/>
      <c r="S221" s="605"/>
      <c r="T221" s="605"/>
      <c r="U221" s="605"/>
      <c r="V221" s="605"/>
      <c r="W221" s="606"/>
      <c r="X221" s="452"/>
      <c r="Y221" s="452"/>
      <c r="Z221" s="452"/>
      <c r="AA221" s="452"/>
      <c r="AB221" s="452"/>
      <c r="AC221" s="452"/>
      <c r="AD221" s="452"/>
      <c r="AE221" s="452"/>
      <c r="AF221" s="452"/>
      <c r="AG221" s="452"/>
      <c r="AH221" s="452"/>
      <c r="AI221" s="452"/>
      <c r="AJ221" s="452"/>
      <c r="AK221" s="452"/>
      <c r="AL221" s="452"/>
      <c r="AM221" s="452"/>
      <c r="AN221" s="452"/>
      <c r="AO221" s="452"/>
      <c r="AP221" s="452"/>
      <c r="AQ221" s="452"/>
      <c r="AR221" s="452"/>
      <c r="AS221" s="452"/>
      <c r="AT221" s="452"/>
      <c r="AU221" s="452"/>
      <c r="AV221" s="452"/>
      <c r="AW221" s="452"/>
      <c r="AX221" s="452"/>
    </row>
    <row r="222" spans="1:50" s="26" customFormat="1" ht="15" customHeight="1" x14ac:dyDescent="0.25">
      <c r="A222" s="740" t="s">
        <v>83</v>
      </c>
      <c r="B222" s="740" t="s">
        <v>84</v>
      </c>
      <c r="C222" s="740" t="s">
        <v>85</v>
      </c>
      <c r="D222" s="741" t="s">
        <v>86</v>
      </c>
      <c r="E222" s="740"/>
      <c r="F222" s="740" t="s">
        <v>87</v>
      </c>
      <c r="G222" s="740"/>
      <c r="H222" s="42"/>
      <c r="I222" s="42"/>
      <c r="J222" s="740" t="s">
        <v>88</v>
      </c>
      <c r="K222" s="736" t="s">
        <v>89</v>
      </c>
      <c r="L222" s="736" t="s">
        <v>364</v>
      </c>
      <c r="M222" s="736"/>
      <c r="N222" s="736"/>
      <c r="O222" s="736" t="s">
        <v>365</v>
      </c>
      <c r="P222" s="736"/>
      <c r="Q222" s="736"/>
      <c r="R222" s="736" t="s">
        <v>366</v>
      </c>
      <c r="S222" s="736"/>
      <c r="T222" s="736"/>
      <c r="U222" s="736" t="s">
        <v>15</v>
      </c>
      <c r="V222" s="736"/>
      <c r="W222" s="736"/>
      <c r="X222" s="452"/>
      <c r="Y222" s="452"/>
      <c r="Z222" s="452"/>
      <c r="AA222" s="452"/>
      <c r="AB222" s="452"/>
      <c r="AC222" s="452"/>
      <c r="AD222" s="452"/>
      <c r="AE222" s="452"/>
      <c r="AF222" s="452"/>
      <c r="AG222" s="452"/>
      <c r="AH222" s="452"/>
      <c r="AI222" s="452"/>
      <c r="AJ222" s="452"/>
      <c r="AK222" s="452"/>
      <c r="AL222" s="452"/>
      <c r="AM222" s="452"/>
      <c r="AN222" s="452"/>
      <c r="AO222" s="452"/>
      <c r="AP222" s="452"/>
      <c r="AQ222" s="452"/>
      <c r="AR222" s="452"/>
      <c r="AS222" s="452"/>
      <c r="AT222" s="452"/>
      <c r="AU222" s="452"/>
      <c r="AV222" s="452"/>
      <c r="AW222" s="452"/>
      <c r="AX222" s="452"/>
    </row>
    <row r="223" spans="1:50" s="26" customFormat="1" ht="62.4" x14ac:dyDescent="0.25">
      <c r="A223" s="740"/>
      <c r="B223" s="740"/>
      <c r="C223" s="740"/>
      <c r="D223" s="741"/>
      <c r="E223" s="740"/>
      <c r="F223" s="740"/>
      <c r="G223" s="740"/>
      <c r="H223" s="42"/>
      <c r="I223" s="42"/>
      <c r="J223" s="740"/>
      <c r="K223" s="736"/>
      <c r="L223" s="63" t="s">
        <v>367</v>
      </c>
      <c r="M223" s="25" t="s">
        <v>17</v>
      </c>
      <c r="N223" s="25" t="s">
        <v>18</v>
      </c>
      <c r="O223" s="25" t="s">
        <v>367</v>
      </c>
      <c r="P223" s="248" t="s">
        <v>17</v>
      </c>
      <c r="Q223" s="63" t="s">
        <v>18</v>
      </c>
      <c r="R223" s="63" t="s">
        <v>367</v>
      </c>
      <c r="S223" s="63" t="s">
        <v>17</v>
      </c>
      <c r="T223" s="63" t="s">
        <v>18</v>
      </c>
      <c r="U223" s="63" t="s">
        <v>367</v>
      </c>
      <c r="V223" s="63" t="s">
        <v>17</v>
      </c>
      <c r="W223" s="63" t="s">
        <v>18</v>
      </c>
      <c r="X223" s="452"/>
      <c r="Y223" s="452"/>
      <c r="Z223" s="452"/>
      <c r="AA223" s="452"/>
      <c r="AB223" s="452"/>
      <c r="AC223" s="452"/>
      <c r="AD223" s="452"/>
      <c r="AE223" s="452"/>
      <c r="AF223" s="452"/>
      <c r="AG223" s="452"/>
      <c r="AH223" s="452"/>
      <c r="AI223" s="452"/>
      <c r="AJ223" s="452"/>
      <c r="AK223" s="452"/>
      <c r="AL223" s="452"/>
      <c r="AM223" s="452"/>
      <c r="AN223" s="452"/>
      <c r="AO223" s="452"/>
      <c r="AP223" s="452"/>
      <c r="AQ223" s="452"/>
      <c r="AR223" s="452"/>
      <c r="AS223" s="452"/>
      <c r="AT223" s="452"/>
      <c r="AU223" s="452"/>
      <c r="AV223" s="452"/>
      <c r="AW223" s="452"/>
      <c r="AX223" s="452"/>
    </row>
    <row r="224" spans="1:50" s="87" customFormat="1" ht="409.6" x14ac:dyDescent="0.3">
      <c r="A224" s="79">
        <v>5</v>
      </c>
      <c r="B224" s="80">
        <v>149221524</v>
      </c>
      <c r="C224" s="81">
        <v>272953</v>
      </c>
      <c r="D224" s="81">
        <v>10141607</v>
      </c>
      <c r="E224" s="43">
        <v>1</v>
      </c>
      <c r="F224" s="82" t="s">
        <v>368</v>
      </c>
      <c r="G224" s="83"/>
      <c r="H224" s="83"/>
      <c r="I224" s="83"/>
      <c r="J224" s="84" t="s">
        <v>25</v>
      </c>
      <c r="K224" s="81">
        <v>17</v>
      </c>
      <c r="L224" s="85">
        <v>368900</v>
      </c>
      <c r="M224" s="86">
        <v>0.19</v>
      </c>
      <c r="N224" s="85">
        <f>L224*K224</f>
        <v>6271300</v>
      </c>
      <c r="O224" s="85">
        <v>490399</v>
      </c>
      <c r="P224" s="244">
        <v>0.19</v>
      </c>
      <c r="Q224" s="85">
        <f>O224*K224</f>
        <v>8336783</v>
      </c>
      <c r="R224" s="85">
        <v>404600</v>
      </c>
      <c r="S224" s="86">
        <v>0.19</v>
      </c>
      <c r="T224" s="85">
        <f>R224*K224</f>
        <v>6878200</v>
      </c>
      <c r="U224" s="85">
        <f>SUM(L224+O224+R224)/3</f>
        <v>421299.66666666669</v>
      </c>
      <c r="V224" s="86">
        <v>0.19</v>
      </c>
      <c r="W224" s="85">
        <f>K224*U224</f>
        <v>7162094.333333334</v>
      </c>
      <c r="X224" s="470"/>
      <c r="Y224" s="470"/>
      <c r="Z224" s="470"/>
      <c r="AA224" s="470"/>
      <c r="AB224" s="470"/>
      <c r="AC224" s="470"/>
      <c r="AD224" s="470"/>
      <c r="AE224" s="470"/>
      <c r="AF224" s="470"/>
      <c r="AG224" s="470"/>
      <c r="AH224" s="470"/>
      <c r="AI224" s="470"/>
      <c r="AJ224" s="470"/>
      <c r="AK224" s="470"/>
      <c r="AL224" s="470"/>
      <c r="AM224" s="470"/>
      <c r="AN224" s="470"/>
      <c r="AO224" s="470"/>
      <c r="AP224" s="470"/>
      <c r="AQ224" s="470"/>
      <c r="AR224" s="470"/>
      <c r="AS224" s="470"/>
      <c r="AT224" s="470"/>
      <c r="AU224" s="470"/>
      <c r="AV224" s="470"/>
      <c r="AW224" s="470"/>
      <c r="AX224" s="470"/>
    </row>
    <row r="225" spans="1:50" s="87" customFormat="1" ht="409.6" x14ac:dyDescent="0.3">
      <c r="A225" s="79">
        <v>5</v>
      </c>
      <c r="B225" s="80">
        <v>149221524</v>
      </c>
      <c r="C225" s="81">
        <v>272953</v>
      </c>
      <c r="D225" s="81">
        <v>10141607</v>
      </c>
      <c r="E225" s="43">
        <v>2</v>
      </c>
      <c r="F225" s="82" t="s">
        <v>369</v>
      </c>
      <c r="G225" s="83"/>
      <c r="H225" s="83"/>
      <c r="I225" s="83"/>
      <c r="J225" s="84" t="s">
        <v>25</v>
      </c>
      <c r="K225" s="81">
        <v>11</v>
      </c>
      <c r="L225" s="85">
        <v>1254260</v>
      </c>
      <c r="M225" s="86">
        <v>0.19</v>
      </c>
      <c r="N225" s="85">
        <f t="shared" ref="N225:N232" si="43">L225*K225</f>
        <v>13796860</v>
      </c>
      <c r="O225" s="85">
        <v>1538970</v>
      </c>
      <c r="P225" s="244">
        <v>0.19</v>
      </c>
      <c r="Q225" s="85">
        <f t="shared" ref="Q225:Q232" si="44">O225*K225</f>
        <v>16928670</v>
      </c>
      <c r="R225" s="85">
        <v>1309000</v>
      </c>
      <c r="S225" s="86">
        <v>0.19</v>
      </c>
      <c r="T225" s="85">
        <f t="shared" ref="T225:T232" si="45">R225*K225</f>
        <v>14399000</v>
      </c>
      <c r="U225" s="85">
        <f t="shared" ref="U225:U231" si="46">SUM(L225+O225+R225)/3</f>
        <v>1367410</v>
      </c>
      <c r="V225" s="86">
        <v>0.19</v>
      </c>
      <c r="W225" s="85">
        <f t="shared" ref="W225:W232" si="47">K225*U225</f>
        <v>15041510</v>
      </c>
      <c r="X225" s="470"/>
      <c r="Y225" s="470"/>
      <c r="Z225" s="470"/>
      <c r="AA225" s="470"/>
      <c r="AB225" s="470"/>
      <c r="AC225" s="470"/>
      <c r="AD225" s="470"/>
      <c r="AE225" s="470"/>
      <c r="AF225" s="470"/>
      <c r="AG225" s="470"/>
      <c r="AH225" s="470"/>
      <c r="AI225" s="470"/>
      <c r="AJ225" s="470"/>
      <c r="AK225" s="470"/>
      <c r="AL225" s="470"/>
      <c r="AM225" s="470"/>
      <c r="AN225" s="470"/>
      <c r="AO225" s="470"/>
      <c r="AP225" s="470"/>
      <c r="AQ225" s="470"/>
      <c r="AR225" s="470"/>
      <c r="AS225" s="470"/>
      <c r="AT225" s="470"/>
      <c r="AU225" s="470"/>
      <c r="AV225" s="470"/>
      <c r="AW225" s="470"/>
      <c r="AX225" s="470"/>
    </row>
    <row r="226" spans="1:50" s="87" customFormat="1" ht="315" x14ac:dyDescent="0.3">
      <c r="A226" s="79">
        <v>5</v>
      </c>
      <c r="B226" s="80">
        <v>149221524</v>
      </c>
      <c r="C226" s="81">
        <v>272953</v>
      </c>
      <c r="D226" s="81">
        <v>10141607</v>
      </c>
      <c r="E226" s="43">
        <v>3</v>
      </c>
      <c r="F226" s="82" t="s">
        <v>370</v>
      </c>
      <c r="G226" s="83"/>
      <c r="H226" s="83"/>
      <c r="I226" s="83"/>
      <c r="J226" s="84" t="s">
        <v>25</v>
      </c>
      <c r="K226" s="81">
        <v>17</v>
      </c>
      <c r="L226" s="85">
        <v>535500</v>
      </c>
      <c r="M226" s="86">
        <v>0.19</v>
      </c>
      <c r="N226" s="85">
        <f t="shared" si="43"/>
        <v>9103500</v>
      </c>
      <c r="O226" s="85">
        <v>661997</v>
      </c>
      <c r="P226" s="244">
        <v>0.19</v>
      </c>
      <c r="Q226" s="85">
        <f t="shared" si="44"/>
        <v>11253949</v>
      </c>
      <c r="R226" s="85">
        <v>547400</v>
      </c>
      <c r="S226" s="86">
        <v>0.19</v>
      </c>
      <c r="T226" s="85">
        <f t="shared" si="45"/>
        <v>9305800</v>
      </c>
      <c r="U226" s="85">
        <f t="shared" si="46"/>
        <v>581632.33333333337</v>
      </c>
      <c r="V226" s="86">
        <v>0.19</v>
      </c>
      <c r="W226" s="85">
        <f t="shared" si="47"/>
        <v>9887749.6666666679</v>
      </c>
      <c r="X226" s="470"/>
      <c r="Y226" s="470"/>
      <c r="Z226" s="470"/>
      <c r="AA226" s="470"/>
      <c r="AB226" s="470"/>
      <c r="AC226" s="470"/>
      <c r="AD226" s="470"/>
      <c r="AE226" s="470"/>
      <c r="AF226" s="470"/>
      <c r="AG226" s="470"/>
      <c r="AH226" s="470"/>
      <c r="AI226" s="470"/>
      <c r="AJ226" s="470"/>
      <c r="AK226" s="470"/>
      <c r="AL226" s="470"/>
      <c r="AM226" s="470"/>
      <c r="AN226" s="470"/>
      <c r="AO226" s="470"/>
      <c r="AP226" s="470"/>
      <c r="AQ226" s="470"/>
      <c r="AR226" s="470"/>
      <c r="AS226" s="470"/>
      <c r="AT226" s="470"/>
      <c r="AU226" s="470"/>
      <c r="AV226" s="470"/>
      <c r="AW226" s="470"/>
      <c r="AX226" s="470"/>
    </row>
    <row r="227" spans="1:50" s="87" customFormat="1" ht="360" x14ac:dyDescent="0.3">
      <c r="A227" s="79">
        <v>5</v>
      </c>
      <c r="B227" s="88" t="s">
        <v>371</v>
      </c>
      <c r="C227" s="88" t="s">
        <v>372</v>
      </c>
      <c r="D227" s="81">
        <v>46182302</v>
      </c>
      <c r="E227" s="43">
        <v>4</v>
      </c>
      <c r="F227" s="82" t="s">
        <v>373</v>
      </c>
      <c r="G227" s="83"/>
      <c r="H227" s="83"/>
      <c r="I227" s="83"/>
      <c r="J227" s="84" t="s">
        <v>25</v>
      </c>
      <c r="K227" s="81">
        <v>20</v>
      </c>
      <c r="L227" s="85">
        <v>297500</v>
      </c>
      <c r="M227" s="86">
        <v>0.19</v>
      </c>
      <c r="N227" s="85">
        <f t="shared" si="43"/>
        <v>5950000</v>
      </c>
      <c r="O227" s="85">
        <v>358666</v>
      </c>
      <c r="P227" s="244">
        <v>0.19</v>
      </c>
      <c r="Q227" s="85">
        <f t="shared" si="44"/>
        <v>7173320</v>
      </c>
      <c r="R227" s="85">
        <v>321300</v>
      </c>
      <c r="S227" s="86">
        <v>0.19</v>
      </c>
      <c r="T227" s="85">
        <f t="shared" si="45"/>
        <v>6426000</v>
      </c>
      <c r="U227" s="85">
        <f t="shared" si="46"/>
        <v>325822</v>
      </c>
      <c r="V227" s="86">
        <v>0.19</v>
      </c>
      <c r="W227" s="85">
        <f t="shared" si="47"/>
        <v>6516440</v>
      </c>
      <c r="X227" s="470"/>
      <c r="Y227" s="470"/>
      <c r="Z227" s="470"/>
      <c r="AA227" s="470"/>
      <c r="AB227" s="470"/>
      <c r="AC227" s="470"/>
      <c r="AD227" s="470"/>
      <c r="AE227" s="470"/>
      <c r="AF227" s="470"/>
      <c r="AG227" s="470"/>
      <c r="AH227" s="470"/>
      <c r="AI227" s="470"/>
      <c r="AJ227" s="470"/>
      <c r="AK227" s="470"/>
      <c r="AL227" s="470"/>
      <c r="AM227" s="470"/>
      <c r="AN227" s="470"/>
      <c r="AO227" s="470"/>
      <c r="AP227" s="470"/>
      <c r="AQ227" s="470"/>
      <c r="AR227" s="470"/>
      <c r="AS227" s="470"/>
      <c r="AT227" s="470"/>
      <c r="AU227" s="470"/>
      <c r="AV227" s="470"/>
      <c r="AW227" s="470"/>
      <c r="AX227" s="470"/>
    </row>
    <row r="228" spans="1:50" s="87" customFormat="1" ht="300" x14ac:dyDescent="0.3">
      <c r="A228" s="79">
        <v>5</v>
      </c>
      <c r="B228" s="43">
        <v>146182309</v>
      </c>
      <c r="C228" s="43">
        <v>239683</v>
      </c>
      <c r="D228" s="81"/>
      <c r="E228" s="43">
        <v>5</v>
      </c>
      <c r="F228" s="82" t="s">
        <v>374</v>
      </c>
      <c r="G228" s="83"/>
      <c r="H228" s="83"/>
      <c r="I228" s="83"/>
      <c r="J228" s="84" t="s">
        <v>25</v>
      </c>
      <c r="K228" s="81">
        <v>20</v>
      </c>
      <c r="L228" s="85">
        <v>83300</v>
      </c>
      <c r="M228" s="86">
        <v>0.19</v>
      </c>
      <c r="N228" s="85">
        <f t="shared" si="43"/>
        <v>1666000</v>
      </c>
      <c r="O228" s="85">
        <v>57120</v>
      </c>
      <c r="P228" s="244">
        <v>0.19</v>
      </c>
      <c r="Q228" s="85">
        <f t="shared" si="44"/>
        <v>1142400</v>
      </c>
      <c r="R228" s="85">
        <v>83300</v>
      </c>
      <c r="S228" s="86">
        <v>0.19</v>
      </c>
      <c r="T228" s="85">
        <f t="shared" si="45"/>
        <v>1666000</v>
      </c>
      <c r="U228" s="85">
        <f t="shared" si="46"/>
        <v>74573.333333333328</v>
      </c>
      <c r="V228" s="86">
        <v>0.19</v>
      </c>
      <c r="W228" s="85">
        <f t="shared" si="47"/>
        <v>1491466.6666666665</v>
      </c>
      <c r="X228" s="470"/>
      <c r="Y228" s="470"/>
      <c r="Z228" s="470"/>
      <c r="AA228" s="470"/>
      <c r="AB228" s="470"/>
      <c r="AC228" s="470"/>
      <c r="AD228" s="470"/>
      <c r="AE228" s="470"/>
      <c r="AF228" s="470"/>
      <c r="AG228" s="470"/>
      <c r="AH228" s="470"/>
      <c r="AI228" s="470"/>
      <c r="AJ228" s="470"/>
      <c r="AK228" s="470"/>
      <c r="AL228" s="470"/>
      <c r="AM228" s="470"/>
      <c r="AN228" s="470"/>
      <c r="AO228" s="470"/>
      <c r="AP228" s="470"/>
      <c r="AQ228" s="470"/>
      <c r="AR228" s="470"/>
      <c r="AS228" s="470"/>
      <c r="AT228" s="470"/>
      <c r="AU228" s="470"/>
      <c r="AV228" s="470"/>
      <c r="AW228" s="470"/>
      <c r="AX228" s="470"/>
    </row>
    <row r="229" spans="1:50" s="87" customFormat="1" ht="270" x14ac:dyDescent="0.3">
      <c r="A229" s="79">
        <v>5</v>
      </c>
      <c r="B229" s="80">
        <v>146161515</v>
      </c>
      <c r="C229" s="81">
        <v>246677</v>
      </c>
      <c r="D229" s="81">
        <v>46181504</v>
      </c>
      <c r="E229" s="43">
        <v>6</v>
      </c>
      <c r="F229" s="82" t="s">
        <v>375</v>
      </c>
      <c r="G229" s="83"/>
      <c r="H229" s="83"/>
      <c r="I229" s="83"/>
      <c r="J229" s="81" t="s">
        <v>25</v>
      </c>
      <c r="K229" s="81">
        <v>7</v>
      </c>
      <c r="L229" s="85">
        <v>130900</v>
      </c>
      <c r="M229" s="86">
        <v>0.19</v>
      </c>
      <c r="N229" s="85">
        <f t="shared" si="43"/>
        <v>916300</v>
      </c>
      <c r="O229" s="85">
        <v>268940</v>
      </c>
      <c r="P229" s="244">
        <v>0.19</v>
      </c>
      <c r="Q229" s="85">
        <f t="shared" si="44"/>
        <v>1882580</v>
      </c>
      <c r="R229" s="85">
        <v>135660</v>
      </c>
      <c r="S229" s="86">
        <v>0.19</v>
      </c>
      <c r="T229" s="85">
        <f t="shared" si="45"/>
        <v>949620</v>
      </c>
      <c r="U229" s="85">
        <f t="shared" si="46"/>
        <v>178500</v>
      </c>
      <c r="V229" s="86">
        <v>0.19</v>
      </c>
      <c r="W229" s="85">
        <f t="shared" si="47"/>
        <v>1249500</v>
      </c>
      <c r="X229" s="470"/>
      <c r="Y229" s="470"/>
      <c r="Z229" s="470"/>
      <c r="AA229" s="470"/>
      <c r="AB229" s="470"/>
      <c r="AC229" s="470"/>
      <c r="AD229" s="470"/>
      <c r="AE229" s="470"/>
      <c r="AF229" s="470"/>
      <c r="AG229" s="470"/>
      <c r="AH229" s="470"/>
      <c r="AI229" s="470"/>
      <c r="AJ229" s="470"/>
      <c r="AK229" s="470"/>
      <c r="AL229" s="470"/>
      <c r="AM229" s="470"/>
      <c r="AN229" s="470"/>
      <c r="AO229" s="470"/>
      <c r="AP229" s="470"/>
      <c r="AQ229" s="470"/>
      <c r="AR229" s="470"/>
      <c r="AS229" s="470"/>
      <c r="AT229" s="470"/>
      <c r="AU229" s="470"/>
      <c r="AV229" s="470"/>
      <c r="AW229" s="470"/>
      <c r="AX229" s="470"/>
    </row>
    <row r="230" spans="1:50" s="87" customFormat="1" ht="135" x14ac:dyDescent="0.3">
      <c r="A230" s="79">
        <v>5</v>
      </c>
      <c r="B230" s="80">
        <v>124101621</v>
      </c>
      <c r="C230" s="81">
        <v>279138</v>
      </c>
      <c r="D230" s="81">
        <v>46182314</v>
      </c>
      <c r="E230" s="43">
        <v>7</v>
      </c>
      <c r="F230" s="82" t="s">
        <v>376</v>
      </c>
      <c r="G230" s="83"/>
      <c r="H230" s="83"/>
      <c r="I230" s="83"/>
      <c r="J230" s="89" t="s">
        <v>25</v>
      </c>
      <c r="K230" s="81">
        <v>5</v>
      </c>
      <c r="L230" s="85">
        <v>357000</v>
      </c>
      <c r="M230" s="86">
        <v>0.19</v>
      </c>
      <c r="N230" s="85">
        <f t="shared" si="43"/>
        <v>1785000</v>
      </c>
      <c r="O230" s="85">
        <v>305830</v>
      </c>
      <c r="P230" s="244">
        <v>0.19</v>
      </c>
      <c r="Q230" s="85">
        <f t="shared" si="44"/>
        <v>1529150</v>
      </c>
      <c r="R230" s="85">
        <v>58310</v>
      </c>
      <c r="S230" s="86">
        <v>0.19</v>
      </c>
      <c r="T230" s="85">
        <f t="shared" si="45"/>
        <v>291550</v>
      </c>
      <c r="U230" s="85">
        <f t="shared" si="46"/>
        <v>240380</v>
      </c>
      <c r="V230" s="86">
        <v>0.19</v>
      </c>
      <c r="W230" s="85">
        <f t="shared" si="47"/>
        <v>1201900</v>
      </c>
      <c r="X230" s="470"/>
      <c r="Y230" s="470"/>
      <c r="Z230" s="470"/>
      <c r="AA230" s="470"/>
      <c r="AB230" s="470"/>
      <c r="AC230" s="470"/>
      <c r="AD230" s="470"/>
      <c r="AE230" s="470"/>
      <c r="AF230" s="470"/>
      <c r="AG230" s="470"/>
      <c r="AH230" s="470"/>
      <c r="AI230" s="470"/>
      <c r="AJ230" s="470"/>
      <c r="AK230" s="470"/>
      <c r="AL230" s="470"/>
      <c r="AM230" s="470"/>
      <c r="AN230" s="470"/>
      <c r="AO230" s="470"/>
      <c r="AP230" s="470"/>
      <c r="AQ230" s="470"/>
      <c r="AR230" s="470"/>
      <c r="AS230" s="470"/>
      <c r="AT230" s="470"/>
      <c r="AU230" s="470"/>
      <c r="AV230" s="470"/>
      <c r="AW230" s="470"/>
      <c r="AX230" s="470"/>
    </row>
    <row r="231" spans="1:50" s="87" customFormat="1" ht="105" x14ac:dyDescent="0.3">
      <c r="A231" s="79">
        <v>5</v>
      </c>
      <c r="B231" s="80">
        <v>124101621</v>
      </c>
      <c r="C231" s="81">
        <v>279138</v>
      </c>
      <c r="D231" s="81">
        <v>46182314</v>
      </c>
      <c r="E231" s="43">
        <v>8</v>
      </c>
      <c r="F231" s="82" t="s">
        <v>377</v>
      </c>
      <c r="G231" s="83"/>
      <c r="H231" s="83"/>
      <c r="I231" s="83"/>
      <c r="J231" s="89" t="s">
        <v>378</v>
      </c>
      <c r="K231" s="81">
        <v>1</v>
      </c>
      <c r="L231" s="85">
        <v>404600</v>
      </c>
      <c r="M231" s="86">
        <v>0.19</v>
      </c>
      <c r="N231" s="85">
        <f t="shared" si="43"/>
        <v>404600</v>
      </c>
      <c r="O231" s="85">
        <v>462910</v>
      </c>
      <c r="P231" s="244">
        <v>0.19</v>
      </c>
      <c r="Q231" s="85">
        <f t="shared" si="44"/>
        <v>462910</v>
      </c>
      <c r="R231" s="85">
        <v>428400</v>
      </c>
      <c r="S231" s="86">
        <v>0.19</v>
      </c>
      <c r="T231" s="85">
        <f t="shared" si="45"/>
        <v>428400</v>
      </c>
      <c r="U231" s="85">
        <f t="shared" si="46"/>
        <v>431970</v>
      </c>
      <c r="V231" s="86">
        <v>0.19</v>
      </c>
      <c r="W231" s="85">
        <f t="shared" si="47"/>
        <v>431970</v>
      </c>
      <c r="X231" s="470"/>
      <c r="Y231" s="470"/>
      <c r="Z231" s="470"/>
      <c r="AA231" s="470"/>
      <c r="AB231" s="470"/>
      <c r="AC231" s="470"/>
      <c r="AD231" s="470"/>
      <c r="AE231" s="470"/>
      <c r="AF231" s="470"/>
      <c r="AG231" s="470"/>
      <c r="AH231" s="470"/>
      <c r="AI231" s="470"/>
      <c r="AJ231" s="470"/>
      <c r="AK231" s="470"/>
      <c r="AL231" s="470"/>
      <c r="AM231" s="470"/>
      <c r="AN231" s="470"/>
      <c r="AO231" s="470"/>
      <c r="AP231" s="470"/>
      <c r="AQ231" s="470"/>
      <c r="AR231" s="470"/>
      <c r="AS231" s="470"/>
      <c r="AT231" s="470"/>
      <c r="AU231" s="470"/>
      <c r="AV231" s="470"/>
      <c r="AW231" s="470"/>
      <c r="AX231" s="470"/>
    </row>
    <row r="232" spans="1:50" s="87" customFormat="1" ht="135" x14ac:dyDescent="0.3">
      <c r="A232" s="79">
        <v>5</v>
      </c>
      <c r="B232" s="80">
        <v>124101621</v>
      </c>
      <c r="C232" s="81">
        <v>279138</v>
      </c>
      <c r="D232" s="81">
        <v>46182314</v>
      </c>
      <c r="E232" s="43">
        <v>9</v>
      </c>
      <c r="F232" s="82" t="s">
        <v>379</v>
      </c>
      <c r="G232" s="83"/>
      <c r="H232" s="83"/>
      <c r="I232" s="83"/>
      <c r="J232" s="89" t="s">
        <v>25</v>
      </c>
      <c r="K232" s="81">
        <v>5</v>
      </c>
      <c r="L232" s="85">
        <v>166600</v>
      </c>
      <c r="M232" s="86">
        <v>0.19</v>
      </c>
      <c r="N232" s="85">
        <f t="shared" si="43"/>
        <v>833000</v>
      </c>
      <c r="O232" s="85"/>
      <c r="P232" s="244">
        <v>0.19</v>
      </c>
      <c r="Q232" s="85">
        <f t="shared" si="44"/>
        <v>0</v>
      </c>
      <c r="R232" s="85">
        <v>166600</v>
      </c>
      <c r="S232" s="86">
        <v>0.19</v>
      </c>
      <c r="T232" s="85">
        <f t="shared" si="45"/>
        <v>833000</v>
      </c>
      <c r="U232" s="85">
        <f>SUM(L232+O232+R232)/2</f>
        <v>166600</v>
      </c>
      <c r="V232" s="86">
        <v>0.19</v>
      </c>
      <c r="W232" s="85">
        <f t="shared" si="47"/>
        <v>833000</v>
      </c>
      <c r="X232" s="470"/>
      <c r="Y232" s="470"/>
      <c r="Z232" s="470"/>
      <c r="AA232" s="470"/>
      <c r="AB232" s="470"/>
      <c r="AC232" s="470"/>
      <c r="AD232" s="470"/>
      <c r="AE232" s="470"/>
      <c r="AF232" s="470"/>
      <c r="AG232" s="470"/>
      <c r="AH232" s="470"/>
      <c r="AI232" s="470"/>
      <c r="AJ232" s="470"/>
      <c r="AK232" s="470"/>
      <c r="AL232" s="470"/>
      <c r="AM232" s="470"/>
      <c r="AN232" s="470"/>
      <c r="AO232" s="470"/>
      <c r="AP232" s="470"/>
      <c r="AQ232" s="470"/>
      <c r="AR232" s="470"/>
      <c r="AS232" s="470"/>
      <c r="AT232" s="470"/>
      <c r="AU232" s="470"/>
      <c r="AV232" s="470"/>
      <c r="AW232" s="470"/>
      <c r="AX232" s="470"/>
    </row>
    <row r="233" spans="1:50" s="87" customFormat="1" ht="46.5" customHeight="1" x14ac:dyDescent="0.3">
      <c r="A233" s="737" t="s">
        <v>380</v>
      </c>
      <c r="B233" s="737"/>
      <c r="C233" s="737"/>
      <c r="D233" s="737"/>
      <c r="E233" s="737"/>
      <c r="F233" s="737"/>
      <c r="G233" s="737"/>
      <c r="H233" s="737"/>
      <c r="I233" s="737"/>
      <c r="J233" s="737"/>
      <c r="K233" s="737"/>
      <c r="L233" s="737"/>
      <c r="M233" s="737"/>
      <c r="N233" s="85">
        <f>SUM(N224:N232)</f>
        <v>40726560</v>
      </c>
      <c r="O233" s="43"/>
      <c r="P233" s="244"/>
      <c r="Q233" s="85">
        <f>SUM(Q224:Q232)</f>
        <v>48709762</v>
      </c>
      <c r="R233" s="43"/>
      <c r="S233" s="43"/>
      <c r="T233" s="85">
        <f>SUM(T224:T232)</f>
        <v>41177570</v>
      </c>
      <c r="U233" s="43"/>
      <c r="V233" s="43"/>
      <c r="W233" s="85">
        <f>SUM(W224:W232)</f>
        <v>43815630.666666664</v>
      </c>
      <c r="X233" s="470"/>
      <c r="Y233" s="470"/>
      <c r="Z233" s="470"/>
      <c r="AA233" s="470"/>
      <c r="AB233" s="470"/>
      <c r="AC233" s="470"/>
      <c r="AD233" s="470"/>
      <c r="AE233" s="470"/>
      <c r="AF233" s="470"/>
      <c r="AG233" s="470"/>
      <c r="AH233" s="470"/>
      <c r="AI233" s="470"/>
      <c r="AJ233" s="470"/>
      <c r="AK233" s="470"/>
      <c r="AL233" s="470"/>
      <c r="AM233" s="470"/>
      <c r="AN233" s="470"/>
      <c r="AO233" s="470"/>
      <c r="AP233" s="470"/>
      <c r="AQ233" s="470"/>
      <c r="AR233" s="470"/>
      <c r="AS233" s="470"/>
      <c r="AT233" s="470"/>
      <c r="AU233" s="470"/>
      <c r="AV233" s="470"/>
      <c r="AW233" s="470"/>
      <c r="AX233" s="470"/>
    </row>
    <row r="234" spans="1:50" s="26" customFormat="1" ht="15.6" x14ac:dyDescent="0.25">
      <c r="A234" s="90"/>
      <c r="B234" s="90"/>
      <c r="C234" s="90"/>
      <c r="D234" s="90"/>
      <c r="E234" s="342"/>
      <c r="M234" s="92"/>
      <c r="N234" s="92"/>
      <c r="O234" s="92"/>
      <c r="P234" s="242"/>
      <c r="X234" s="452"/>
      <c r="Y234" s="452"/>
      <c r="Z234" s="452"/>
      <c r="AA234" s="452"/>
      <c r="AB234" s="452"/>
      <c r="AC234" s="452"/>
      <c r="AD234" s="452"/>
      <c r="AE234" s="452"/>
      <c r="AF234" s="452"/>
      <c r="AG234" s="452"/>
      <c r="AH234" s="452"/>
      <c r="AI234" s="452"/>
      <c r="AJ234" s="452"/>
      <c r="AK234" s="452"/>
      <c r="AL234" s="452"/>
      <c r="AM234" s="452"/>
      <c r="AN234" s="452"/>
      <c r="AO234" s="452"/>
      <c r="AP234" s="452"/>
      <c r="AQ234" s="452"/>
      <c r="AR234" s="452"/>
      <c r="AS234" s="452"/>
      <c r="AT234" s="452"/>
      <c r="AU234" s="452"/>
      <c r="AV234" s="452"/>
      <c r="AW234" s="452"/>
      <c r="AX234" s="452"/>
    </row>
    <row r="235" spans="1:50" s="26" customFormat="1" ht="15" x14ac:dyDescent="0.25">
      <c r="E235" s="342"/>
      <c r="M235" s="92"/>
      <c r="N235" s="92"/>
      <c r="O235" s="92"/>
      <c r="P235" s="242"/>
      <c r="X235" s="452"/>
      <c r="Y235" s="452"/>
      <c r="Z235" s="452"/>
      <c r="AA235" s="452"/>
      <c r="AB235" s="452"/>
      <c r="AC235" s="452"/>
      <c r="AD235" s="452"/>
      <c r="AE235" s="452"/>
      <c r="AF235" s="452"/>
      <c r="AG235" s="452"/>
      <c r="AH235" s="452"/>
      <c r="AI235" s="452"/>
      <c r="AJ235" s="452"/>
      <c r="AK235" s="452"/>
      <c r="AL235" s="452"/>
      <c r="AM235" s="452"/>
      <c r="AN235" s="452"/>
      <c r="AO235" s="452"/>
      <c r="AP235" s="452"/>
      <c r="AQ235" s="452"/>
      <c r="AR235" s="452"/>
      <c r="AS235" s="452"/>
      <c r="AT235" s="452"/>
      <c r="AU235" s="452"/>
      <c r="AV235" s="452"/>
      <c r="AW235" s="452"/>
      <c r="AX235" s="452"/>
    </row>
    <row r="236" spans="1:50" s="26" customFormat="1" ht="21" customHeight="1" x14ac:dyDescent="0.25">
      <c r="A236" s="607" t="s">
        <v>381</v>
      </c>
      <c r="B236" s="607"/>
      <c r="C236" s="607"/>
      <c r="D236" s="607"/>
      <c r="E236" s="712" t="s">
        <v>381</v>
      </c>
      <c r="F236" s="712"/>
      <c r="G236" s="712"/>
      <c r="H236" s="712"/>
      <c r="I236" s="712"/>
      <c r="J236" s="712"/>
      <c r="K236" s="607"/>
      <c r="L236" s="607"/>
      <c r="M236" s="607"/>
      <c r="N236" s="607"/>
      <c r="O236" s="607"/>
      <c r="P236" s="607"/>
      <c r="Q236" s="607"/>
      <c r="R236" s="607"/>
      <c r="S236" s="607"/>
      <c r="T236" s="54"/>
      <c r="U236" s="54"/>
      <c r="V236" s="54"/>
      <c r="X236" s="452"/>
      <c r="Y236" s="452"/>
      <c r="Z236" s="452"/>
      <c r="AA236" s="452"/>
      <c r="AB236" s="452"/>
      <c r="AC236" s="452"/>
      <c r="AD236" s="452"/>
      <c r="AE236" s="452"/>
      <c r="AF236" s="452"/>
      <c r="AG236" s="452"/>
      <c r="AH236" s="452"/>
      <c r="AI236" s="452"/>
      <c r="AJ236" s="452"/>
      <c r="AK236" s="452"/>
      <c r="AL236" s="452"/>
      <c r="AM236" s="452"/>
      <c r="AN236" s="452"/>
      <c r="AO236" s="452"/>
      <c r="AP236" s="452"/>
      <c r="AQ236" s="452"/>
      <c r="AR236" s="452"/>
      <c r="AS236" s="452"/>
      <c r="AT236" s="452"/>
      <c r="AU236" s="452"/>
      <c r="AV236" s="452"/>
      <c r="AW236" s="452"/>
      <c r="AX236" s="452"/>
    </row>
    <row r="237" spans="1:50" s="92" customFormat="1" ht="15" customHeight="1" x14ac:dyDescent="0.3">
      <c r="A237" s="709" t="s">
        <v>83</v>
      </c>
      <c r="B237" s="709" t="s">
        <v>84</v>
      </c>
      <c r="C237" s="709" t="s">
        <v>85</v>
      </c>
      <c r="D237" s="711" t="s">
        <v>86</v>
      </c>
      <c r="E237" s="709" t="s">
        <v>6</v>
      </c>
      <c r="F237" s="709" t="s">
        <v>87</v>
      </c>
      <c r="G237" s="709" t="s">
        <v>88</v>
      </c>
      <c r="H237" s="124"/>
      <c r="I237" s="124"/>
      <c r="J237" s="705" t="s">
        <v>89</v>
      </c>
      <c r="K237" s="705"/>
      <c r="L237" s="705"/>
      <c r="M237" s="705"/>
      <c r="N237" s="705"/>
      <c r="O237" s="705"/>
      <c r="P237" s="705"/>
      <c r="Q237" s="705" t="s">
        <v>15</v>
      </c>
      <c r="R237" s="705"/>
      <c r="S237" s="705"/>
      <c r="T237" s="91"/>
      <c r="U237" s="91"/>
      <c r="V237" s="91"/>
      <c r="X237" s="91"/>
      <c r="Y237" s="91"/>
      <c r="Z237" s="91"/>
      <c r="AA237" s="91"/>
      <c r="AB237" s="91"/>
      <c r="AC237" s="91"/>
      <c r="AD237" s="91"/>
      <c r="AE237" s="91"/>
      <c r="AF237" s="91"/>
      <c r="AG237" s="91"/>
      <c r="AH237" s="91"/>
      <c r="AI237" s="91"/>
      <c r="AJ237" s="91"/>
      <c r="AK237" s="91"/>
      <c r="AL237" s="91"/>
      <c r="AM237" s="91"/>
      <c r="AN237" s="91"/>
      <c r="AO237" s="91"/>
      <c r="AP237" s="91"/>
      <c r="AQ237" s="91"/>
      <c r="AR237" s="91"/>
      <c r="AS237" s="91"/>
      <c r="AT237" s="91"/>
      <c r="AU237" s="91"/>
      <c r="AV237" s="91"/>
      <c r="AW237" s="91"/>
      <c r="AX237" s="91"/>
    </row>
    <row r="238" spans="1:50" s="92" customFormat="1" ht="60" customHeight="1" x14ac:dyDescent="0.3">
      <c r="A238" s="709"/>
      <c r="B238" s="709"/>
      <c r="C238" s="709"/>
      <c r="D238" s="711"/>
      <c r="E238" s="709"/>
      <c r="F238" s="709"/>
      <c r="G238" s="709"/>
      <c r="H238" s="124"/>
      <c r="I238" s="124"/>
      <c r="J238" s="705"/>
      <c r="K238" s="25" t="s">
        <v>382</v>
      </c>
      <c r="L238" s="25" t="s">
        <v>17</v>
      </c>
      <c r="M238" s="25" t="s">
        <v>18</v>
      </c>
      <c r="N238" s="25" t="s">
        <v>367</v>
      </c>
      <c r="O238" s="25" t="s">
        <v>17</v>
      </c>
      <c r="P238" s="248" t="s">
        <v>18</v>
      </c>
      <c r="Q238" s="25" t="s">
        <v>367</v>
      </c>
      <c r="R238" s="25" t="s">
        <v>17</v>
      </c>
      <c r="S238" s="25" t="s">
        <v>18</v>
      </c>
      <c r="U238" s="92">
        <v>10</v>
      </c>
      <c r="X238" s="91"/>
      <c r="Y238" s="91"/>
      <c r="Z238" s="91"/>
      <c r="AA238" s="91"/>
      <c r="AB238" s="91"/>
      <c r="AC238" s="91"/>
      <c r="AD238" s="91"/>
      <c r="AE238" s="91"/>
      <c r="AF238" s="91"/>
      <c r="AG238" s="91"/>
      <c r="AH238" s="91"/>
      <c r="AI238" s="91"/>
      <c r="AJ238" s="91"/>
      <c r="AK238" s="91"/>
      <c r="AL238" s="91"/>
      <c r="AM238" s="91"/>
      <c r="AN238" s="91"/>
      <c r="AO238" s="91"/>
      <c r="AP238" s="91"/>
      <c r="AQ238" s="91"/>
      <c r="AR238" s="91"/>
      <c r="AS238" s="91"/>
      <c r="AT238" s="91"/>
      <c r="AU238" s="91"/>
      <c r="AV238" s="91"/>
      <c r="AW238" s="91"/>
      <c r="AX238" s="91"/>
    </row>
    <row r="239" spans="1:50" s="96" customFormat="1" ht="45" x14ac:dyDescent="0.3">
      <c r="A239" s="3">
        <v>5</v>
      </c>
      <c r="B239" s="119">
        <v>144111423</v>
      </c>
      <c r="C239" s="120">
        <v>280703</v>
      </c>
      <c r="D239" s="10">
        <v>14111812</v>
      </c>
      <c r="E239" s="10">
        <v>1</v>
      </c>
      <c r="F239" s="84" t="s">
        <v>383</v>
      </c>
      <c r="G239" s="81" t="s">
        <v>384</v>
      </c>
      <c r="H239" s="81"/>
      <c r="I239" s="81"/>
      <c r="J239" s="81">
        <v>30</v>
      </c>
      <c r="K239" s="93">
        <v>10000</v>
      </c>
      <c r="L239" s="94">
        <v>0.19</v>
      </c>
      <c r="M239" s="95">
        <f>K239*J239</f>
        <v>300000</v>
      </c>
      <c r="N239" s="102">
        <v>23000</v>
      </c>
      <c r="O239" s="94">
        <v>0.19</v>
      </c>
      <c r="P239" s="95">
        <f>N239*J239</f>
        <v>690000</v>
      </c>
      <c r="Q239" s="95">
        <f>SUM(K239+N239)/2</f>
        <v>16500</v>
      </c>
      <c r="R239" s="94">
        <v>0.19</v>
      </c>
      <c r="S239" s="95">
        <f>Q239*J239</f>
        <v>495000</v>
      </c>
      <c r="T239" s="92">
        <v>10</v>
      </c>
      <c r="U239" s="92">
        <f>T239+J239</f>
        <v>40</v>
      </c>
      <c r="V239" s="92"/>
      <c r="W239" s="92"/>
      <c r="X239" s="91"/>
      <c r="Y239" s="91"/>
      <c r="Z239" s="91"/>
      <c r="AA239" s="91"/>
      <c r="AB239" s="91"/>
      <c r="AC239" s="91"/>
      <c r="AD239" s="91"/>
      <c r="AE239" s="91"/>
      <c r="AF239" s="91"/>
      <c r="AG239" s="91"/>
      <c r="AH239" s="91"/>
      <c r="AI239" s="91"/>
      <c r="AJ239" s="91"/>
      <c r="AK239" s="91"/>
      <c r="AL239" s="91"/>
      <c r="AM239" s="471"/>
      <c r="AN239" s="472"/>
      <c r="AO239" s="472"/>
      <c r="AP239" s="472"/>
      <c r="AQ239" s="472"/>
      <c r="AR239" s="472"/>
      <c r="AS239" s="472"/>
      <c r="AT239" s="472"/>
      <c r="AU239" s="472"/>
      <c r="AV239" s="472"/>
      <c r="AW239" s="472"/>
      <c r="AX239" s="472"/>
    </row>
    <row r="240" spans="1:50" s="107" customFormat="1" ht="30" x14ac:dyDescent="0.3">
      <c r="A240" s="3">
        <v>5</v>
      </c>
      <c r="B240" s="3">
        <v>155101529</v>
      </c>
      <c r="C240" s="3">
        <v>244539</v>
      </c>
      <c r="D240" s="3">
        <v>14111810</v>
      </c>
      <c r="E240" s="3">
        <v>2</v>
      </c>
      <c r="F240" s="105" t="s">
        <v>385</v>
      </c>
      <c r="G240" s="104" t="s">
        <v>384</v>
      </c>
      <c r="H240" s="104"/>
      <c r="I240" s="104"/>
      <c r="J240" s="104">
        <v>30</v>
      </c>
      <c r="K240" s="103">
        <v>10495</v>
      </c>
      <c r="L240" s="106">
        <v>0.19</v>
      </c>
      <c r="M240" s="103">
        <f t="shared" ref="M240:M252" si="48">K240*J240</f>
        <v>314850</v>
      </c>
      <c r="N240" s="103"/>
      <c r="O240" s="106">
        <v>0.19</v>
      </c>
      <c r="P240" s="103">
        <f t="shared" ref="P240:P252" si="49">N240*J240</f>
        <v>0</v>
      </c>
      <c r="Q240" s="103">
        <f>SUM(K240+N240)/1</f>
        <v>10495</v>
      </c>
      <c r="R240" s="106">
        <v>0.19</v>
      </c>
      <c r="S240" s="103">
        <f t="shared" ref="S240:S252" si="50">Q240*J240</f>
        <v>314850</v>
      </c>
      <c r="T240" s="92">
        <v>10</v>
      </c>
      <c r="U240" s="92">
        <f>T240+J240</f>
        <v>40</v>
      </c>
      <c r="V240" s="108"/>
      <c r="W240" s="108"/>
      <c r="X240" s="91"/>
      <c r="Y240" s="91"/>
      <c r="Z240" s="91"/>
      <c r="AA240" s="91"/>
      <c r="AB240" s="91"/>
      <c r="AC240" s="91"/>
      <c r="AD240" s="91"/>
      <c r="AE240" s="91"/>
      <c r="AF240" s="91"/>
      <c r="AG240" s="91"/>
      <c r="AH240" s="91"/>
      <c r="AI240" s="91"/>
      <c r="AJ240" s="91"/>
      <c r="AK240" s="91"/>
      <c r="AL240" s="91"/>
      <c r="AM240" s="471"/>
      <c r="AN240" s="472"/>
      <c r="AO240" s="472"/>
      <c r="AP240" s="472"/>
      <c r="AQ240" s="472"/>
      <c r="AR240" s="472"/>
      <c r="AS240" s="472"/>
      <c r="AT240" s="472"/>
      <c r="AU240" s="472"/>
      <c r="AV240" s="472"/>
      <c r="AW240" s="472"/>
      <c r="AX240" s="472"/>
    </row>
    <row r="241" spans="1:50" s="96" customFormat="1" ht="210" x14ac:dyDescent="0.3">
      <c r="A241" s="16">
        <v>5</v>
      </c>
      <c r="B241" s="121" t="s">
        <v>386</v>
      </c>
      <c r="C241" s="121" t="s">
        <v>387</v>
      </c>
      <c r="D241" s="17">
        <v>41111621</v>
      </c>
      <c r="E241" s="16">
        <v>3</v>
      </c>
      <c r="F241" s="97" t="s">
        <v>388</v>
      </c>
      <c r="G241" s="46" t="s">
        <v>25</v>
      </c>
      <c r="H241" s="46"/>
      <c r="I241" s="46"/>
      <c r="J241" s="46">
        <v>15</v>
      </c>
      <c r="K241" s="99">
        <v>32900</v>
      </c>
      <c r="L241" s="94">
        <v>0.19</v>
      </c>
      <c r="M241" s="95">
        <f t="shared" si="48"/>
        <v>493500</v>
      </c>
      <c r="N241" s="95">
        <v>50100</v>
      </c>
      <c r="O241" s="94">
        <v>0.19</v>
      </c>
      <c r="P241" s="95">
        <f t="shared" si="49"/>
        <v>751500</v>
      </c>
      <c r="Q241" s="95">
        <f t="shared" ref="Q241:Q252" si="51">SUM(K241+N241)/2</f>
        <v>41500</v>
      </c>
      <c r="R241" s="94">
        <v>0.19</v>
      </c>
      <c r="S241" s="95">
        <f t="shared" si="50"/>
        <v>622500</v>
      </c>
      <c r="T241" s="92">
        <v>10</v>
      </c>
      <c r="U241" s="92">
        <f t="shared" ref="U241:U304" si="52">T241+J241</f>
        <v>25</v>
      </c>
      <c r="V241" s="92"/>
      <c r="W241" s="92"/>
      <c r="X241" s="91"/>
      <c r="Y241" s="91"/>
      <c r="Z241" s="91"/>
      <c r="AA241" s="91"/>
      <c r="AB241" s="91"/>
      <c r="AC241" s="91"/>
      <c r="AD241" s="91"/>
      <c r="AE241" s="91"/>
      <c r="AF241" s="91"/>
      <c r="AG241" s="91"/>
      <c r="AH241" s="91"/>
      <c r="AI241" s="91"/>
      <c r="AJ241" s="91"/>
      <c r="AK241" s="91"/>
      <c r="AL241" s="91"/>
      <c r="AM241" s="471"/>
      <c r="AN241" s="472"/>
      <c r="AO241" s="472"/>
      <c r="AP241" s="472"/>
      <c r="AQ241" s="472"/>
      <c r="AR241" s="472"/>
      <c r="AS241" s="472"/>
      <c r="AT241" s="472"/>
      <c r="AU241" s="472"/>
      <c r="AV241" s="472"/>
      <c r="AW241" s="472"/>
      <c r="AX241" s="472"/>
    </row>
    <row r="242" spans="1:50" s="96" customFormat="1" ht="60" x14ac:dyDescent="0.3">
      <c r="A242" s="4">
        <v>5</v>
      </c>
      <c r="B242" s="3">
        <v>149251515</v>
      </c>
      <c r="C242" s="3">
        <v>285012</v>
      </c>
      <c r="D242" s="3">
        <v>41111604</v>
      </c>
      <c r="E242" s="10">
        <v>4</v>
      </c>
      <c r="F242" s="46" t="s">
        <v>389</v>
      </c>
      <c r="G242" s="46" t="s">
        <v>25</v>
      </c>
      <c r="H242" s="46"/>
      <c r="I242" s="46"/>
      <c r="J242" s="46">
        <v>15</v>
      </c>
      <c r="K242" s="100">
        <v>93867</v>
      </c>
      <c r="L242" s="94">
        <v>0.19</v>
      </c>
      <c r="M242" s="95">
        <f t="shared" si="48"/>
        <v>1408005</v>
      </c>
      <c r="N242" s="95">
        <v>89903</v>
      </c>
      <c r="O242" s="94">
        <v>0.19</v>
      </c>
      <c r="P242" s="95">
        <f t="shared" si="49"/>
        <v>1348545</v>
      </c>
      <c r="Q242" s="95">
        <f t="shared" si="51"/>
        <v>91885</v>
      </c>
      <c r="R242" s="94">
        <v>0.19</v>
      </c>
      <c r="S242" s="95">
        <f t="shared" si="50"/>
        <v>1378275</v>
      </c>
      <c r="T242" s="92">
        <v>10</v>
      </c>
      <c r="U242" s="92">
        <f t="shared" si="52"/>
        <v>25</v>
      </c>
      <c r="V242" s="92"/>
      <c r="W242" s="92"/>
      <c r="X242" s="91"/>
      <c r="Y242" s="91"/>
      <c r="Z242" s="91"/>
      <c r="AA242" s="91"/>
      <c r="AB242" s="91"/>
      <c r="AC242" s="91"/>
      <c r="AD242" s="91"/>
      <c r="AE242" s="91"/>
      <c r="AF242" s="91"/>
      <c r="AG242" s="91"/>
      <c r="AH242" s="91"/>
      <c r="AI242" s="91"/>
      <c r="AJ242" s="91"/>
      <c r="AK242" s="91"/>
      <c r="AL242" s="91"/>
      <c r="AM242" s="471"/>
      <c r="AN242" s="472"/>
      <c r="AO242" s="472"/>
      <c r="AP242" s="472"/>
      <c r="AQ242" s="472"/>
      <c r="AR242" s="472"/>
      <c r="AS242" s="472"/>
      <c r="AT242" s="472"/>
      <c r="AU242" s="472"/>
      <c r="AV242" s="472"/>
      <c r="AW242" s="472"/>
      <c r="AX242" s="472"/>
    </row>
    <row r="243" spans="1:50" s="96" customFormat="1" ht="45" x14ac:dyDescent="0.3">
      <c r="A243" s="18">
        <v>5</v>
      </c>
      <c r="B243" s="122" t="s">
        <v>390</v>
      </c>
      <c r="C243" s="122" t="s">
        <v>391</v>
      </c>
      <c r="D243" s="18">
        <v>60124512</v>
      </c>
      <c r="E243" s="3">
        <v>5</v>
      </c>
      <c r="F243" s="97" t="s">
        <v>392</v>
      </c>
      <c r="G243" s="46" t="s">
        <v>25</v>
      </c>
      <c r="H243" s="46"/>
      <c r="I243" s="46"/>
      <c r="J243" s="43">
        <v>15</v>
      </c>
      <c r="K243" s="95">
        <v>35600</v>
      </c>
      <c r="L243" s="94">
        <v>0.19</v>
      </c>
      <c r="M243" s="95">
        <f t="shared" si="48"/>
        <v>534000</v>
      </c>
      <c r="N243" s="95">
        <v>40700</v>
      </c>
      <c r="O243" s="94">
        <v>0.19</v>
      </c>
      <c r="P243" s="95">
        <f t="shared" si="49"/>
        <v>610500</v>
      </c>
      <c r="Q243" s="95">
        <f t="shared" si="51"/>
        <v>38150</v>
      </c>
      <c r="R243" s="94">
        <v>0.19</v>
      </c>
      <c r="S243" s="95">
        <f t="shared" si="50"/>
        <v>572250</v>
      </c>
      <c r="T243" s="92">
        <v>10</v>
      </c>
      <c r="U243" s="92">
        <f t="shared" si="52"/>
        <v>25</v>
      </c>
      <c r="V243" s="92"/>
      <c r="W243" s="92"/>
      <c r="X243" s="91"/>
      <c r="Y243" s="91"/>
      <c r="Z243" s="91"/>
      <c r="AA243" s="91"/>
      <c r="AB243" s="91"/>
      <c r="AC243" s="91"/>
      <c r="AD243" s="91"/>
      <c r="AE243" s="91"/>
      <c r="AF243" s="91"/>
      <c r="AG243" s="91"/>
      <c r="AH243" s="91"/>
      <c r="AI243" s="91"/>
      <c r="AJ243" s="91"/>
      <c r="AK243" s="91"/>
      <c r="AL243" s="91"/>
      <c r="AM243" s="471"/>
      <c r="AN243" s="472"/>
      <c r="AO243" s="472"/>
      <c r="AP243" s="472"/>
      <c r="AQ243" s="472"/>
      <c r="AR243" s="472"/>
      <c r="AS243" s="472"/>
      <c r="AT243" s="472"/>
      <c r="AU243" s="472"/>
      <c r="AV243" s="472"/>
      <c r="AW243" s="472"/>
      <c r="AX243" s="472"/>
    </row>
    <row r="244" spans="1:50" s="96" customFormat="1" ht="90" x14ac:dyDescent="0.3">
      <c r="A244" s="18">
        <v>5</v>
      </c>
      <c r="B244" s="3">
        <v>144111848</v>
      </c>
      <c r="C244" s="3">
        <v>279930</v>
      </c>
      <c r="D244" s="3">
        <v>44111803</v>
      </c>
      <c r="E244" s="16">
        <v>6</v>
      </c>
      <c r="F244" s="97" t="s">
        <v>393</v>
      </c>
      <c r="G244" s="46" t="s">
        <v>25</v>
      </c>
      <c r="H244" s="46"/>
      <c r="I244" s="46"/>
      <c r="J244" s="43">
        <v>15</v>
      </c>
      <c r="K244" s="95">
        <v>25270</v>
      </c>
      <c r="L244" s="94">
        <v>0.19</v>
      </c>
      <c r="M244" s="95">
        <f t="shared" si="48"/>
        <v>379050</v>
      </c>
      <c r="N244" s="95">
        <v>25480</v>
      </c>
      <c r="O244" s="94">
        <v>0.19</v>
      </c>
      <c r="P244" s="95">
        <f t="shared" si="49"/>
        <v>382200</v>
      </c>
      <c r="Q244" s="95">
        <f t="shared" si="51"/>
        <v>25375</v>
      </c>
      <c r="R244" s="94">
        <v>0.19</v>
      </c>
      <c r="S244" s="95">
        <f t="shared" si="50"/>
        <v>380625</v>
      </c>
      <c r="T244" s="92">
        <v>10</v>
      </c>
      <c r="U244" s="92">
        <f t="shared" si="52"/>
        <v>25</v>
      </c>
      <c r="V244" s="92"/>
      <c r="W244" s="92"/>
      <c r="X244" s="91"/>
      <c r="Y244" s="91"/>
      <c r="Z244" s="91"/>
      <c r="AA244" s="91"/>
      <c r="AB244" s="91"/>
      <c r="AC244" s="91"/>
      <c r="AD244" s="91"/>
      <c r="AE244" s="91"/>
      <c r="AF244" s="91"/>
      <c r="AG244" s="91"/>
      <c r="AH244" s="91"/>
      <c r="AI244" s="91"/>
      <c r="AJ244" s="91"/>
      <c r="AK244" s="91"/>
      <c r="AL244" s="91"/>
      <c r="AM244" s="471"/>
      <c r="AN244" s="472"/>
      <c r="AO244" s="472"/>
      <c r="AP244" s="472"/>
      <c r="AQ244" s="472"/>
      <c r="AR244" s="472"/>
      <c r="AS244" s="472"/>
      <c r="AT244" s="472"/>
      <c r="AU244" s="472"/>
      <c r="AV244" s="472"/>
      <c r="AW244" s="472"/>
      <c r="AX244" s="472"/>
    </row>
    <row r="245" spans="1:50" s="96" customFormat="1" ht="45" x14ac:dyDescent="0.3">
      <c r="A245" s="18">
        <v>5</v>
      </c>
      <c r="B245" s="3">
        <v>141111634</v>
      </c>
      <c r="C245" s="3">
        <v>247394</v>
      </c>
      <c r="D245" s="3">
        <v>41111613</v>
      </c>
      <c r="E245" s="10">
        <v>7</v>
      </c>
      <c r="F245" s="97" t="s">
        <v>394</v>
      </c>
      <c r="G245" s="46" t="s">
        <v>25</v>
      </c>
      <c r="H245" s="46"/>
      <c r="I245" s="46"/>
      <c r="J245" s="43">
        <v>15</v>
      </c>
      <c r="K245" s="95">
        <v>20805</v>
      </c>
      <c r="L245" s="94">
        <v>0.19</v>
      </c>
      <c r="M245" s="95">
        <f t="shared" si="48"/>
        <v>312075</v>
      </c>
      <c r="N245" s="95">
        <v>22900</v>
      </c>
      <c r="O245" s="94">
        <v>0.19</v>
      </c>
      <c r="P245" s="95">
        <f t="shared" si="49"/>
        <v>343500</v>
      </c>
      <c r="Q245" s="95">
        <f t="shared" si="51"/>
        <v>21852.5</v>
      </c>
      <c r="R245" s="94">
        <v>0.19</v>
      </c>
      <c r="S245" s="95">
        <f t="shared" si="50"/>
        <v>327787.5</v>
      </c>
      <c r="T245" s="92">
        <v>10</v>
      </c>
      <c r="U245" s="92">
        <f t="shared" si="52"/>
        <v>25</v>
      </c>
      <c r="V245" s="92"/>
      <c r="W245" s="92"/>
      <c r="X245" s="91"/>
      <c r="Y245" s="91"/>
      <c r="Z245" s="91"/>
      <c r="AA245" s="91"/>
      <c r="AB245" s="91"/>
      <c r="AC245" s="91"/>
      <c r="AD245" s="91"/>
      <c r="AE245" s="91"/>
      <c r="AF245" s="91"/>
      <c r="AG245" s="91"/>
      <c r="AH245" s="91"/>
      <c r="AI245" s="91"/>
      <c r="AJ245" s="91"/>
      <c r="AK245" s="91"/>
      <c r="AL245" s="91"/>
      <c r="AM245" s="471"/>
      <c r="AN245" s="472"/>
      <c r="AO245" s="472"/>
      <c r="AP245" s="472"/>
      <c r="AQ245" s="472"/>
      <c r="AR245" s="472"/>
      <c r="AS245" s="472"/>
      <c r="AT245" s="472"/>
      <c r="AU245" s="472"/>
      <c r="AV245" s="472"/>
      <c r="AW245" s="472"/>
      <c r="AX245" s="472"/>
    </row>
    <row r="246" spans="1:50" s="96" customFormat="1" ht="45" x14ac:dyDescent="0.3">
      <c r="A246" s="18">
        <v>5</v>
      </c>
      <c r="B246" s="3">
        <v>144111853</v>
      </c>
      <c r="C246" s="3">
        <v>275860</v>
      </c>
      <c r="D246" s="3">
        <v>41111604</v>
      </c>
      <c r="E246" s="3">
        <v>8</v>
      </c>
      <c r="F246" s="97" t="s">
        <v>395</v>
      </c>
      <c r="G246" s="46" t="s">
        <v>25</v>
      </c>
      <c r="H246" s="46"/>
      <c r="I246" s="46"/>
      <c r="J246" s="43">
        <v>15</v>
      </c>
      <c r="K246" s="95">
        <v>13300</v>
      </c>
      <c r="L246" s="94">
        <v>0.19</v>
      </c>
      <c r="M246" s="95">
        <f t="shared" si="48"/>
        <v>199500</v>
      </c>
      <c r="N246" s="95">
        <v>12000</v>
      </c>
      <c r="O246" s="94">
        <v>0.19</v>
      </c>
      <c r="P246" s="95">
        <f t="shared" si="49"/>
        <v>180000</v>
      </c>
      <c r="Q246" s="95">
        <f t="shared" si="51"/>
        <v>12650</v>
      </c>
      <c r="R246" s="94">
        <v>0.19</v>
      </c>
      <c r="S246" s="95">
        <f t="shared" si="50"/>
        <v>189750</v>
      </c>
      <c r="T246" s="92">
        <v>10</v>
      </c>
      <c r="U246" s="92">
        <f t="shared" si="52"/>
        <v>25</v>
      </c>
      <c r="V246" s="92"/>
      <c r="W246" s="92"/>
      <c r="X246" s="91"/>
      <c r="Y246" s="91"/>
      <c r="Z246" s="91"/>
      <c r="AA246" s="91"/>
      <c r="AB246" s="91"/>
      <c r="AC246" s="91"/>
      <c r="AD246" s="91"/>
      <c r="AE246" s="91"/>
      <c r="AF246" s="91"/>
      <c r="AG246" s="91"/>
      <c r="AH246" s="91"/>
      <c r="AI246" s="91"/>
      <c r="AJ246" s="91"/>
      <c r="AK246" s="91"/>
      <c r="AL246" s="91"/>
      <c r="AM246" s="471"/>
      <c r="AN246" s="472"/>
      <c r="AO246" s="472"/>
      <c r="AP246" s="472"/>
      <c r="AQ246" s="472"/>
      <c r="AR246" s="472"/>
      <c r="AS246" s="472"/>
      <c r="AT246" s="472"/>
      <c r="AU246" s="472"/>
      <c r="AV246" s="472"/>
      <c r="AW246" s="472"/>
      <c r="AX246" s="472"/>
    </row>
    <row r="247" spans="1:50" s="96" customFormat="1" ht="45" x14ac:dyDescent="0.3">
      <c r="A247" s="18">
        <v>5</v>
      </c>
      <c r="B247" s="3">
        <v>144101811</v>
      </c>
      <c r="C247" s="3">
        <v>279797</v>
      </c>
      <c r="D247" s="3">
        <v>44101808</v>
      </c>
      <c r="E247" s="16">
        <v>9</v>
      </c>
      <c r="F247" s="97" t="s">
        <v>396</v>
      </c>
      <c r="G247" s="46" t="s">
        <v>25</v>
      </c>
      <c r="H247" s="46"/>
      <c r="I247" s="46"/>
      <c r="J247" s="43">
        <v>15</v>
      </c>
      <c r="K247" s="95">
        <v>96900</v>
      </c>
      <c r="L247" s="94">
        <v>0.19</v>
      </c>
      <c r="M247" s="95">
        <f t="shared" si="48"/>
        <v>1453500</v>
      </c>
      <c r="N247" s="95">
        <v>90000</v>
      </c>
      <c r="O247" s="94">
        <v>0.19</v>
      </c>
      <c r="P247" s="95">
        <f t="shared" si="49"/>
        <v>1350000</v>
      </c>
      <c r="Q247" s="95">
        <f t="shared" si="51"/>
        <v>93450</v>
      </c>
      <c r="R247" s="94">
        <v>0.19</v>
      </c>
      <c r="S247" s="95">
        <f t="shared" si="50"/>
        <v>1401750</v>
      </c>
      <c r="T247" s="92">
        <v>10</v>
      </c>
      <c r="U247" s="92">
        <f t="shared" si="52"/>
        <v>25</v>
      </c>
      <c r="V247" s="92"/>
      <c r="W247" s="92"/>
      <c r="X247" s="91"/>
      <c r="Y247" s="91"/>
      <c r="Z247" s="91"/>
      <c r="AA247" s="91"/>
      <c r="AB247" s="91"/>
      <c r="AC247" s="91"/>
      <c r="AD247" s="91"/>
      <c r="AE247" s="91"/>
      <c r="AF247" s="91"/>
      <c r="AG247" s="91"/>
      <c r="AH247" s="91"/>
      <c r="AI247" s="91"/>
      <c r="AJ247" s="91"/>
      <c r="AK247" s="91"/>
      <c r="AL247" s="91"/>
      <c r="AM247" s="471"/>
      <c r="AN247" s="472"/>
      <c r="AO247" s="472"/>
      <c r="AP247" s="472"/>
      <c r="AQ247" s="472"/>
      <c r="AR247" s="472"/>
      <c r="AS247" s="472"/>
      <c r="AT247" s="472"/>
      <c r="AU247" s="472"/>
      <c r="AV247" s="472"/>
      <c r="AW247" s="472"/>
      <c r="AX247" s="472"/>
    </row>
    <row r="248" spans="1:50" s="96" customFormat="1" ht="15" x14ac:dyDescent="0.3">
      <c r="A248" s="109">
        <v>5</v>
      </c>
      <c r="B248" s="123">
        <v>114122227</v>
      </c>
      <c r="C248" s="113" t="s">
        <v>397</v>
      </c>
      <c r="D248" s="3">
        <v>14111519</v>
      </c>
      <c r="E248" s="10">
        <v>10</v>
      </c>
      <c r="F248" s="101" t="s">
        <v>398</v>
      </c>
      <c r="G248" s="81" t="s">
        <v>25</v>
      </c>
      <c r="H248" s="81"/>
      <c r="I248" s="81"/>
      <c r="J248" s="98">
        <v>110</v>
      </c>
      <c r="K248" s="95">
        <v>1700</v>
      </c>
      <c r="L248" s="94">
        <v>0.19</v>
      </c>
      <c r="M248" s="95">
        <f t="shared" si="48"/>
        <v>187000</v>
      </c>
      <c r="N248" s="95">
        <v>1800</v>
      </c>
      <c r="O248" s="94">
        <v>0.19</v>
      </c>
      <c r="P248" s="95">
        <f t="shared" si="49"/>
        <v>198000</v>
      </c>
      <c r="Q248" s="95">
        <f t="shared" si="51"/>
        <v>1750</v>
      </c>
      <c r="R248" s="94">
        <v>0.19</v>
      </c>
      <c r="S248" s="95">
        <f t="shared" si="50"/>
        <v>192500</v>
      </c>
      <c r="T248" s="92">
        <v>10</v>
      </c>
      <c r="U248" s="92">
        <f t="shared" si="52"/>
        <v>120</v>
      </c>
      <c r="V248" s="92"/>
      <c r="W248" s="92"/>
      <c r="X248" s="91"/>
      <c r="Y248" s="91"/>
      <c r="Z248" s="91"/>
      <c r="AA248" s="91"/>
      <c r="AB248" s="91"/>
      <c r="AC248" s="91"/>
      <c r="AD248" s="91"/>
      <c r="AE248" s="91"/>
      <c r="AF248" s="91"/>
      <c r="AG248" s="91"/>
      <c r="AH248" s="91"/>
      <c r="AI248" s="91"/>
      <c r="AJ248" s="91"/>
      <c r="AK248" s="91"/>
      <c r="AL248" s="91"/>
      <c r="AM248" s="471"/>
      <c r="AN248" s="472"/>
      <c r="AO248" s="472"/>
      <c r="AP248" s="472"/>
      <c r="AQ248" s="472"/>
      <c r="AR248" s="472"/>
      <c r="AS248" s="472"/>
      <c r="AT248" s="472"/>
      <c r="AU248" s="472"/>
      <c r="AV248" s="472"/>
      <c r="AW248" s="472"/>
      <c r="AX248" s="472"/>
    </row>
    <row r="249" spans="1:50" s="96" customFormat="1" ht="45" x14ac:dyDescent="0.3">
      <c r="A249" s="109">
        <v>5</v>
      </c>
      <c r="B249" s="3">
        <v>114122228</v>
      </c>
      <c r="C249" s="3">
        <v>275465</v>
      </c>
      <c r="D249" s="3">
        <v>14100000</v>
      </c>
      <c r="E249" s="3">
        <v>11</v>
      </c>
      <c r="F249" s="97" t="s">
        <v>399</v>
      </c>
      <c r="G249" s="81" t="s">
        <v>25</v>
      </c>
      <c r="H249" s="81"/>
      <c r="I249" s="81"/>
      <c r="J249" s="43">
        <v>20</v>
      </c>
      <c r="K249" s="95">
        <v>4500</v>
      </c>
      <c r="L249" s="94">
        <v>0.19</v>
      </c>
      <c r="M249" s="95">
        <f t="shared" si="48"/>
        <v>90000</v>
      </c>
      <c r="N249" s="95">
        <v>5700</v>
      </c>
      <c r="O249" s="94">
        <v>0.19</v>
      </c>
      <c r="P249" s="95">
        <f t="shared" si="49"/>
        <v>114000</v>
      </c>
      <c r="Q249" s="95">
        <f t="shared" si="51"/>
        <v>5100</v>
      </c>
      <c r="R249" s="94">
        <v>0.19</v>
      </c>
      <c r="S249" s="95">
        <f t="shared" si="50"/>
        <v>102000</v>
      </c>
      <c r="T249" s="92">
        <v>10</v>
      </c>
      <c r="U249" s="92">
        <f t="shared" si="52"/>
        <v>30</v>
      </c>
      <c r="V249" s="92"/>
      <c r="W249" s="92"/>
      <c r="X249" s="91"/>
      <c r="Y249" s="91"/>
      <c r="Z249" s="91"/>
      <c r="AA249" s="91"/>
      <c r="AB249" s="91"/>
      <c r="AC249" s="91"/>
      <c r="AD249" s="91"/>
      <c r="AE249" s="91"/>
      <c r="AF249" s="91"/>
      <c r="AG249" s="91"/>
      <c r="AH249" s="91"/>
      <c r="AI249" s="91"/>
      <c r="AJ249" s="91"/>
      <c r="AK249" s="91"/>
      <c r="AL249" s="91"/>
      <c r="AM249" s="471"/>
      <c r="AN249" s="472"/>
      <c r="AO249" s="472"/>
      <c r="AP249" s="472"/>
      <c r="AQ249" s="472"/>
      <c r="AR249" s="472"/>
      <c r="AS249" s="472"/>
      <c r="AT249" s="472"/>
      <c r="AU249" s="472"/>
      <c r="AV249" s="472"/>
      <c r="AW249" s="472"/>
      <c r="AX249" s="472"/>
    </row>
    <row r="250" spans="1:50" s="107" customFormat="1" ht="15" x14ac:dyDescent="0.3">
      <c r="A250" s="109">
        <v>5</v>
      </c>
      <c r="B250" s="3">
        <v>141111520</v>
      </c>
      <c r="C250" s="3">
        <v>248077</v>
      </c>
      <c r="D250" s="3">
        <v>41111502</v>
      </c>
      <c r="E250" s="10">
        <v>13</v>
      </c>
      <c r="F250" s="96" t="s">
        <v>400</v>
      </c>
      <c r="G250" s="46" t="s">
        <v>25</v>
      </c>
      <c r="H250" s="46"/>
      <c r="I250" s="46"/>
      <c r="J250" s="43">
        <v>15</v>
      </c>
      <c r="K250" s="95">
        <v>59900</v>
      </c>
      <c r="L250" s="94">
        <v>0.19</v>
      </c>
      <c r="M250" s="95">
        <f t="shared" si="48"/>
        <v>898500</v>
      </c>
      <c r="N250" s="95">
        <v>27900</v>
      </c>
      <c r="O250" s="94">
        <v>0.19</v>
      </c>
      <c r="P250" s="95">
        <f t="shared" si="49"/>
        <v>418500</v>
      </c>
      <c r="Q250" s="95">
        <f t="shared" si="51"/>
        <v>43900</v>
      </c>
      <c r="R250" s="94">
        <v>0.19</v>
      </c>
      <c r="S250" s="95">
        <f t="shared" si="50"/>
        <v>658500</v>
      </c>
      <c r="T250" s="92">
        <v>10</v>
      </c>
      <c r="U250" s="92">
        <f t="shared" si="52"/>
        <v>25</v>
      </c>
      <c r="V250" s="108"/>
      <c r="W250" s="108"/>
      <c r="X250" s="91"/>
      <c r="Y250" s="91"/>
      <c r="Z250" s="91"/>
      <c r="AA250" s="91"/>
      <c r="AB250" s="91"/>
      <c r="AC250" s="91"/>
      <c r="AD250" s="91"/>
      <c r="AE250" s="91"/>
      <c r="AF250" s="91"/>
      <c r="AG250" s="91"/>
      <c r="AH250" s="91"/>
      <c r="AI250" s="91"/>
      <c r="AJ250" s="91"/>
      <c r="AK250" s="91"/>
      <c r="AL250" s="91"/>
      <c r="AM250" s="471"/>
      <c r="AN250" s="472"/>
      <c r="AO250" s="472"/>
      <c r="AP250" s="472"/>
      <c r="AQ250" s="472"/>
      <c r="AR250" s="472"/>
      <c r="AS250" s="472"/>
      <c r="AT250" s="472"/>
      <c r="AU250" s="472"/>
      <c r="AV250" s="472"/>
      <c r="AW250" s="472"/>
      <c r="AX250" s="472"/>
    </row>
    <row r="251" spans="1:50" s="96" customFormat="1" ht="30" x14ac:dyDescent="0.3">
      <c r="A251" s="109">
        <v>5</v>
      </c>
      <c r="B251" s="3">
        <v>141111522</v>
      </c>
      <c r="C251" s="3">
        <v>281305</v>
      </c>
      <c r="D251" s="3">
        <v>41111505</v>
      </c>
      <c r="E251" s="3">
        <v>14</v>
      </c>
      <c r="F251" s="97" t="s">
        <v>401</v>
      </c>
      <c r="G251" s="46" t="s">
        <v>25</v>
      </c>
      <c r="H251" s="46"/>
      <c r="I251" s="46"/>
      <c r="J251" s="43">
        <v>15</v>
      </c>
      <c r="K251" s="95">
        <v>128000</v>
      </c>
      <c r="L251" s="94">
        <v>0.19</v>
      </c>
      <c r="M251" s="95">
        <f t="shared" si="48"/>
        <v>1920000</v>
      </c>
      <c r="N251" s="95">
        <v>135900</v>
      </c>
      <c r="O251" s="94">
        <v>0.19</v>
      </c>
      <c r="P251" s="95">
        <f t="shared" si="49"/>
        <v>2038500</v>
      </c>
      <c r="Q251" s="95">
        <f t="shared" si="51"/>
        <v>131950</v>
      </c>
      <c r="R251" s="94">
        <v>0.19</v>
      </c>
      <c r="S251" s="95">
        <f t="shared" si="50"/>
        <v>1979250</v>
      </c>
      <c r="T251" s="92">
        <v>10</v>
      </c>
      <c r="U251" s="92">
        <f t="shared" si="52"/>
        <v>25</v>
      </c>
      <c r="V251" s="92"/>
      <c r="W251" s="92"/>
      <c r="X251" s="91"/>
      <c r="Y251" s="91"/>
      <c r="Z251" s="91"/>
      <c r="AA251" s="91"/>
      <c r="AB251" s="91"/>
      <c r="AC251" s="91"/>
      <c r="AD251" s="91"/>
      <c r="AE251" s="91"/>
      <c r="AF251" s="91"/>
      <c r="AG251" s="91"/>
      <c r="AH251" s="91"/>
      <c r="AI251" s="91"/>
      <c r="AJ251" s="91"/>
      <c r="AK251" s="91"/>
      <c r="AL251" s="91"/>
      <c r="AM251" s="471"/>
      <c r="AN251" s="472"/>
      <c r="AO251" s="472"/>
      <c r="AP251" s="472"/>
      <c r="AQ251" s="472"/>
      <c r="AR251" s="472"/>
      <c r="AS251" s="472"/>
      <c r="AT251" s="472"/>
      <c r="AU251" s="472"/>
      <c r="AV251" s="472"/>
      <c r="AW251" s="472"/>
      <c r="AX251" s="472"/>
    </row>
    <row r="252" spans="1:50" s="96" customFormat="1" ht="90" x14ac:dyDescent="0.3">
      <c r="A252" s="109">
        <v>5</v>
      </c>
      <c r="B252" s="3">
        <v>149231606</v>
      </c>
      <c r="C252" s="3">
        <v>241755</v>
      </c>
      <c r="D252" s="3">
        <v>60103109</v>
      </c>
      <c r="E252" s="3">
        <v>17</v>
      </c>
      <c r="F252" s="97" t="s">
        <v>402</v>
      </c>
      <c r="G252" s="46" t="s">
        <v>25</v>
      </c>
      <c r="H252" s="46"/>
      <c r="I252" s="46"/>
      <c r="J252" s="31">
        <v>11</v>
      </c>
      <c r="K252" s="95">
        <v>270900</v>
      </c>
      <c r="L252" s="94">
        <v>0.19</v>
      </c>
      <c r="M252" s="95">
        <f t="shared" si="48"/>
        <v>2979900</v>
      </c>
      <c r="N252" s="95">
        <v>154300</v>
      </c>
      <c r="O252" s="94">
        <v>0.19</v>
      </c>
      <c r="P252" s="95">
        <f t="shared" si="49"/>
        <v>1697300</v>
      </c>
      <c r="Q252" s="95">
        <f t="shared" si="51"/>
        <v>212600</v>
      </c>
      <c r="R252" s="94">
        <v>0.19</v>
      </c>
      <c r="S252" s="95">
        <f t="shared" si="50"/>
        <v>2338600</v>
      </c>
      <c r="T252" s="92">
        <v>10</v>
      </c>
      <c r="U252" s="92">
        <f t="shared" si="52"/>
        <v>21</v>
      </c>
      <c r="V252" s="92"/>
      <c r="W252" s="92"/>
      <c r="X252" s="91"/>
      <c r="Y252" s="91"/>
      <c r="Z252" s="91"/>
      <c r="AA252" s="91"/>
      <c r="AB252" s="91"/>
      <c r="AC252" s="91"/>
      <c r="AD252" s="91"/>
      <c r="AE252" s="91"/>
      <c r="AF252" s="91"/>
      <c r="AG252" s="91"/>
      <c r="AH252" s="91"/>
      <c r="AI252" s="91"/>
      <c r="AJ252" s="91"/>
      <c r="AK252" s="91"/>
      <c r="AL252" s="91"/>
      <c r="AM252" s="471"/>
      <c r="AN252" s="472"/>
      <c r="AO252" s="472"/>
      <c r="AP252" s="472"/>
      <c r="AQ252" s="472"/>
      <c r="AR252" s="472"/>
      <c r="AS252" s="472"/>
      <c r="AT252" s="472"/>
      <c r="AU252" s="472"/>
      <c r="AV252" s="472"/>
      <c r="AW252" s="472"/>
      <c r="AX252" s="472"/>
    </row>
    <row r="253" spans="1:50" ht="26.4" x14ac:dyDescent="0.3">
      <c r="A253" s="109">
        <v>5</v>
      </c>
      <c r="B253" s="110">
        <v>114122228</v>
      </c>
      <c r="C253" s="10">
        <v>231853</v>
      </c>
      <c r="D253" s="23">
        <v>14111507</v>
      </c>
      <c r="E253" s="21">
        <v>18</v>
      </c>
      <c r="F253" s="15" t="s">
        <v>403</v>
      </c>
      <c r="G253" s="10" t="s">
        <v>404</v>
      </c>
      <c r="H253" s="10"/>
      <c r="I253" s="10"/>
      <c r="J253" s="10">
        <v>18</v>
      </c>
      <c r="K253" s="117">
        <v>25000</v>
      </c>
      <c r="L253" s="118">
        <v>0.19</v>
      </c>
      <c r="M253" s="204">
        <f>K253*J253</f>
        <v>450000</v>
      </c>
      <c r="N253" s="346">
        <v>27000</v>
      </c>
      <c r="O253" s="212">
        <v>0.19</v>
      </c>
      <c r="P253" s="204">
        <f>N253*J253</f>
        <v>486000</v>
      </c>
      <c r="Q253" s="6">
        <f>SUM(K253+N253)/2</f>
        <v>26000</v>
      </c>
      <c r="R253" s="118">
        <v>0.19</v>
      </c>
      <c r="S253" s="6">
        <f>Q253*J253</f>
        <v>468000</v>
      </c>
      <c r="T253" s="92">
        <v>10</v>
      </c>
      <c r="U253" s="92">
        <f t="shared" si="52"/>
        <v>28</v>
      </c>
    </row>
    <row r="254" spans="1:50" ht="52.8" x14ac:dyDescent="0.3">
      <c r="A254" s="109">
        <v>5</v>
      </c>
      <c r="B254" s="110">
        <v>144112313</v>
      </c>
      <c r="C254" s="9">
        <v>231895</v>
      </c>
      <c r="D254" s="23">
        <v>60121501</v>
      </c>
      <c r="E254" s="10">
        <v>19</v>
      </c>
      <c r="F254" s="111" t="s">
        <v>405</v>
      </c>
      <c r="G254" s="10" t="s">
        <v>406</v>
      </c>
      <c r="H254" s="10"/>
      <c r="I254" s="10"/>
      <c r="J254" s="23">
        <v>11</v>
      </c>
      <c r="K254" s="117">
        <v>120000</v>
      </c>
      <c r="L254" s="118">
        <v>0.19</v>
      </c>
      <c r="M254" s="204">
        <f t="shared" ref="M254:M268" si="53">K254*J254</f>
        <v>1320000</v>
      </c>
      <c r="N254" s="346">
        <v>122000</v>
      </c>
      <c r="O254" s="212">
        <v>0.19</v>
      </c>
      <c r="P254" s="204">
        <f t="shared" ref="P254:P268" si="54">N254*J254</f>
        <v>1342000</v>
      </c>
      <c r="Q254" s="6">
        <f t="shared" ref="Q254:Q268" si="55">SUM(K254+N254)/2</f>
        <v>121000</v>
      </c>
      <c r="R254" s="118">
        <v>0.19</v>
      </c>
      <c r="S254" s="6">
        <f t="shared" ref="S254:S268" si="56">Q254*J254</f>
        <v>1331000</v>
      </c>
      <c r="T254" s="92">
        <v>10</v>
      </c>
      <c r="U254" s="92">
        <f t="shared" si="52"/>
        <v>21</v>
      </c>
    </row>
    <row r="255" spans="1:50" ht="52.8" x14ac:dyDescent="0.3">
      <c r="A255" s="109">
        <v>5</v>
      </c>
      <c r="B255" s="110">
        <v>144112313</v>
      </c>
      <c r="C255" s="9">
        <v>231896</v>
      </c>
      <c r="D255" s="23">
        <v>60121501</v>
      </c>
      <c r="E255" s="10">
        <v>20</v>
      </c>
      <c r="F255" s="111" t="s">
        <v>407</v>
      </c>
      <c r="G255" s="10" t="s">
        <v>406</v>
      </c>
      <c r="H255" s="10"/>
      <c r="I255" s="10"/>
      <c r="J255" s="23">
        <v>11</v>
      </c>
      <c r="K255" s="117">
        <v>120000</v>
      </c>
      <c r="L255" s="118">
        <v>0.19</v>
      </c>
      <c r="M255" s="204">
        <f t="shared" si="53"/>
        <v>1320000</v>
      </c>
      <c r="N255" s="346">
        <v>122000</v>
      </c>
      <c r="O255" s="212">
        <v>0.19</v>
      </c>
      <c r="P255" s="204">
        <f t="shared" si="54"/>
        <v>1342000</v>
      </c>
      <c r="Q255" s="6">
        <f t="shared" si="55"/>
        <v>121000</v>
      </c>
      <c r="R255" s="118">
        <v>0.19</v>
      </c>
      <c r="S255" s="6">
        <f t="shared" si="56"/>
        <v>1331000</v>
      </c>
      <c r="T255" s="92">
        <v>10</v>
      </c>
      <c r="U255" s="92">
        <f t="shared" si="52"/>
        <v>21</v>
      </c>
    </row>
    <row r="256" spans="1:50" ht="52.8" x14ac:dyDescent="0.3">
      <c r="A256" s="109">
        <v>5</v>
      </c>
      <c r="B256" s="110">
        <v>144112313</v>
      </c>
      <c r="C256" s="9">
        <v>231894</v>
      </c>
      <c r="D256" s="23">
        <v>60121501</v>
      </c>
      <c r="E256" s="21">
        <v>21</v>
      </c>
      <c r="F256" s="111" t="s">
        <v>408</v>
      </c>
      <c r="G256" s="10" t="s">
        <v>406</v>
      </c>
      <c r="H256" s="10"/>
      <c r="I256" s="10"/>
      <c r="J256" s="23">
        <v>11</v>
      </c>
      <c r="K256" s="117">
        <v>120000</v>
      </c>
      <c r="L256" s="118">
        <v>0.19</v>
      </c>
      <c r="M256" s="204">
        <f t="shared" si="53"/>
        <v>1320000</v>
      </c>
      <c r="N256" s="346">
        <v>122000</v>
      </c>
      <c r="O256" s="212">
        <v>0.19</v>
      </c>
      <c r="P256" s="204">
        <f t="shared" si="54"/>
        <v>1342000</v>
      </c>
      <c r="Q256" s="6">
        <f t="shared" si="55"/>
        <v>121000</v>
      </c>
      <c r="R256" s="118">
        <v>0.19</v>
      </c>
      <c r="S256" s="6">
        <f t="shared" si="56"/>
        <v>1331000</v>
      </c>
      <c r="T256" s="92">
        <v>10</v>
      </c>
      <c r="U256" s="92">
        <f t="shared" si="52"/>
        <v>21</v>
      </c>
    </row>
    <row r="257" spans="1:21" ht="52.8" x14ac:dyDescent="0.3">
      <c r="A257" s="109">
        <v>5</v>
      </c>
      <c r="B257" s="110">
        <v>144112313</v>
      </c>
      <c r="C257" s="9">
        <v>231894</v>
      </c>
      <c r="D257" s="23">
        <v>60121501</v>
      </c>
      <c r="E257" s="10">
        <v>22</v>
      </c>
      <c r="F257" s="111" t="s">
        <v>409</v>
      </c>
      <c r="G257" s="10" t="s">
        <v>406</v>
      </c>
      <c r="H257" s="10"/>
      <c r="I257" s="10"/>
      <c r="J257" s="23">
        <v>11</v>
      </c>
      <c r="K257" s="117">
        <v>120000</v>
      </c>
      <c r="L257" s="118">
        <v>0.19</v>
      </c>
      <c r="M257" s="204">
        <f t="shared" si="53"/>
        <v>1320000</v>
      </c>
      <c r="N257" s="346">
        <v>122000</v>
      </c>
      <c r="O257" s="212">
        <v>0.19</v>
      </c>
      <c r="P257" s="204">
        <f t="shared" si="54"/>
        <v>1342000</v>
      </c>
      <c r="Q257" s="6">
        <f t="shared" si="55"/>
        <v>121000</v>
      </c>
      <c r="R257" s="118">
        <v>0.19</v>
      </c>
      <c r="S257" s="6">
        <f t="shared" si="56"/>
        <v>1331000</v>
      </c>
      <c r="T257" s="92">
        <v>10</v>
      </c>
      <c r="U257" s="92">
        <f t="shared" si="52"/>
        <v>21</v>
      </c>
    </row>
    <row r="258" spans="1:21" ht="26.4" x14ac:dyDescent="0.3">
      <c r="A258" s="109">
        <v>5</v>
      </c>
      <c r="B258" s="110">
        <v>144112409</v>
      </c>
      <c r="C258" s="9">
        <v>233833</v>
      </c>
      <c r="D258" s="10">
        <v>44111912</v>
      </c>
      <c r="E258" s="10">
        <v>23</v>
      </c>
      <c r="F258" s="111" t="s">
        <v>410</v>
      </c>
      <c r="G258" s="10" t="s">
        <v>411</v>
      </c>
      <c r="H258" s="10"/>
      <c r="I258" s="10"/>
      <c r="J258" s="10">
        <v>40</v>
      </c>
      <c r="K258" s="117">
        <v>2500</v>
      </c>
      <c r="L258" s="118">
        <v>0.19</v>
      </c>
      <c r="M258" s="204">
        <f t="shared" si="53"/>
        <v>100000</v>
      </c>
      <c r="N258" s="346">
        <v>2300</v>
      </c>
      <c r="O258" s="212">
        <v>0.19</v>
      </c>
      <c r="P258" s="204">
        <f t="shared" si="54"/>
        <v>92000</v>
      </c>
      <c r="Q258" s="6">
        <f t="shared" si="55"/>
        <v>2400</v>
      </c>
      <c r="R258" s="118">
        <v>0.19</v>
      </c>
      <c r="S258" s="6">
        <f t="shared" si="56"/>
        <v>96000</v>
      </c>
      <c r="T258" s="92">
        <v>10</v>
      </c>
      <c r="U258" s="92">
        <f t="shared" si="52"/>
        <v>50</v>
      </c>
    </row>
    <row r="259" spans="1:21" ht="15" x14ac:dyDescent="0.3">
      <c r="A259" s="109">
        <v>5</v>
      </c>
      <c r="B259" s="2">
        <v>144112315</v>
      </c>
      <c r="C259" s="112">
        <v>240826</v>
      </c>
      <c r="D259" s="21">
        <v>44121706</v>
      </c>
      <c r="E259" s="21">
        <v>24</v>
      </c>
      <c r="F259" s="22" t="s">
        <v>412</v>
      </c>
      <c r="G259" s="21" t="s">
        <v>160</v>
      </c>
      <c r="H259" s="21"/>
      <c r="I259" s="21"/>
      <c r="J259" s="21">
        <v>12</v>
      </c>
      <c r="K259" s="117">
        <v>24000</v>
      </c>
      <c r="L259" s="118">
        <v>0.19</v>
      </c>
      <c r="M259" s="204">
        <f t="shared" si="53"/>
        <v>288000</v>
      </c>
      <c r="N259" s="346">
        <v>24500</v>
      </c>
      <c r="O259" s="212">
        <v>0.19</v>
      </c>
      <c r="P259" s="204">
        <f t="shared" si="54"/>
        <v>294000</v>
      </c>
      <c r="Q259" s="6">
        <f t="shared" si="55"/>
        <v>24250</v>
      </c>
      <c r="R259" s="118">
        <v>0.19</v>
      </c>
      <c r="S259" s="6">
        <f t="shared" si="56"/>
        <v>291000</v>
      </c>
      <c r="T259" s="92">
        <v>10</v>
      </c>
      <c r="U259" s="92">
        <f t="shared" si="52"/>
        <v>22</v>
      </c>
    </row>
    <row r="260" spans="1:21" ht="15" x14ac:dyDescent="0.3">
      <c r="A260" s="109">
        <v>5</v>
      </c>
      <c r="B260" s="2">
        <v>144112316</v>
      </c>
      <c r="C260" s="112">
        <v>231877</v>
      </c>
      <c r="D260" s="21">
        <v>44121701</v>
      </c>
      <c r="E260" s="10">
        <v>25</v>
      </c>
      <c r="F260" s="22" t="s">
        <v>413</v>
      </c>
      <c r="G260" s="21" t="s">
        <v>160</v>
      </c>
      <c r="H260" s="21"/>
      <c r="I260" s="21"/>
      <c r="J260" s="21">
        <v>12</v>
      </c>
      <c r="K260" s="117">
        <v>18000</v>
      </c>
      <c r="L260" s="118">
        <v>0.19</v>
      </c>
      <c r="M260" s="204">
        <f t="shared" si="53"/>
        <v>216000</v>
      </c>
      <c r="N260" s="346">
        <v>18700</v>
      </c>
      <c r="O260" s="212">
        <v>0.19</v>
      </c>
      <c r="P260" s="204">
        <f t="shared" si="54"/>
        <v>224400</v>
      </c>
      <c r="Q260" s="6">
        <f t="shared" si="55"/>
        <v>18350</v>
      </c>
      <c r="R260" s="118">
        <v>0.19</v>
      </c>
      <c r="S260" s="6">
        <f t="shared" si="56"/>
        <v>220200</v>
      </c>
      <c r="T260" s="92">
        <v>10</v>
      </c>
      <c r="U260" s="92">
        <f t="shared" si="52"/>
        <v>22</v>
      </c>
    </row>
    <row r="261" spans="1:21" ht="15" x14ac:dyDescent="0.3">
      <c r="A261" s="109">
        <v>5</v>
      </c>
      <c r="B261" s="2">
        <v>144112408</v>
      </c>
      <c r="C261" s="112">
        <v>253179</v>
      </c>
      <c r="D261" s="21">
        <v>44121804</v>
      </c>
      <c r="E261" s="10">
        <v>26</v>
      </c>
      <c r="F261" s="22" t="s">
        <v>414</v>
      </c>
      <c r="G261" s="21" t="s">
        <v>160</v>
      </c>
      <c r="H261" s="21"/>
      <c r="I261" s="21"/>
      <c r="J261" s="21">
        <v>11</v>
      </c>
      <c r="K261" s="117">
        <v>26667</v>
      </c>
      <c r="L261" s="118">
        <v>0.19</v>
      </c>
      <c r="M261" s="204">
        <f t="shared" si="53"/>
        <v>293337</v>
      </c>
      <c r="N261" s="346">
        <v>28000</v>
      </c>
      <c r="O261" s="212">
        <v>0.19</v>
      </c>
      <c r="P261" s="204">
        <f t="shared" si="54"/>
        <v>308000</v>
      </c>
      <c r="Q261" s="6">
        <f t="shared" si="55"/>
        <v>27333.5</v>
      </c>
      <c r="R261" s="118">
        <v>0.19</v>
      </c>
      <c r="S261" s="6">
        <f t="shared" si="56"/>
        <v>300668.5</v>
      </c>
      <c r="T261" s="92">
        <v>10</v>
      </c>
      <c r="U261" s="92">
        <f t="shared" si="52"/>
        <v>21</v>
      </c>
    </row>
    <row r="262" spans="1:21" ht="15" x14ac:dyDescent="0.3">
      <c r="A262" s="3">
        <v>5</v>
      </c>
      <c r="B262" s="115">
        <v>131201621</v>
      </c>
      <c r="C262" s="116">
        <v>254065</v>
      </c>
      <c r="D262" s="10">
        <v>31201610</v>
      </c>
      <c r="E262" s="21">
        <v>27</v>
      </c>
      <c r="F262" s="15" t="s">
        <v>415</v>
      </c>
      <c r="G262" s="10" t="s">
        <v>21</v>
      </c>
      <c r="H262" s="10"/>
      <c r="I262" s="10"/>
      <c r="J262" s="10">
        <v>12</v>
      </c>
      <c r="K262" s="117">
        <v>37500</v>
      </c>
      <c r="L262" s="118">
        <v>0.19</v>
      </c>
      <c r="M262" s="204">
        <f t="shared" si="53"/>
        <v>450000</v>
      </c>
      <c r="N262" s="346">
        <v>38000</v>
      </c>
      <c r="O262" s="212">
        <v>0.19</v>
      </c>
      <c r="P262" s="204">
        <f t="shared" si="54"/>
        <v>456000</v>
      </c>
      <c r="Q262" s="6">
        <f t="shared" si="55"/>
        <v>37750</v>
      </c>
      <c r="R262" s="118">
        <v>0.19</v>
      </c>
      <c r="S262" s="6">
        <f t="shared" si="56"/>
        <v>453000</v>
      </c>
      <c r="T262" s="92">
        <v>10</v>
      </c>
      <c r="U262" s="92">
        <f t="shared" si="52"/>
        <v>22</v>
      </c>
    </row>
    <row r="263" spans="1:21" ht="15" x14ac:dyDescent="0.3">
      <c r="A263" s="3">
        <v>5</v>
      </c>
      <c r="B263" s="115">
        <v>142152457</v>
      </c>
      <c r="C263" s="116">
        <v>261590</v>
      </c>
      <c r="D263" s="10">
        <v>42181501</v>
      </c>
      <c r="E263" s="10">
        <v>28</v>
      </c>
      <c r="F263" s="15" t="s">
        <v>416</v>
      </c>
      <c r="G263" s="10" t="s">
        <v>384</v>
      </c>
      <c r="H263" s="10"/>
      <c r="I263" s="10"/>
      <c r="J263" s="10">
        <v>15</v>
      </c>
      <c r="K263" s="117">
        <v>12500</v>
      </c>
      <c r="L263" s="118">
        <v>0.19</v>
      </c>
      <c r="M263" s="204">
        <f t="shared" si="53"/>
        <v>187500</v>
      </c>
      <c r="N263" s="346">
        <v>13000</v>
      </c>
      <c r="O263" s="212">
        <v>0.19</v>
      </c>
      <c r="P263" s="204">
        <f t="shared" si="54"/>
        <v>195000</v>
      </c>
      <c r="Q263" s="6">
        <f t="shared" si="55"/>
        <v>12750</v>
      </c>
      <c r="R263" s="118">
        <v>0.19</v>
      </c>
      <c r="S263" s="6">
        <f t="shared" si="56"/>
        <v>191250</v>
      </c>
      <c r="T263" s="92">
        <v>10</v>
      </c>
      <c r="U263" s="92">
        <f t="shared" si="52"/>
        <v>25</v>
      </c>
    </row>
    <row r="264" spans="1:21" ht="26.4" x14ac:dyDescent="0.3">
      <c r="A264" s="3">
        <v>5</v>
      </c>
      <c r="B264" s="115">
        <v>126111725</v>
      </c>
      <c r="C264" s="116">
        <v>257632</v>
      </c>
      <c r="D264" s="10">
        <v>32131000</v>
      </c>
      <c r="E264" s="10">
        <v>29</v>
      </c>
      <c r="F264" s="15" t="s">
        <v>417</v>
      </c>
      <c r="G264" s="10" t="s">
        <v>25</v>
      </c>
      <c r="H264" s="10"/>
      <c r="I264" s="10"/>
      <c r="J264" s="10">
        <v>30</v>
      </c>
      <c r="K264" s="117">
        <v>5000</v>
      </c>
      <c r="L264" s="118">
        <v>0.19</v>
      </c>
      <c r="M264" s="204">
        <f t="shared" si="53"/>
        <v>150000</v>
      </c>
      <c r="N264" s="346">
        <v>4900</v>
      </c>
      <c r="O264" s="212">
        <v>0.19</v>
      </c>
      <c r="P264" s="204">
        <f t="shared" si="54"/>
        <v>147000</v>
      </c>
      <c r="Q264" s="6">
        <f t="shared" si="55"/>
        <v>4950</v>
      </c>
      <c r="R264" s="118">
        <v>0.19</v>
      </c>
      <c r="S264" s="6">
        <f t="shared" si="56"/>
        <v>148500</v>
      </c>
      <c r="T264" s="92">
        <v>10</v>
      </c>
      <c r="U264" s="92">
        <f t="shared" si="52"/>
        <v>40</v>
      </c>
    </row>
    <row r="265" spans="1:21" ht="26.4" x14ac:dyDescent="0.3">
      <c r="A265" s="3">
        <v>5</v>
      </c>
      <c r="B265" s="115">
        <v>126121540</v>
      </c>
      <c r="C265" s="116">
        <v>236733</v>
      </c>
      <c r="D265" s="10">
        <v>39121440</v>
      </c>
      <c r="E265" s="21">
        <v>30</v>
      </c>
      <c r="F265" s="15" t="s">
        <v>418</v>
      </c>
      <c r="G265" s="10" t="s">
        <v>25</v>
      </c>
      <c r="H265" s="10"/>
      <c r="I265" s="10"/>
      <c r="J265" s="10">
        <v>15</v>
      </c>
      <c r="K265" s="117">
        <v>31667</v>
      </c>
      <c r="L265" s="118">
        <v>0.19</v>
      </c>
      <c r="M265" s="204">
        <f t="shared" si="53"/>
        <v>475005</v>
      </c>
      <c r="N265" s="346">
        <v>32000</v>
      </c>
      <c r="O265" s="212">
        <v>0.19</v>
      </c>
      <c r="P265" s="204">
        <f t="shared" si="54"/>
        <v>480000</v>
      </c>
      <c r="Q265" s="6">
        <f t="shared" si="55"/>
        <v>31833.5</v>
      </c>
      <c r="R265" s="118">
        <v>0.19</v>
      </c>
      <c r="S265" s="6">
        <f t="shared" si="56"/>
        <v>477502.5</v>
      </c>
      <c r="T265" s="92">
        <v>10</v>
      </c>
      <c r="U265" s="92">
        <f t="shared" si="52"/>
        <v>25</v>
      </c>
    </row>
    <row r="266" spans="1:21" ht="105.6" x14ac:dyDescent="0.3">
      <c r="A266" s="3">
        <v>5</v>
      </c>
      <c r="B266" s="115">
        <v>149231606</v>
      </c>
      <c r="C266" s="116">
        <v>241755</v>
      </c>
      <c r="D266" s="10">
        <v>60141101</v>
      </c>
      <c r="E266" s="10">
        <v>31</v>
      </c>
      <c r="F266" s="15" t="s">
        <v>419</v>
      </c>
      <c r="G266" s="10" t="s">
        <v>25</v>
      </c>
      <c r="H266" s="10"/>
      <c r="I266" s="10"/>
      <c r="J266" s="10">
        <v>12</v>
      </c>
      <c r="K266" s="117">
        <v>4333333</v>
      </c>
      <c r="L266" s="118">
        <v>0.19</v>
      </c>
      <c r="M266" s="117">
        <f t="shared" si="53"/>
        <v>51999996</v>
      </c>
      <c r="N266" s="117">
        <v>4458000</v>
      </c>
      <c r="O266" s="118">
        <v>0.19</v>
      </c>
      <c r="P266" s="117">
        <f t="shared" si="54"/>
        <v>53496000</v>
      </c>
      <c r="Q266" s="117">
        <f t="shared" si="55"/>
        <v>4395666.5</v>
      </c>
      <c r="R266" s="118">
        <v>0.19</v>
      </c>
      <c r="S266" s="117">
        <f t="shared" si="56"/>
        <v>52747998</v>
      </c>
      <c r="T266" s="92">
        <v>10</v>
      </c>
      <c r="U266" s="92">
        <f t="shared" si="52"/>
        <v>22</v>
      </c>
    </row>
    <row r="267" spans="1:21" ht="26.4" x14ac:dyDescent="0.3">
      <c r="A267" s="3">
        <v>5</v>
      </c>
      <c r="B267" s="115">
        <v>126121538</v>
      </c>
      <c r="C267" s="116">
        <v>266497</v>
      </c>
      <c r="D267" s="10">
        <v>26121600</v>
      </c>
      <c r="E267" s="10">
        <v>32</v>
      </c>
      <c r="F267" s="15" t="s">
        <v>420</v>
      </c>
      <c r="G267" s="10" t="s">
        <v>25</v>
      </c>
      <c r="H267" s="10"/>
      <c r="I267" s="10"/>
      <c r="J267" s="10">
        <v>15</v>
      </c>
      <c r="K267" s="117">
        <v>25000</v>
      </c>
      <c r="L267" s="118">
        <v>0.19</v>
      </c>
      <c r="M267" s="204">
        <f t="shared" si="53"/>
        <v>375000</v>
      </c>
      <c r="N267" s="346">
        <v>26000</v>
      </c>
      <c r="O267" s="212">
        <v>0.19</v>
      </c>
      <c r="P267" s="204">
        <f t="shared" si="54"/>
        <v>390000</v>
      </c>
      <c r="Q267" s="6">
        <f t="shared" si="55"/>
        <v>25500</v>
      </c>
      <c r="R267" s="118">
        <v>0.19</v>
      </c>
      <c r="S267" s="6">
        <f t="shared" si="56"/>
        <v>382500</v>
      </c>
      <c r="T267" s="92">
        <v>10</v>
      </c>
      <c r="U267" s="92">
        <f t="shared" si="52"/>
        <v>25</v>
      </c>
    </row>
    <row r="268" spans="1:21" ht="15" x14ac:dyDescent="0.3">
      <c r="A268" s="3">
        <v>5</v>
      </c>
      <c r="B268" s="115">
        <v>144112251</v>
      </c>
      <c r="C268" s="116">
        <v>231938</v>
      </c>
      <c r="D268" s="10">
        <v>44121600</v>
      </c>
      <c r="E268" s="21">
        <v>33</v>
      </c>
      <c r="F268" s="15" t="s">
        <v>421</v>
      </c>
      <c r="G268" s="10" t="s">
        <v>25</v>
      </c>
      <c r="H268" s="10"/>
      <c r="I268" s="10"/>
      <c r="J268" s="10">
        <v>40</v>
      </c>
      <c r="K268" s="117">
        <v>11667</v>
      </c>
      <c r="L268" s="118">
        <v>0.19</v>
      </c>
      <c r="M268" s="204">
        <f t="shared" si="53"/>
        <v>466680</v>
      </c>
      <c r="N268" s="346">
        <v>12100</v>
      </c>
      <c r="O268" s="212">
        <v>0.19</v>
      </c>
      <c r="P268" s="204">
        <f t="shared" si="54"/>
        <v>484000</v>
      </c>
      <c r="Q268" s="6">
        <f t="shared" si="55"/>
        <v>11883.5</v>
      </c>
      <c r="R268" s="118">
        <v>0.19</v>
      </c>
      <c r="S268" s="6">
        <f t="shared" si="56"/>
        <v>475340</v>
      </c>
      <c r="T268" s="92">
        <v>10</v>
      </c>
      <c r="U268" s="92">
        <f t="shared" si="52"/>
        <v>50</v>
      </c>
    </row>
    <row r="269" spans="1:21" ht="15" x14ac:dyDescent="0.3">
      <c r="A269" s="716"/>
      <c r="B269" s="716"/>
      <c r="C269" s="716"/>
      <c r="D269" s="716"/>
      <c r="E269" s="716"/>
      <c r="F269" s="716"/>
      <c r="G269" s="716"/>
      <c r="H269" s="716"/>
      <c r="I269" s="716"/>
      <c r="J269" s="716"/>
      <c r="K269" s="716"/>
      <c r="L269" s="716"/>
      <c r="M269" s="204">
        <f>SUM(M239:M268)</f>
        <v>72201398</v>
      </c>
      <c r="N269" s="179"/>
      <c r="O269" s="179"/>
      <c r="P269" s="204">
        <f>SUM(P239:P268)</f>
        <v>72542945</v>
      </c>
      <c r="Q269" s="1"/>
      <c r="R269" s="1"/>
      <c r="S269" s="6">
        <f>SUM(S239:S268)</f>
        <v>72529596.5</v>
      </c>
      <c r="T269" s="92">
        <v>10</v>
      </c>
      <c r="U269" s="92">
        <f t="shared" si="52"/>
        <v>10</v>
      </c>
    </row>
    <row r="270" spans="1:21" ht="15" x14ac:dyDescent="0.3">
      <c r="A270" s="344"/>
      <c r="B270" s="344"/>
      <c r="C270" s="344"/>
      <c r="D270" s="344"/>
      <c r="F270" s="344"/>
      <c r="G270" s="344"/>
      <c r="H270" s="344"/>
      <c r="I270" s="344"/>
      <c r="J270" s="344"/>
      <c r="K270" s="344"/>
      <c r="L270" s="344"/>
      <c r="M270" s="239"/>
      <c r="S270" s="5"/>
      <c r="T270" s="92">
        <v>10</v>
      </c>
      <c r="U270" s="92">
        <f t="shared" si="52"/>
        <v>10</v>
      </c>
    </row>
    <row r="271" spans="1:21" ht="15" x14ac:dyDescent="0.3">
      <c r="T271" s="92">
        <v>10</v>
      </c>
      <c r="U271" s="92">
        <f t="shared" si="52"/>
        <v>10</v>
      </c>
    </row>
    <row r="272" spans="1:21" ht="21" x14ac:dyDescent="0.3">
      <c r="A272" s="608" t="s">
        <v>422</v>
      </c>
      <c r="B272" s="608"/>
      <c r="C272" s="608"/>
      <c r="D272" s="608"/>
      <c r="E272" s="726" t="s">
        <v>422</v>
      </c>
      <c r="F272" s="727"/>
      <c r="G272" s="727"/>
      <c r="H272" s="727"/>
      <c r="I272" s="727"/>
      <c r="J272" s="728"/>
      <c r="K272" s="608"/>
      <c r="L272" s="608"/>
      <c r="M272" s="608"/>
      <c r="N272" s="608"/>
      <c r="O272" s="608"/>
      <c r="P272" s="608"/>
      <c r="Q272" s="608"/>
      <c r="R272" s="608"/>
      <c r="S272" s="608"/>
      <c r="T272" s="92">
        <v>10</v>
      </c>
      <c r="U272" s="92">
        <f t="shared" si="52"/>
        <v>10</v>
      </c>
    </row>
    <row r="273" spans="1:25" ht="15.6" x14ac:dyDescent="0.3">
      <c r="A273" s="709" t="s">
        <v>83</v>
      </c>
      <c r="B273" s="709" t="s">
        <v>84</v>
      </c>
      <c r="C273" s="709" t="s">
        <v>85</v>
      </c>
      <c r="D273" s="711" t="s">
        <v>86</v>
      </c>
      <c r="E273" s="709" t="s">
        <v>6</v>
      </c>
      <c r="F273" s="709" t="s">
        <v>87</v>
      </c>
      <c r="G273" s="709" t="s">
        <v>88</v>
      </c>
      <c r="H273" s="124"/>
      <c r="I273" s="124"/>
      <c r="J273" s="705" t="s">
        <v>89</v>
      </c>
      <c r="K273" s="733" t="s">
        <v>423</v>
      </c>
      <c r="L273" s="734"/>
      <c r="M273" s="735"/>
      <c r="N273" s="723" t="s">
        <v>424</v>
      </c>
      <c r="O273" s="723"/>
      <c r="P273" s="723"/>
      <c r="Q273" s="705" t="s">
        <v>15</v>
      </c>
      <c r="R273" s="705"/>
      <c r="S273" s="705"/>
      <c r="T273" s="92">
        <v>10</v>
      </c>
      <c r="U273" s="92" t="e">
        <f t="shared" si="52"/>
        <v>#VALUE!</v>
      </c>
    </row>
    <row r="274" spans="1:25" ht="46.8" x14ac:dyDescent="0.3">
      <c r="A274" s="709"/>
      <c r="B274" s="709"/>
      <c r="C274" s="709"/>
      <c r="D274" s="711"/>
      <c r="E274" s="709"/>
      <c r="F274" s="709"/>
      <c r="G274" s="709"/>
      <c r="H274" s="124"/>
      <c r="I274" s="124"/>
      <c r="J274" s="705"/>
      <c r="K274" s="25" t="s">
        <v>382</v>
      </c>
      <c r="L274" s="25" t="s">
        <v>17</v>
      </c>
      <c r="M274" s="25" t="s">
        <v>18</v>
      </c>
      <c r="N274" s="25" t="s">
        <v>367</v>
      </c>
      <c r="O274" s="25" t="s">
        <v>17</v>
      </c>
      <c r="P274" s="248" t="s">
        <v>18</v>
      </c>
      <c r="Q274" s="25" t="s">
        <v>367</v>
      </c>
      <c r="R274" s="25" t="s">
        <v>17</v>
      </c>
      <c r="S274" s="25" t="s">
        <v>18</v>
      </c>
      <c r="T274" s="92">
        <v>10</v>
      </c>
      <c r="U274" s="92">
        <f t="shared" si="52"/>
        <v>10</v>
      </c>
    </row>
    <row r="275" spans="1:25" ht="15" x14ac:dyDescent="0.3">
      <c r="A275" s="162">
        <v>5</v>
      </c>
      <c r="B275" s="162" t="s">
        <v>425</v>
      </c>
      <c r="C275" s="162" t="s">
        <v>426</v>
      </c>
      <c r="D275" s="162">
        <v>12352204</v>
      </c>
      <c r="E275" s="162">
        <v>1</v>
      </c>
      <c r="F275" s="233" t="s">
        <v>427</v>
      </c>
      <c r="G275" s="170" t="s">
        <v>428</v>
      </c>
      <c r="H275" s="170"/>
      <c r="I275" s="170"/>
      <c r="J275" s="162">
        <v>13</v>
      </c>
      <c r="K275" s="404">
        <v>28500</v>
      </c>
      <c r="L275" s="387">
        <v>0.19</v>
      </c>
      <c r="M275" s="405">
        <f>K275*J275</f>
        <v>370500</v>
      </c>
      <c r="N275" s="404">
        <v>23580</v>
      </c>
      <c r="O275" s="387">
        <v>0.19</v>
      </c>
      <c r="P275" s="401">
        <f>N275*J275</f>
        <v>306540</v>
      </c>
      <c r="Q275" s="406">
        <f>SUM(N275+K275)/2</f>
        <v>26040</v>
      </c>
      <c r="R275" s="387">
        <v>0.19</v>
      </c>
      <c r="S275" s="407">
        <f>Q275*J275</f>
        <v>338520</v>
      </c>
      <c r="T275" s="92">
        <v>10</v>
      </c>
      <c r="U275" s="92">
        <f t="shared" si="52"/>
        <v>23</v>
      </c>
      <c r="V275" s="132"/>
      <c r="W275" s="130"/>
      <c r="X275" s="424"/>
      <c r="Y275" s="406"/>
    </row>
    <row r="276" spans="1:25" ht="27.6" x14ac:dyDescent="0.3">
      <c r="A276" s="162">
        <v>5</v>
      </c>
      <c r="B276" s="327" t="s">
        <v>429</v>
      </c>
      <c r="C276" s="327" t="s">
        <v>430</v>
      </c>
      <c r="D276" s="327" t="s">
        <v>431</v>
      </c>
      <c r="E276" s="285">
        <v>2</v>
      </c>
      <c r="F276" s="219" t="s">
        <v>432</v>
      </c>
      <c r="G276" s="170" t="s">
        <v>433</v>
      </c>
      <c r="H276" s="170"/>
      <c r="I276" s="170"/>
      <c r="J276" s="162">
        <v>20</v>
      </c>
      <c r="K276" s="404">
        <v>47647</v>
      </c>
      <c r="L276" s="387">
        <v>0.19</v>
      </c>
      <c r="M276" s="405">
        <f t="shared" ref="M276:M339" si="57">K276*J276</f>
        <v>952940</v>
      </c>
      <c r="N276" s="404">
        <v>46550</v>
      </c>
      <c r="O276" s="387">
        <v>0.19</v>
      </c>
      <c r="P276" s="401">
        <f t="shared" ref="P276:P339" si="58">N276*J276</f>
        <v>931000</v>
      </c>
      <c r="Q276" s="406">
        <f t="shared" ref="Q276:Q339" si="59">SUM(N276+K276)/2</f>
        <v>47098.5</v>
      </c>
      <c r="R276" s="387">
        <v>0.19</v>
      </c>
      <c r="S276" s="407">
        <f t="shared" ref="S276:S339" si="60">Q276*J276</f>
        <v>941970</v>
      </c>
      <c r="T276" s="92">
        <v>10</v>
      </c>
      <c r="U276" s="92">
        <f t="shared" si="52"/>
        <v>30</v>
      </c>
      <c r="V276" s="132"/>
      <c r="W276" s="130"/>
      <c r="X276" s="424"/>
      <c r="Y276" s="406"/>
    </row>
    <row r="277" spans="1:25" ht="27.6" x14ac:dyDescent="0.3">
      <c r="A277" s="162">
        <v>5</v>
      </c>
      <c r="B277" s="327" t="s">
        <v>434</v>
      </c>
      <c r="C277" s="285">
        <v>147131155</v>
      </c>
      <c r="D277" s="327" t="s">
        <v>435</v>
      </c>
      <c r="E277" s="285">
        <v>3</v>
      </c>
      <c r="F277" s="408" t="s">
        <v>436</v>
      </c>
      <c r="G277" s="170" t="s">
        <v>437</v>
      </c>
      <c r="H277" s="170"/>
      <c r="I277" s="170"/>
      <c r="J277" s="162">
        <v>12</v>
      </c>
      <c r="K277" s="404">
        <v>20500</v>
      </c>
      <c r="L277" s="387">
        <v>0.19</v>
      </c>
      <c r="M277" s="405">
        <f t="shared" si="57"/>
        <v>246000</v>
      </c>
      <c r="N277" s="404">
        <v>20500</v>
      </c>
      <c r="O277" s="387">
        <v>0.19</v>
      </c>
      <c r="P277" s="401">
        <f t="shared" si="58"/>
        <v>246000</v>
      </c>
      <c r="Q277" s="406">
        <f t="shared" si="59"/>
        <v>20500</v>
      </c>
      <c r="R277" s="387">
        <v>0.19</v>
      </c>
      <c r="S277" s="407">
        <f t="shared" si="60"/>
        <v>246000</v>
      </c>
      <c r="T277" s="92">
        <v>10</v>
      </c>
      <c r="U277" s="92">
        <f t="shared" si="52"/>
        <v>22</v>
      </c>
      <c r="V277" s="132"/>
      <c r="W277" s="130"/>
      <c r="X277" s="424"/>
      <c r="Y277" s="406"/>
    </row>
    <row r="278" spans="1:25" ht="15" x14ac:dyDescent="0.3">
      <c r="A278" s="162">
        <v>5</v>
      </c>
      <c r="B278" s="162">
        <v>274530</v>
      </c>
      <c r="C278" s="170">
        <v>111172121</v>
      </c>
      <c r="D278" s="162">
        <v>46181501</v>
      </c>
      <c r="E278" s="285">
        <v>4</v>
      </c>
      <c r="F278" s="223" t="s">
        <v>438</v>
      </c>
      <c r="G278" s="293" t="s">
        <v>439</v>
      </c>
      <c r="H278" s="293"/>
      <c r="I278" s="293"/>
      <c r="J278" s="409">
        <v>16</v>
      </c>
      <c r="K278" s="404">
        <v>28361</v>
      </c>
      <c r="L278" s="387">
        <v>0.19</v>
      </c>
      <c r="M278" s="405">
        <f t="shared" si="57"/>
        <v>453776</v>
      </c>
      <c r="N278" s="404">
        <v>28361</v>
      </c>
      <c r="O278" s="387">
        <v>0.19</v>
      </c>
      <c r="P278" s="401">
        <f t="shared" si="58"/>
        <v>453776</v>
      </c>
      <c r="Q278" s="406">
        <f t="shared" si="59"/>
        <v>28361</v>
      </c>
      <c r="R278" s="387">
        <v>0.19</v>
      </c>
      <c r="S278" s="407">
        <f t="shared" si="60"/>
        <v>453776</v>
      </c>
      <c r="T278" s="92">
        <v>10</v>
      </c>
      <c r="U278" s="92">
        <f t="shared" si="52"/>
        <v>26</v>
      </c>
      <c r="V278" s="132"/>
      <c r="W278" s="130"/>
      <c r="X278" s="424"/>
      <c r="Y278" s="406"/>
    </row>
    <row r="279" spans="1:25" ht="15" x14ac:dyDescent="0.3">
      <c r="A279" s="162">
        <v>5</v>
      </c>
      <c r="B279" s="162">
        <v>232777</v>
      </c>
      <c r="C279" s="162">
        <v>111172319</v>
      </c>
      <c r="D279" s="162">
        <v>46181501</v>
      </c>
      <c r="E279" s="162">
        <v>5</v>
      </c>
      <c r="F279" s="219" t="s">
        <v>440</v>
      </c>
      <c r="G279" s="170" t="s">
        <v>160</v>
      </c>
      <c r="H279" s="170"/>
      <c r="I279" s="170"/>
      <c r="J279" s="162">
        <v>18</v>
      </c>
      <c r="K279" s="404">
        <v>39706</v>
      </c>
      <c r="L279" s="387">
        <v>0.19</v>
      </c>
      <c r="M279" s="405">
        <f t="shared" si="57"/>
        <v>714708</v>
      </c>
      <c r="N279" s="404">
        <v>39500</v>
      </c>
      <c r="O279" s="387">
        <v>0.19</v>
      </c>
      <c r="P279" s="401">
        <f t="shared" si="58"/>
        <v>711000</v>
      </c>
      <c r="Q279" s="406">
        <f t="shared" si="59"/>
        <v>39603</v>
      </c>
      <c r="R279" s="387">
        <v>0.19</v>
      </c>
      <c r="S279" s="407">
        <f t="shared" si="60"/>
        <v>712854</v>
      </c>
      <c r="T279" s="92">
        <v>10</v>
      </c>
      <c r="U279" s="92">
        <f t="shared" si="52"/>
        <v>28</v>
      </c>
      <c r="V279" s="132"/>
      <c r="W279" s="130"/>
      <c r="X279" s="424"/>
      <c r="Y279" s="406"/>
    </row>
    <row r="280" spans="1:25" ht="15" x14ac:dyDescent="0.3">
      <c r="A280" s="162">
        <v>5</v>
      </c>
      <c r="B280" s="173" t="s">
        <v>441</v>
      </c>
      <c r="C280" s="170">
        <v>150171559</v>
      </c>
      <c r="D280" s="170">
        <v>5119</v>
      </c>
      <c r="E280" s="285">
        <v>6</v>
      </c>
      <c r="F280" s="233" t="s">
        <v>442</v>
      </c>
      <c r="G280" s="170" t="s">
        <v>206</v>
      </c>
      <c r="H280" s="170"/>
      <c r="I280" s="170"/>
      <c r="J280" s="170">
        <v>11</v>
      </c>
      <c r="K280" s="404">
        <v>38000</v>
      </c>
      <c r="L280" s="387">
        <v>0.19</v>
      </c>
      <c r="M280" s="405">
        <f t="shared" si="57"/>
        <v>418000</v>
      </c>
      <c r="N280" s="404">
        <v>37000</v>
      </c>
      <c r="O280" s="387">
        <v>0.19</v>
      </c>
      <c r="P280" s="401">
        <f t="shared" si="58"/>
        <v>407000</v>
      </c>
      <c r="Q280" s="406">
        <f t="shared" si="59"/>
        <v>37500</v>
      </c>
      <c r="R280" s="387">
        <v>0.19</v>
      </c>
      <c r="S280" s="407">
        <f t="shared" si="60"/>
        <v>412500</v>
      </c>
      <c r="T280" s="92">
        <v>10</v>
      </c>
      <c r="U280" s="92">
        <f t="shared" si="52"/>
        <v>21</v>
      </c>
      <c r="V280" s="132"/>
      <c r="W280" s="130"/>
      <c r="X280" s="424"/>
      <c r="Y280" s="406"/>
    </row>
    <row r="281" spans="1:25" ht="15" x14ac:dyDescent="0.3">
      <c r="A281" s="162">
        <v>5</v>
      </c>
      <c r="B281" s="162">
        <v>232400</v>
      </c>
      <c r="C281" s="170">
        <v>150171559</v>
      </c>
      <c r="D281" s="162">
        <v>501615</v>
      </c>
      <c r="E281" s="285">
        <v>7</v>
      </c>
      <c r="F281" s="233" t="s">
        <v>443</v>
      </c>
      <c r="G281" s="170" t="s">
        <v>444</v>
      </c>
      <c r="H281" s="170"/>
      <c r="I281" s="170"/>
      <c r="J281" s="162">
        <v>11</v>
      </c>
      <c r="K281" s="404">
        <v>21450</v>
      </c>
      <c r="L281" s="387">
        <v>0.19</v>
      </c>
      <c r="M281" s="405">
        <f t="shared" si="57"/>
        <v>235950</v>
      </c>
      <c r="N281" s="404">
        <v>20500</v>
      </c>
      <c r="O281" s="387">
        <v>0.19</v>
      </c>
      <c r="P281" s="401">
        <f t="shared" si="58"/>
        <v>225500</v>
      </c>
      <c r="Q281" s="406">
        <f t="shared" si="59"/>
        <v>20975</v>
      </c>
      <c r="R281" s="387">
        <v>0.19</v>
      </c>
      <c r="S281" s="407">
        <f t="shared" si="60"/>
        <v>230725</v>
      </c>
      <c r="T281" s="92">
        <v>10</v>
      </c>
      <c r="U281" s="92">
        <f t="shared" si="52"/>
        <v>21</v>
      </c>
      <c r="V281" s="132"/>
      <c r="W281" s="130"/>
      <c r="X281" s="424"/>
      <c r="Y281" s="406"/>
    </row>
    <row r="282" spans="1:25" ht="27.6" x14ac:dyDescent="0.3">
      <c r="A282" s="170">
        <v>5</v>
      </c>
      <c r="B282" s="162">
        <v>235653</v>
      </c>
      <c r="C282" s="162">
        <v>124111516</v>
      </c>
      <c r="D282" s="162">
        <v>31181701</v>
      </c>
      <c r="E282" s="285">
        <v>8</v>
      </c>
      <c r="F282" s="408" t="s">
        <v>445</v>
      </c>
      <c r="G282" s="170" t="s">
        <v>71</v>
      </c>
      <c r="H282" s="170"/>
      <c r="I282" s="170"/>
      <c r="J282" s="162">
        <v>160</v>
      </c>
      <c r="K282" s="404">
        <v>3530</v>
      </c>
      <c r="L282" s="387">
        <v>0.19</v>
      </c>
      <c r="M282" s="405">
        <f t="shared" si="57"/>
        <v>564800</v>
      </c>
      <c r="N282" s="404">
        <v>3530</v>
      </c>
      <c r="O282" s="387">
        <v>0.19</v>
      </c>
      <c r="P282" s="401">
        <f t="shared" si="58"/>
        <v>564800</v>
      </c>
      <c r="Q282" s="406">
        <f t="shared" si="59"/>
        <v>3530</v>
      </c>
      <c r="R282" s="387">
        <v>0.19</v>
      </c>
      <c r="S282" s="407">
        <f t="shared" si="60"/>
        <v>564800</v>
      </c>
      <c r="T282" s="92">
        <v>10</v>
      </c>
      <c r="U282" s="92">
        <f t="shared" si="52"/>
        <v>170</v>
      </c>
      <c r="V282" s="132"/>
      <c r="W282" s="130"/>
      <c r="X282" s="424"/>
      <c r="Y282" s="406"/>
    </row>
    <row r="283" spans="1:25" ht="110.4" x14ac:dyDescent="0.3">
      <c r="A283" s="162">
        <v>5</v>
      </c>
      <c r="B283" s="162">
        <v>230744</v>
      </c>
      <c r="C283" s="162">
        <v>110151509</v>
      </c>
      <c r="D283" s="162">
        <v>50201706</v>
      </c>
      <c r="E283" s="162">
        <v>9</v>
      </c>
      <c r="F283" s="219" t="s">
        <v>446</v>
      </c>
      <c r="G283" s="170" t="s">
        <v>206</v>
      </c>
      <c r="H283" s="170"/>
      <c r="I283" s="170"/>
      <c r="J283" s="162">
        <v>154</v>
      </c>
      <c r="K283" s="404">
        <v>32500</v>
      </c>
      <c r="L283" s="387">
        <v>0.19</v>
      </c>
      <c r="M283" s="405">
        <f t="shared" si="57"/>
        <v>5005000</v>
      </c>
      <c r="N283" s="404">
        <v>32500</v>
      </c>
      <c r="O283" s="387">
        <v>0.19</v>
      </c>
      <c r="P283" s="401">
        <f t="shared" si="58"/>
        <v>5005000</v>
      </c>
      <c r="Q283" s="406">
        <f t="shared" si="59"/>
        <v>32500</v>
      </c>
      <c r="R283" s="387">
        <v>0.19</v>
      </c>
      <c r="S283" s="407">
        <f t="shared" si="60"/>
        <v>5005000</v>
      </c>
      <c r="T283" s="92">
        <v>10</v>
      </c>
      <c r="U283" s="92">
        <f t="shared" si="52"/>
        <v>164</v>
      </c>
      <c r="V283" s="132"/>
      <c r="W283" s="130"/>
      <c r="X283" s="424"/>
      <c r="Y283" s="406"/>
    </row>
    <row r="284" spans="1:25" ht="15" x14ac:dyDescent="0.3">
      <c r="A284" s="162">
        <v>5</v>
      </c>
      <c r="B284" s="279" t="s">
        <v>447</v>
      </c>
      <c r="C284" s="173" t="s">
        <v>448</v>
      </c>
      <c r="D284" s="279">
        <v>12161805</v>
      </c>
      <c r="E284" s="285">
        <v>10</v>
      </c>
      <c r="F284" s="219" t="s">
        <v>449</v>
      </c>
      <c r="G284" s="170" t="s">
        <v>206</v>
      </c>
      <c r="H284" s="170"/>
      <c r="I284" s="170"/>
      <c r="J284" s="162">
        <v>12</v>
      </c>
      <c r="K284" s="404">
        <v>37600</v>
      </c>
      <c r="L284" s="387">
        <v>0.19</v>
      </c>
      <c r="M284" s="405">
        <f t="shared" si="57"/>
        <v>451200</v>
      </c>
      <c r="N284" s="404">
        <v>34500</v>
      </c>
      <c r="O284" s="387">
        <v>0.19</v>
      </c>
      <c r="P284" s="401">
        <f t="shared" si="58"/>
        <v>414000</v>
      </c>
      <c r="Q284" s="406">
        <f t="shared" si="59"/>
        <v>36050</v>
      </c>
      <c r="R284" s="387">
        <v>0.19</v>
      </c>
      <c r="S284" s="407">
        <f t="shared" si="60"/>
        <v>432600</v>
      </c>
      <c r="T284" s="92">
        <v>10</v>
      </c>
      <c r="U284" s="92">
        <f t="shared" si="52"/>
        <v>22</v>
      </c>
      <c r="V284" s="132"/>
      <c r="W284" s="130"/>
      <c r="X284" s="424"/>
      <c r="Y284" s="406"/>
    </row>
    <row r="285" spans="1:25" ht="27.6" x14ac:dyDescent="0.3">
      <c r="A285" s="170">
        <v>5</v>
      </c>
      <c r="B285" s="162">
        <v>235653</v>
      </c>
      <c r="C285" s="162">
        <v>124111516</v>
      </c>
      <c r="D285" s="162">
        <v>31181701</v>
      </c>
      <c r="E285" s="285">
        <v>11</v>
      </c>
      <c r="F285" s="408" t="s">
        <v>450</v>
      </c>
      <c r="G285" s="170" t="s">
        <v>71</v>
      </c>
      <c r="H285" s="170"/>
      <c r="I285" s="170"/>
      <c r="J285" s="162">
        <v>160</v>
      </c>
      <c r="K285" s="404">
        <v>3714</v>
      </c>
      <c r="L285" s="387">
        <v>0.19</v>
      </c>
      <c r="M285" s="405">
        <f t="shared" si="57"/>
        <v>594240</v>
      </c>
      <c r="N285" s="404">
        <v>3714</v>
      </c>
      <c r="O285" s="387">
        <v>0.19</v>
      </c>
      <c r="P285" s="401">
        <f t="shared" si="58"/>
        <v>594240</v>
      </c>
      <c r="Q285" s="406">
        <f t="shared" si="59"/>
        <v>3714</v>
      </c>
      <c r="R285" s="387">
        <v>0.19</v>
      </c>
      <c r="S285" s="407">
        <f t="shared" si="60"/>
        <v>594240</v>
      </c>
      <c r="T285" s="92">
        <v>10</v>
      </c>
      <c r="U285" s="92">
        <f t="shared" si="52"/>
        <v>170</v>
      </c>
      <c r="V285" s="132"/>
      <c r="W285" s="130"/>
      <c r="X285" s="424"/>
      <c r="Y285" s="406"/>
    </row>
    <row r="286" spans="1:25" ht="15" x14ac:dyDescent="0.3">
      <c r="A286" s="162">
        <v>5</v>
      </c>
      <c r="B286" s="162">
        <v>231999</v>
      </c>
      <c r="C286" s="162">
        <v>150171559</v>
      </c>
      <c r="D286" s="162">
        <v>1216</v>
      </c>
      <c r="E286" s="285">
        <v>12</v>
      </c>
      <c r="F286" s="219" t="s">
        <v>451</v>
      </c>
      <c r="G286" s="170" t="s">
        <v>206</v>
      </c>
      <c r="H286" s="170"/>
      <c r="I286" s="170"/>
      <c r="J286" s="162">
        <v>14</v>
      </c>
      <c r="K286" s="404">
        <v>15399</v>
      </c>
      <c r="L286" s="387">
        <v>0.19</v>
      </c>
      <c r="M286" s="405">
        <f t="shared" si="57"/>
        <v>215586</v>
      </c>
      <c r="N286" s="404">
        <v>14500</v>
      </c>
      <c r="O286" s="387">
        <v>0.19</v>
      </c>
      <c r="P286" s="401">
        <f t="shared" si="58"/>
        <v>203000</v>
      </c>
      <c r="Q286" s="406">
        <f t="shared" si="59"/>
        <v>14949.5</v>
      </c>
      <c r="R286" s="387">
        <v>0.19</v>
      </c>
      <c r="S286" s="407">
        <f t="shared" si="60"/>
        <v>209293</v>
      </c>
      <c r="T286" s="92">
        <v>10</v>
      </c>
      <c r="U286" s="92">
        <f t="shared" si="52"/>
        <v>24</v>
      </c>
      <c r="V286" s="132"/>
      <c r="W286" s="130"/>
      <c r="X286" s="424"/>
      <c r="Y286" s="406"/>
    </row>
    <row r="287" spans="1:25" ht="27.6" x14ac:dyDescent="0.3">
      <c r="A287" s="170">
        <v>5</v>
      </c>
      <c r="B287" s="173" t="s">
        <v>452</v>
      </c>
      <c r="C287" s="279">
        <v>124111516</v>
      </c>
      <c r="D287" s="285">
        <v>31181701</v>
      </c>
      <c r="E287" s="162">
        <v>13</v>
      </c>
      <c r="F287" s="408" t="s">
        <v>453</v>
      </c>
      <c r="G287" s="170" t="s">
        <v>71</v>
      </c>
      <c r="H287" s="170"/>
      <c r="I287" s="170"/>
      <c r="J287" s="162">
        <v>160</v>
      </c>
      <c r="K287" s="404">
        <v>3924</v>
      </c>
      <c r="L287" s="387">
        <v>0.19</v>
      </c>
      <c r="M287" s="405">
        <f t="shared" si="57"/>
        <v>627840</v>
      </c>
      <c r="N287" s="404">
        <v>3924</v>
      </c>
      <c r="O287" s="387">
        <v>0.19</v>
      </c>
      <c r="P287" s="401">
        <f t="shared" si="58"/>
        <v>627840</v>
      </c>
      <c r="Q287" s="406">
        <f t="shared" si="59"/>
        <v>3924</v>
      </c>
      <c r="R287" s="387">
        <v>0.19</v>
      </c>
      <c r="S287" s="407">
        <f t="shared" si="60"/>
        <v>627840</v>
      </c>
      <c r="T287" s="92">
        <v>10</v>
      </c>
      <c r="U287" s="92">
        <f t="shared" si="52"/>
        <v>170</v>
      </c>
      <c r="V287" s="132"/>
      <c r="W287" s="130"/>
      <c r="X287" s="424"/>
      <c r="Y287" s="406"/>
    </row>
    <row r="288" spans="1:25" ht="15" x14ac:dyDescent="0.3">
      <c r="A288" s="162">
        <v>5</v>
      </c>
      <c r="B288" s="327" t="s">
        <v>454</v>
      </c>
      <c r="C288" s="327" t="s">
        <v>426</v>
      </c>
      <c r="D288" s="327" t="s">
        <v>455</v>
      </c>
      <c r="E288" s="285">
        <v>14</v>
      </c>
      <c r="F288" s="219" t="s">
        <v>456</v>
      </c>
      <c r="G288" s="170" t="s">
        <v>457</v>
      </c>
      <c r="H288" s="170"/>
      <c r="I288" s="170"/>
      <c r="J288" s="162">
        <v>16</v>
      </c>
      <c r="K288" s="404">
        <v>12352</v>
      </c>
      <c r="L288" s="387">
        <v>0.19</v>
      </c>
      <c r="M288" s="405">
        <f t="shared" si="57"/>
        <v>197632</v>
      </c>
      <c r="N288" s="404">
        <v>12000</v>
      </c>
      <c r="O288" s="387">
        <v>0.19</v>
      </c>
      <c r="P288" s="401">
        <f t="shared" si="58"/>
        <v>192000</v>
      </c>
      <c r="Q288" s="406">
        <f t="shared" si="59"/>
        <v>12176</v>
      </c>
      <c r="R288" s="387">
        <v>0.19</v>
      </c>
      <c r="S288" s="407">
        <f t="shared" si="60"/>
        <v>194816</v>
      </c>
      <c r="T288" s="92">
        <v>10</v>
      </c>
      <c r="U288" s="92">
        <f t="shared" si="52"/>
        <v>26</v>
      </c>
      <c r="V288" s="132"/>
      <c r="W288" s="130"/>
      <c r="X288" s="424"/>
      <c r="Y288" s="406"/>
    </row>
    <row r="289" spans="1:25" ht="41.4" x14ac:dyDescent="0.3">
      <c r="A289" s="162">
        <v>5</v>
      </c>
      <c r="B289" s="162">
        <v>235202</v>
      </c>
      <c r="C289" s="162">
        <v>147122123</v>
      </c>
      <c r="D289" s="162">
        <v>481018</v>
      </c>
      <c r="E289" s="285">
        <v>15</v>
      </c>
      <c r="F289" s="219" t="s">
        <v>458</v>
      </c>
      <c r="G289" s="170" t="s">
        <v>459</v>
      </c>
      <c r="H289" s="170"/>
      <c r="I289" s="170"/>
      <c r="J289" s="162">
        <v>12</v>
      </c>
      <c r="K289" s="404">
        <v>26000</v>
      </c>
      <c r="L289" s="387">
        <v>0.19</v>
      </c>
      <c r="M289" s="405">
        <f t="shared" si="57"/>
        <v>312000</v>
      </c>
      <c r="N289" s="404">
        <v>25450</v>
      </c>
      <c r="O289" s="387">
        <v>0.19</v>
      </c>
      <c r="P289" s="401">
        <f t="shared" si="58"/>
        <v>305400</v>
      </c>
      <c r="Q289" s="406">
        <f t="shared" si="59"/>
        <v>25725</v>
      </c>
      <c r="R289" s="387">
        <v>0.19</v>
      </c>
      <c r="S289" s="407">
        <f t="shared" si="60"/>
        <v>308700</v>
      </c>
      <c r="T289" s="92">
        <v>10</v>
      </c>
      <c r="U289" s="92">
        <f t="shared" si="52"/>
        <v>22</v>
      </c>
      <c r="V289" s="132"/>
      <c r="W289" s="130"/>
      <c r="X289" s="424"/>
      <c r="Y289" s="406"/>
    </row>
    <row r="290" spans="1:25" ht="27.6" x14ac:dyDescent="0.3">
      <c r="A290" s="170">
        <v>5</v>
      </c>
      <c r="B290" s="169">
        <v>235653</v>
      </c>
      <c r="C290" s="285">
        <v>124111516</v>
      </c>
      <c r="D290" s="285">
        <v>31181701</v>
      </c>
      <c r="E290" s="285">
        <v>16</v>
      </c>
      <c r="F290" s="408" t="s">
        <v>460</v>
      </c>
      <c r="G290" s="170" t="s">
        <v>71</v>
      </c>
      <c r="H290" s="170"/>
      <c r="I290" s="170"/>
      <c r="J290" s="162">
        <v>160</v>
      </c>
      <c r="K290" s="404">
        <v>3882</v>
      </c>
      <c r="L290" s="387">
        <v>0.19</v>
      </c>
      <c r="M290" s="405">
        <f t="shared" si="57"/>
        <v>621120</v>
      </c>
      <c r="N290" s="404">
        <v>3850</v>
      </c>
      <c r="O290" s="387">
        <v>0.19</v>
      </c>
      <c r="P290" s="401">
        <f t="shared" si="58"/>
        <v>616000</v>
      </c>
      <c r="Q290" s="406">
        <f t="shared" si="59"/>
        <v>3866</v>
      </c>
      <c r="R290" s="387">
        <v>0.19</v>
      </c>
      <c r="S290" s="407">
        <f t="shared" si="60"/>
        <v>618560</v>
      </c>
      <c r="T290" s="92">
        <v>10</v>
      </c>
      <c r="U290" s="92">
        <f t="shared" si="52"/>
        <v>170</v>
      </c>
      <c r="V290" s="132"/>
      <c r="W290" s="130"/>
      <c r="X290" s="424"/>
      <c r="Y290" s="406"/>
    </row>
    <row r="291" spans="1:25" ht="15" x14ac:dyDescent="0.3">
      <c r="A291" s="162">
        <v>5</v>
      </c>
      <c r="B291" s="162">
        <v>234767</v>
      </c>
      <c r="C291" s="162">
        <v>147122123</v>
      </c>
      <c r="D291" s="162">
        <v>481018</v>
      </c>
      <c r="E291" s="162">
        <v>17</v>
      </c>
      <c r="F291" s="219" t="s">
        <v>461</v>
      </c>
      <c r="G291" s="170" t="s">
        <v>206</v>
      </c>
      <c r="H291" s="170"/>
      <c r="I291" s="170"/>
      <c r="J291" s="162">
        <v>12</v>
      </c>
      <c r="K291" s="404">
        <v>41176</v>
      </c>
      <c r="L291" s="387">
        <v>0.19</v>
      </c>
      <c r="M291" s="405">
        <f t="shared" si="57"/>
        <v>494112</v>
      </c>
      <c r="N291" s="404">
        <v>40176</v>
      </c>
      <c r="O291" s="387">
        <v>0.19</v>
      </c>
      <c r="P291" s="401">
        <f t="shared" si="58"/>
        <v>482112</v>
      </c>
      <c r="Q291" s="406">
        <f t="shared" si="59"/>
        <v>40676</v>
      </c>
      <c r="R291" s="387">
        <v>0.19</v>
      </c>
      <c r="S291" s="407">
        <f t="shared" si="60"/>
        <v>488112</v>
      </c>
      <c r="T291" s="92">
        <v>10</v>
      </c>
      <c r="U291" s="92">
        <f t="shared" si="52"/>
        <v>22</v>
      </c>
      <c r="V291" s="132"/>
      <c r="W291" s="130"/>
      <c r="X291" s="424"/>
      <c r="Y291" s="406"/>
    </row>
    <row r="292" spans="1:25" ht="15" x14ac:dyDescent="0.3">
      <c r="A292" s="162">
        <v>5</v>
      </c>
      <c r="B292" s="162">
        <v>245422</v>
      </c>
      <c r="C292" s="162">
        <v>150171559</v>
      </c>
      <c r="D292" s="162">
        <v>12352207</v>
      </c>
      <c r="E292" s="285">
        <v>18</v>
      </c>
      <c r="F292" s="219" t="s">
        <v>462</v>
      </c>
      <c r="G292" s="170" t="s">
        <v>463</v>
      </c>
      <c r="H292" s="170"/>
      <c r="I292" s="170"/>
      <c r="J292" s="162">
        <v>14</v>
      </c>
      <c r="K292" s="404">
        <v>36471</v>
      </c>
      <c r="L292" s="387">
        <v>0.19</v>
      </c>
      <c r="M292" s="405">
        <f t="shared" si="57"/>
        <v>510594</v>
      </c>
      <c r="N292" s="404">
        <v>35450</v>
      </c>
      <c r="O292" s="387">
        <v>0.19</v>
      </c>
      <c r="P292" s="401">
        <f t="shared" si="58"/>
        <v>496300</v>
      </c>
      <c r="Q292" s="406">
        <f t="shared" si="59"/>
        <v>35960.5</v>
      </c>
      <c r="R292" s="387">
        <v>0.19</v>
      </c>
      <c r="S292" s="407">
        <f t="shared" si="60"/>
        <v>503447</v>
      </c>
      <c r="T292" s="92">
        <v>10</v>
      </c>
      <c r="U292" s="92">
        <f t="shared" si="52"/>
        <v>24</v>
      </c>
      <c r="V292" s="132"/>
      <c r="W292" s="130"/>
      <c r="X292" s="424"/>
      <c r="Y292" s="406"/>
    </row>
    <row r="293" spans="1:25" ht="15" x14ac:dyDescent="0.3">
      <c r="A293" s="162">
        <v>5</v>
      </c>
      <c r="B293" s="162">
        <v>245421</v>
      </c>
      <c r="C293" s="162">
        <v>150171559</v>
      </c>
      <c r="D293" s="162">
        <v>12352207</v>
      </c>
      <c r="E293" s="285">
        <v>19</v>
      </c>
      <c r="F293" s="219" t="s">
        <v>464</v>
      </c>
      <c r="G293" s="170" t="s">
        <v>463</v>
      </c>
      <c r="H293" s="170"/>
      <c r="I293" s="170"/>
      <c r="J293" s="162">
        <v>14</v>
      </c>
      <c r="K293" s="404">
        <v>38676</v>
      </c>
      <c r="L293" s="387">
        <v>0.19</v>
      </c>
      <c r="M293" s="405">
        <f t="shared" si="57"/>
        <v>541464</v>
      </c>
      <c r="N293" s="404">
        <v>37700</v>
      </c>
      <c r="O293" s="387">
        <v>0.19</v>
      </c>
      <c r="P293" s="401">
        <f t="shared" si="58"/>
        <v>527800</v>
      </c>
      <c r="Q293" s="406">
        <f t="shared" si="59"/>
        <v>38188</v>
      </c>
      <c r="R293" s="387">
        <v>0.19</v>
      </c>
      <c r="S293" s="407">
        <f t="shared" si="60"/>
        <v>534632</v>
      </c>
      <c r="T293" s="92">
        <v>10</v>
      </c>
      <c r="U293" s="92">
        <f t="shared" si="52"/>
        <v>24</v>
      </c>
      <c r="V293" s="132"/>
      <c r="W293" s="130"/>
      <c r="X293" s="424"/>
      <c r="Y293" s="406"/>
    </row>
    <row r="294" spans="1:25" ht="27.6" x14ac:dyDescent="0.3">
      <c r="A294" s="285">
        <v>5</v>
      </c>
      <c r="B294" s="285">
        <v>230709</v>
      </c>
      <c r="C294" s="285">
        <v>124111516</v>
      </c>
      <c r="D294" s="285">
        <v>24121502</v>
      </c>
      <c r="E294" s="285">
        <v>20</v>
      </c>
      <c r="F294" s="219" t="s">
        <v>465</v>
      </c>
      <c r="G294" s="410" t="s">
        <v>71</v>
      </c>
      <c r="H294" s="410"/>
      <c r="I294" s="410"/>
      <c r="J294" s="170">
        <v>110</v>
      </c>
      <c r="K294" s="404">
        <v>670</v>
      </c>
      <c r="L294" s="387">
        <v>0.19</v>
      </c>
      <c r="M294" s="405">
        <f t="shared" si="57"/>
        <v>73700</v>
      </c>
      <c r="N294" s="404">
        <v>670</v>
      </c>
      <c r="O294" s="387">
        <v>0.19</v>
      </c>
      <c r="P294" s="401">
        <f t="shared" si="58"/>
        <v>73700</v>
      </c>
      <c r="Q294" s="406">
        <f t="shared" si="59"/>
        <v>670</v>
      </c>
      <c r="R294" s="387">
        <v>0.19</v>
      </c>
      <c r="S294" s="407">
        <f t="shared" si="60"/>
        <v>73700</v>
      </c>
      <c r="T294" s="92">
        <v>10</v>
      </c>
      <c r="U294" s="92">
        <f t="shared" si="52"/>
        <v>120</v>
      </c>
      <c r="V294" s="132"/>
      <c r="W294" s="130"/>
      <c r="X294" s="424"/>
      <c r="Y294" s="406"/>
    </row>
    <row r="295" spans="1:25" ht="27.6" x14ac:dyDescent="0.3">
      <c r="A295" s="285">
        <v>5</v>
      </c>
      <c r="B295" s="285">
        <v>230709</v>
      </c>
      <c r="C295" s="285">
        <v>124111516</v>
      </c>
      <c r="D295" s="285">
        <v>24121502</v>
      </c>
      <c r="E295" s="162">
        <v>21</v>
      </c>
      <c r="F295" s="219" t="s">
        <v>466</v>
      </c>
      <c r="G295" s="410" t="s">
        <v>71</v>
      </c>
      <c r="H295" s="410"/>
      <c r="I295" s="410"/>
      <c r="J295" s="170">
        <v>110</v>
      </c>
      <c r="K295" s="404">
        <v>890</v>
      </c>
      <c r="L295" s="387">
        <v>0.19</v>
      </c>
      <c r="M295" s="405">
        <f t="shared" si="57"/>
        <v>97900</v>
      </c>
      <c r="N295" s="404">
        <v>890</v>
      </c>
      <c r="O295" s="387">
        <v>0.19</v>
      </c>
      <c r="P295" s="401">
        <f t="shared" si="58"/>
        <v>97900</v>
      </c>
      <c r="Q295" s="406">
        <f t="shared" si="59"/>
        <v>890</v>
      </c>
      <c r="R295" s="387">
        <v>0.19</v>
      </c>
      <c r="S295" s="407">
        <f t="shared" si="60"/>
        <v>97900</v>
      </c>
      <c r="T295" s="92">
        <v>10</v>
      </c>
      <c r="U295" s="92">
        <f t="shared" si="52"/>
        <v>120</v>
      </c>
      <c r="V295" s="132"/>
      <c r="W295" s="130"/>
      <c r="X295" s="424"/>
      <c r="Y295" s="406"/>
    </row>
    <row r="296" spans="1:25" ht="27.6" x14ac:dyDescent="0.3">
      <c r="A296" s="285">
        <v>5</v>
      </c>
      <c r="B296" s="285">
        <v>241654</v>
      </c>
      <c r="C296" s="285">
        <v>124111516</v>
      </c>
      <c r="D296" s="285">
        <v>24121502</v>
      </c>
      <c r="E296" s="285">
        <v>22</v>
      </c>
      <c r="F296" s="219" t="s">
        <v>467</v>
      </c>
      <c r="G296" s="410" t="s">
        <v>71</v>
      </c>
      <c r="H296" s="410"/>
      <c r="I296" s="410"/>
      <c r="J296" s="170">
        <v>110</v>
      </c>
      <c r="K296" s="404">
        <v>835</v>
      </c>
      <c r="L296" s="387">
        <v>0.19</v>
      </c>
      <c r="M296" s="405">
        <f t="shared" si="57"/>
        <v>91850</v>
      </c>
      <c r="N296" s="404">
        <v>835</v>
      </c>
      <c r="O296" s="387">
        <v>0.19</v>
      </c>
      <c r="P296" s="401">
        <f t="shared" si="58"/>
        <v>91850</v>
      </c>
      <c r="Q296" s="406">
        <f t="shared" si="59"/>
        <v>835</v>
      </c>
      <c r="R296" s="387">
        <v>0.19</v>
      </c>
      <c r="S296" s="407">
        <f t="shared" si="60"/>
        <v>91850</v>
      </c>
      <c r="T296" s="92">
        <v>10</v>
      </c>
      <c r="U296" s="92">
        <f t="shared" si="52"/>
        <v>120</v>
      </c>
      <c r="V296" s="132"/>
      <c r="W296" s="130"/>
      <c r="X296" s="424"/>
      <c r="Y296" s="406"/>
    </row>
    <row r="297" spans="1:25" ht="27.6" x14ac:dyDescent="0.3">
      <c r="A297" s="285">
        <v>5</v>
      </c>
      <c r="B297" s="285">
        <v>230709</v>
      </c>
      <c r="C297" s="285">
        <v>124111516</v>
      </c>
      <c r="D297" s="285">
        <v>24121502</v>
      </c>
      <c r="E297" s="285">
        <v>23</v>
      </c>
      <c r="F297" s="219" t="s">
        <v>468</v>
      </c>
      <c r="G297" s="410" t="s">
        <v>71</v>
      </c>
      <c r="H297" s="410"/>
      <c r="I297" s="410"/>
      <c r="J297" s="169">
        <v>110</v>
      </c>
      <c r="K297" s="404">
        <v>945</v>
      </c>
      <c r="L297" s="387">
        <v>0.19</v>
      </c>
      <c r="M297" s="405">
        <f t="shared" si="57"/>
        <v>103950</v>
      </c>
      <c r="N297" s="404">
        <v>945</v>
      </c>
      <c r="O297" s="387">
        <v>0.19</v>
      </c>
      <c r="P297" s="401">
        <f t="shared" si="58"/>
        <v>103950</v>
      </c>
      <c r="Q297" s="406">
        <f t="shared" si="59"/>
        <v>945</v>
      </c>
      <c r="R297" s="387">
        <v>0.19</v>
      </c>
      <c r="S297" s="407">
        <f t="shared" si="60"/>
        <v>103950</v>
      </c>
      <c r="T297" s="92">
        <v>10</v>
      </c>
      <c r="U297" s="92">
        <f t="shared" si="52"/>
        <v>120</v>
      </c>
      <c r="V297" s="132"/>
      <c r="W297" s="130"/>
      <c r="X297" s="424"/>
      <c r="Y297" s="406"/>
    </row>
    <row r="298" spans="1:25" ht="27.6" x14ac:dyDescent="0.3">
      <c r="A298" s="162">
        <v>5</v>
      </c>
      <c r="B298" s="411" t="s">
        <v>469</v>
      </c>
      <c r="C298" s="169">
        <v>150111609</v>
      </c>
      <c r="D298" s="411" t="s">
        <v>470</v>
      </c>
      <c r="E298" s="285">
        <v>24</v>
      </c>
      <c r="F298" s="408" t="s">
        <v>471</v>
      </c>
      <c r="G298" s="169" t="s">
        <v>472</v>
      </c>
      <c r="H298" s="169"/>
      <c r="I298" s="169"/>
      <c r="J298" s="285">
        <v>11</v>
      </c>
      <c r="K298" s="404">
        <v>75293</v>
      </c>
      <c r="L298" s="387">
        <v>0.19</v>
      </c>
      <c r="M298" s="405">
        <f t="shared" si="57"/>
        <v>828223</v>
      </c>
      <c r="N298" s="404">
        <v>74300</v>
      </c>
      <c r="O298" s="387">
        <v>0.19</v>
      </c>
      <c r="P298" s="401">
        <f t="shared" si="58"/>
        <v>817300</v>
      </c>
      <c r="Q298" s="406">
        <f t="shared" si="59"/>
        <v>74796.5</v>
      </c>
      <c r="R298" s="387">
        <v>0.19</v>
      </c>
      <c r="S298" s="407">
        <f t="shared" si="60"/>
        <v>822761.5</v>
      </c>
      <c r="T298" s="92">
        <v>10</v>
      </c>
      <c r="U298" s="92">
        <f t="shared" si="52"/>
        <v>21</v>
      </c>
      <c r="V298" s="132"/>
      <c r="W298" s="130"/>
      <c r="X298" s="424"/>
      <c r="Y298" s="406"/>
    </row>
    <row r="299" spans="1:25" ht="15" x14ac:dyDescent="0.3">
      <c r="A299" s="162">
        <v>5</v>
      </c>
      <c r="B299" s="411" t="s">
        <v>473</v>
      </c>
      <c r="C299" s="169">
        <v>150111609</v>
      </c>
      <c r="D299" s="411" t="s">
        <v>470</v>
      </c>
      <c r="E299" s="162">
        <v>25</v>
      </c>
      <c r="F299" s="408" t="s">
        <v>474</v>
      </c>
      <c r="G299" s="169" t="s">
        <v>475</v>
      </c>
      <c r="H299" s="169"/>
      <c r="I299" s="169"/>
      <c r="J299" s="285">
        <v>11</v>
      </c>
      <c r="K299" s="404">
        <v>93529</v>
      </c>
      <c r="L299" s="387">
        <v>0.19</v>
      </c>
      <c r="M299" s="405">
        <f t="shared" si="57"/>
        <v>1028819</v>
      </c>
      <c r="N299" s="404">
        <v>91550</v>
      </c>
      <c r="O299" s="387">
        <v>0.19</v>
      </c>
      <c r="P299" s="401">
        <f t="shared" si="58"/>
        <v>1007050</v>
      </c>
      <c r="Q299" s="406">
        <f t="shared" si="59"/>
        <v>92539.5</v>
      </c>
      <c r="R299" s="387">
        <v>0.19</v>
      </c>
      <c r="S299" s="407">
        <f t="shared" si="60"/>
        <v>1017934.5</v>
      </c>
      <c r="T299" s="92">
        <v>10</v>
      </c>
      <c r="U299" s="92">
        <f t="shared" si="52"/>
        <v>21</v>
      </c>
      <c r="V299" s="132"/>
      <c r="W299" s="130"/>
      <c r="X299" s="424"/>
      <c r="Y299" s="406"/>
    </row>
    <row r="300" spans="1:25" ht="27.6" x14ac:dyDescent="0.3">
      <c r="A300" s="162">
        <v>5</v>
      </c>
      <c r="B300" s="411" t="s">
        <v>476</v>
      </c>
      <c r="C300" s="169">
        <v>150111609</v>
      </c>
      <c r="D300" s="411" t="s">
        <v>470</v>
      </c>
      <c r="E300" s="285">
        <v>26</v>
      </c>
      <c r="F300" s="408" t="s">
        <v>477</v>
      </c>
      <c r="G300" s="169" t="s">
        <v>472</v>
      </c>
      <c r="H300" s="169"/>
      <c r="I300" s="169"/>
      <c r="J300" s="285">
        <v>11</v>
      </c>
      <c r="K300" s="404">
        <v>73529</v>
      </c>
      <c r="L300" s="387">
        <v>0.19</v>
      </c>
      <c r="M300" s="405">
        <f t="shared" si="57"/>
        <v>808819</v>
      </c>
      <c r="N300" s="404">
        <v>73529</v>
      </c>
      <c r="O300" s="387">
        <v>0.19</v>
      </c>
      <c r="P300" s="401">
        <f t="shared" si="58"/>
        <v>808819</v>
      </c>
      <c r="Q300" s="406">
        <f t="shared" si="59"/>
        <v>73529</v>
      </c>
      <c r="R300" s="387">
        <v>0.19</v>
      </c>
      <c r="S300" s="407">
        <f t="shared" si="60"/>
        <v>808819</v>
      </c>
      <c r="T300" s="92">
        <v>10</v>
      </c>
      <c r="U300" s="92">
        <f t="shared" si="52"/>
        <v>21</v>
      </c>
      <c r="V300" s="132"/>
      <c r="W300" s="130"/>
      <c r="X300" s="424"/>
      <c r="Y300" s="406"/>
    </row>
    <row r="301" spans="1:25" ht="15" x14ac:dyDescent="0.3">
      <c r="A301" s="162">
        <v>5</v>
      </c>
      <c r="B301" s="162">
        <v>242204</v>
      </c>
      <c r="C301" s="162">
        <v>150192904</v>
      </c>
      <c r="D301" s="162">
        <v>50171551</v>
      </c>
      <c r="E301" s="285">
        <v>27</v>
      </c>
      <c r="F301" s="408" t="s">
        <v>478</v>
      </c>
      <c r="G301" s="169" t="s">
        <v>206</v>
      </c>
      <c r="H301" s="169"/>
      <c r="I301" s="169"/>
      <c r="J301" s="285">
        <v>14</v>
      </c>
      <c r="K301" s="404">
        <v>3094</v>
      </c>
      <c r="L301" s="387">
        <v>0.19</v>
      </c>
      <c r="M301" s="405">
        <f t="shared" si="57"/>
        <v>43316</v>
      </c>
      <c r="N301" s="404">
        <v>2950</v>
      </c>
      <c r="O301" s="387">
        <v>0.19</v>
      </c>
      <c r="P301" s="401">
        <f t="shared" si="58"/>
        <v>41300</v>
      </c>
      <c r="Q301" s="406">
        <f t="shared" si="59"/>
        <v>3022</v>
      </c>
      <c r="R301" s="387">
        <v>0.19</v>
      </c>
      <c r="S301" s="407">
        <f t="shared" si="60"/>
        <v>42308</v>
      </c>
      <c r="T301" s="92">
        <v>10</v>
      </c>
      <c r="U301" s="92">
        <f t="shared" si="52"/>
        <v>24</v>
      </c>
      <c r="V301" s="132"/>
      <c r="W301" s="130"/>
      <c r="X301" s="424"/>
      <c r="Y301" s="406"/>
    </row>
    <row r="302" spans="1:25" ht="27.6" x14ac:dyDescent="0.3">
      <c r="A302" s="162">
        <v>5</v>
      </c>
      <c r="B302" s="411" t="s">
        <v>479</v>
      </c>
      <c r="C302" s="169">
        <v>150111609</v>
      </c>
      <c r="D302" s="411" t="s">
        <v>480</v>
      </c>
      <c r="E302" s="285">
        <v>28</v>
      </c>
      <c r="F302" s="408" t="s">
        <v>481</v>
      </c>
      <c r="G302" s="169" t="s">
        <v>472</v>
      </c>
      <c r="H302" s="169"/>
      <c r="I302" s="169"/>
      <c r="J302" s="285">
        <v>12</v>
      </c>
      <c r="K302" s="404">
        <v>67209</v>
      </c>
      <c r="L302" s="387">
        <v>0.19</v>
      </c>
      <c r="M302" s="405">
        <f t="shared" si="57"/>
        <v>806508</v>
      </c>
      <c r="N302" s="404">
        <v>67209</v>
      </c>
      <c r="O302" s="387">
        <v>0.19</v>
      </c>
      <c r="P302" s="401">
        <f t="shared" si="58"/>
        <v>806508</v>
      </c>
      <c r="Q302" s="406">
        <f t="shared" si="59"/>
        <v>67209</v>
      </c>
      <c r="R302" s="387">
        <v>0.19</v>
      </c>
      <c r="S302" s="407">
        <f t="shared" si="60"/>
        <v>806508</v>
      </c>
      <c r="T302" s="92">
        <v>10</v>
      </c>
      <c r="U302" s="92">
        <f t="shared" si="52"/>
        <v>22</v>
      </c>
      <c r="V302" s="132"/>
      <c r="W302" s="130"/>
      <c r="X302" s="424"/>
      <c r="Y302" s="406"/>
    </row>
    <row r="303" spans="1:25" ht="27.6" x14ac:dyDescent="0.3">
      <c r="A303" s="162">
        <v>5</v>
      </c>
      <c r="B303" s="279">
        <v>231732</v>
      </c>
      <c r="C303" s="173" t="s">
        <v>482</v>
      </c>
      <c r="D303" s="279">
        <v>50111513</v>
      </c>
      <c r="E303" s="162">
        <v>29</v>
      </c>
      <c r="F303" s="219" t="s">
        <v>483</v>
      </c>
      <c r="G303" s="170" t="s">
        <v>206</v>
      </c>
      <c r="H303" s="170"/>
      <c r="I303" s="170"/>
      <c r="J303" s="162">
        <v>20</v>
      </c>
      <c r="K303" s="404">
        <v>32355</v>
      </c>
      <c r="L303" s="387">
        <v>0.19</v>
      </c>
      <c r="M303" s="405">
        <f t="shared" si="57"/>
        <v>647100</v>
      </c>
      <c r="N303" s="404">
        <v>32355</v>
      </c>
      <c r="O303" s="387">
        <v>0.19</v>
      </c>
      <c r="P303" s="401">
        <f t="shared" si="58"/>
        <v>647100</v>
      </c>
      <c r="Q303" s="406">
        <f t="shared" si="59"/>
        <v>32355</v>
      </c>
      <c r="R303" s="387">
        <v>0.19</v>
      </c>
      <c r="S303" s="407">
        <f t="shared" si="60"/>
        <v>647100</v>
      </c>
      <c r="T303" s="92">
        <v>10</v>
      </c>
      <c r="U303" s="92">
        <f t="shared" si="52"/>
        <v>30</v>
      </c>
      <c r="V303" s="132"/>
      <c r="W303" s="130"/>
      <c r="X303" s="424"/>
      <c r="Y303" s="406"/>
    </row>
    <row r="304" spans="1:25" ht="15" x14ac:dyDescent="0.3">
      <c r="A304" s="162">
        <v>5</v>
      </c>
      <c r="B304" s="173" t="s">
        <v>484</v>
      </c>
      <c r="C304" s="170" t="s">
        <v>482</v>
      </c>
      <c r="D304" s="173" t="s">
        <v>485</v>
      </c>
      <c r="E304" s="285">
        <v>30</v>
      </c>
      <c r="F304" s="219" t="s">
        <v>486</v>
      </c>
      <c r="G304" s="170" t="s">
        <v>206</v>
      </c>
      <c r="H304" s="170"/>
      <c r="I304" s="170"/>
      <c r="J304" s="162">
        <v>20</v>
      </c>
      <c r="K304" s="404">
        <v>32180</v>
      </c>
      <c r="L304" s="387">
        <v>0.19</v>
      </c>
      <c r="M304" s="405">
        <f t="shared" si="57"/>
        <v>643600</v>
      </c>
      <c r="N304" s="404">
        <v>32180</v>
      </c>
      <c r="O304" s="387">
        <v>0.19</v>
      </c>
      <c r="P304" s="401">
        <f t="shared" si="58"/>
        <v>643600</v>
      </c>
      <c r="Q304" s="406">
        <f t="shared" si="59"/>
        <v>32180</v>
      </c>
      <c r="R304" s="387">
        <v>0.19</v>
      </c>
      <c r="S304" s="407">
        <f t="shared" si="60"/>
        <v>643600</v>
      </c>
      <c r="T304" s="92">
        <v>10</v>
      </c>
      <c r="U304" s="92">
        <f t="shared" si="52"/>
        <v>30</v>
      </c>
      <c r="V304" s="132"/>
      <c r="W304" s="130"/>
      <c r="X304" s="424"/>
      <c r="Y304" s="406"/>
    </row>
    <row r="305" spans="1:25" ht="15" x14ac:dyDescent="0.3">
      <c r="A305" s="162">
        <v>5</v>
      </c>
      <c r="B305" s="162">
        <v>242785</v>
      </c>
      <c r="C305" s="162">
        <v>150131713</v>
      </c>
      <c r="D305" s="162">
        <v>50131701</v>
      </c>
      <c r="E305" s="285">
        <v>31</v>
      </c>
      <c r="F305" s="412" t="s">
        <v>487</v>
      </c>
      <c r="G305" s="293" t="s">
        <v>488</v>
      </c>
      <c r="H305" s="293"/>
      <c r="I305" s="293"/>
      <c r="J305" s="409">
        <v>210</v>
      </c>
      <c r="K305" s="404">
        <v>3250</v>
      </c>
      <c r="L305" s="387">
        <v>0.19</v>
      </c>
      <c r="M305" s="405">
        <f t="shared" si="57"/>
        <v>682500</v>
      </c>
      <c r="N305" s="404">
        <v>3165</v>
      </c>
      <c r="O305" s="387">
        <v>0.19</v>
      </c>
      <c r="P305" s="401">
        <f t="shared" si="58"/>
        <v>664650</v>
      </c>
      <c r="Q305" s="406">
        <f t="shared" si="59"/>
        <v>3207.5</v>
      </c>
      <c r="R305" s="387">
        <v>0.19</v>
      </c>
      <c r="S305" s="407">
        <f t="shared" si="60"/>
        <v>673575</v>
      </c>
      <c r="T305" s="92">
        <v>10</v>
      </c>
      <c r="U305" s="92">
        <f t="shared" ref="U305:U368" si="61">T305+J305</f>
        <v>220</v>
      </c>
      <c r="V305" s="132"/>
      <c r="W305" s="130"/>
      <c r="X305" s="424"/>
      <c r="Y305" s="406"/>
    </row>
    <row r="306" spans="1:25" ht="15" x14ac:dyDescent="0.3">
      <c r="A306" s="162">
        <v>5</v>
      </c>
      <c r="B306" s="279">
        <v>230531</v>
      </c>
      <c r="C306" s="279">
        <v>150101679</v>
      </c>
      <c r="D306" s="170">
        <v>50304503</v>
      </c>
      <c r="E306" s="285">
        <v>32</v>
      </c>
      <c r="F306" s="408" t="s">
        <v>489</v>
      </c>
      <c r="G306" s="170" t="s">
        <v>206</v>
      </c>
      <c r="H306" s="170"/>
      <c r="I306" s="170"/>
      <c r="J306" s="285">
        <v>26</v>
      </c>
      <c r="K306" s="404">
        <v>10500</v>
      </c>
      <c r="L306" s="387">
        <v>0.19</v>
      </c>
      <c r="M306" s="405">
        <f t="shared" si="57"/>
        <v>273000</v>
      </c>
      <c r="N306" s="404">
        <v>10500</v>
      </c>
      <c r="O306" s="387">
        <v>0.19</v>
      </c>
      <c r="P306" s="401">
        <f t="shared" si="58"/>
        <v>273000</v>
      </c>
      <c r="Q306" s="406">
        <f t="shared" si="59"/>
        <v>10500</v>
      </c>
      <c r="R306" s="387">
        <v>0.19</v>
      </c>
      <c r="S306" s="407">
        <f t="shared" si="60"/>
        <v>273000</v>
      </c>
      <c r="T306" s="92">
        <v>10</v>
      </c>
      <c r="U306" s="92">
        <f t="shared" si="61"/>
        <v>36</v>
      </c>
      <c r="V306" s="132"/>
      <c r="W306" s="130"/>
      <c r="X306" s="424"/>
      <c r="Y306" s="406"/>
    </row>
    <row r="307" spans="1:25" ht="15" x14ac:dyDescent="0.3">
      <c r="A307" s="162">
        <v>5</v>
      </c>
      <c r="B307" s="327" t="s">
        <v>490</v>
      </c>
      <c r="C307" s="327" t="s">
        <v>491</v>
      </c>
      <c r="D307" s="173" t="s">
        <v>492</v>
      </c>
      <c r="E307" s="162">
        <v>33</v>
      </c>
      <c r="F307" s="408" t="s">
        <v>493</v>
      </c>
      <c r="G307" s="170" t="s">
        <v>206</v>
      </c>
      <c r="H307" s="170"/>
      <c r="I307" s="170"/>
      <c r="J307" s="285">
        <v>26</v>
      </c>
      <c r="K307" s="404">
        <v>14500</v>
      </c>
      <c r="L307" s="387">
        <v>0.19</v>
      </c>
      <c r="M307" s="405">
        <f t="shared" si="57"/>
        <v>377000</v>
      </c>
      <c r="N307" s="404">
        <v>14500</v>
      </c>
      <c r="O307" s="387">
        <v>0.19</v>
      </c>
      <c r="P307" s="401">
        <f t="shared" si="58"/>
        <v>377000</v>
      </c>
      <c r="Q307" s="406">
        <f t="shared" si="59"/>
        <v>14500</v>
      </c>
      <c r="R307" s="387">
        <v>0.19</v>
      </c>
      <c r="S307" s="407">
        <f t="shared" si="60"/>
        <v>377000</v>
      </c>
      <c r="T307" s="92">
        <v>10</v>
      </c>
      <c r="U307" s="92">
        <f t="shared" si="61"/>
        <v>36</v>
      </c>
      <c r="V307" s="132"/>
      <c r="W307" s="130"/>
      <c r="X307" s="424"/>
      <c r="Y307" s="406"/>
    </row>
    <row r="308" spans="1:25" ht="15" x14ac:dyDescent="0.3">
      <c r="A308" s="162">
        <v>5</v>
      </c>
      <c r="B308" s="327" t="s">
        <v>494</v>
      </c>
      <c r="C308" s="279" t="s">
        <v>491</v>
      </c>
      <c r="D308" s="173" t="s">
        <v>495</v>
      </c>
      <c r="E308" s="285">
        <v>34</v>
      </c>
      <c r="F308" s="408" t="s">
        <v>496</v>
      </c>
      <c r="G308" s="170" t="s">
        <v>206</v>
      </c>
      <c r="H308" s="170"/>
      <c r="I308" s="170"/>
      <c r="J308" s="285">
        <v>26</v>
      </c>
      <c r="K308" s="404">
        <v>21000</v>
      </c>
      <c r="L308" s="387">
        <v>0.19</v>
      </c>
      <c r="M308" s="405">
        <f t="shared" si="57"/>
        <v>546000</v>
      </c>
      <c r="N308" s="404">
        <v>21000</v>
      </c>
      <c r="O308" s="387">
        <v>0.19</v>
      </c>
      <c r="P308" s="401">
        <f t="shared" si="58"/>
        <v>546000</v>
      </c>
      <c r="Q308" s="406">
        <f t="shared" si="59"/>
        <v>21000</v>
      </c>
      <c r="R308" s="387">
        <v>0.19</v>
      </c>
      <c r="S308" s="407">
        <f t="shared" si="60"/>
        <v>546000</v>
      </c>
      <c r="T308" s="92">
        <v>10</v>
      </c>
      <c r="U308" s="92">
        <f t="shared" si="61"/>
        <v>36</v>
      </c>
      <c r="V308" s="132"/>
      <c r="W308" s="130"/>
      <c r="X308" s="424"/>
      <c r="Y308" s="406"/>
    </row>
    <row r="309" spans="1:25" ht="15" x14ac:dyDescent="0.3">
      <c r="A309" s="162">
        <v>5</v>
      </c>
      <c r="B309" s="327" t="s">
        <v>497</v>
      </c>
      <c r="C309" s="279">
        <v>150101679</v>
      </c>
      <c r="D309" s="173" t="s">
        <v>498</v>
      </c>
      <c r="E309" s="285">
        <v>35</v>
      </c>
      <c r="F309" s="408" t="s">
        <v>499</v>
      </c>
      <c r="G309" s="170" t="s">
        <v>206</v>
      </c>
      <c r="H309" s="170"/>
      <c r="I309" s="170"/>
      <c r="J309" s="285">
        <v>26</v>
      </c>
      <c r="K309" s="404">
        <v>8950</v>
      </c>
      <c r="L309" s="387">
        <v>0.19</v>
      </c>
      <c r="M309" s="405">
        <f t="shared" si="57"/>
        <v>232700</v>
      </c>
      <c r="N309" s="404">
        <v>8950</v>
      </c>
      <c r="O309" s="387">
        <v>0.19</v>
      </c>
      <c r="P309" s="401">
        <f t="shared" si="58"/>
        <v>232700</v>
      </c>
      <c r="Q309" s="406">
        <f t="shared" si="59"/>
        <v>8950</v>
      </c>
      <c r="R309" s="387">
        <v>0.19</v>
      </c>
      <c r="S309" s="407">
        <f t="shared" si="60"/>
        <v>232700</v>
      </c>
      <c r="T309" s="92">
        <v>10</v>
      </c>
      <c r="U309" s="92">
        <f t="shared" si="61"/>
        <v>36</v>
      </c>
      <c r="V309" s="132"/>
      <c r="W309" s="130"/>
      <c r="X309" s="424"/>
      <c r="Y309" s="406"/>
    </row>
    <row r="310" spans="1:25" ht="15" x14ac:dyDescent="0.3">
      <c r="A310" s="162">
        <v>5</v>
      </c>
      <c r="B310" s="327" t="s">
        <v>500</v>
      </c>
      <c r="C310" s="279">
        <v>150101679</v>
      </c>
      <c r="D310" s="170">
        <v>50304503</v>
      </c>
      <c r="E310" s="285">
        <v>36</v>
      </c>
      <c r="F310" s="408" t="s">
        <v>501</v>
      </c>
      <c r="G310" s="170" t="s">
        <v>206</v>
      </c>
      <c r="H310" s="170"/>
      <c r="I310" s="170"/>
      <c r="J310" s="285">
        <v>26</v>
      </c>
      <c r="K310" s="404">
        <v>10250</v>
      </c>
      <c r="L310" s="387">
        <v>0.19</v>
      </c>
      <c r="M310" s="405">
        <f t="shared" si="57"/>
        <v>266500</v>
      </c>
      <c r="N310" s="404">
        <v>10250</v>
      </c>
      <c r="O310" s="387">
        <v>0.19</v>
      </c>
      <c r="P310" s="401">
        <f t="shared" si="58"/>
        <v>266500</v>
      </c>
      <c r="Q310" s="406">
        <f t="shared" si="59"/>
        <v>10250</v>
      </c>
      <c r="R310" s="387">
        <v>0.19</v>
      </c>
      <c r="S310" s="407">
        <f t="shared" si="60"/>
        <v>266500</v>
      </c>
      <c r="T310" s="92">
        <v>10</v>
      </c>
      <c r="U310" s="92">
        <f t="shared" si="61"/>
        <v>36</v>
      </c>
      <c r="V310" s="132"/>
      <c r="W310" s="130"/>
      <c r="X310" s="424"/>
      <c r="Y310" s="406"/>
    </row>
    <row r="311" spans="1:25" ht="15" x14ac:dyDescent="0.3">
      <c r="A311" s="285">
        <v>5</v>
      </c>
      <c r="B311" s="169">
        <v>233194</v>
      </c>
      <c r="C311" s="169">
        <v>147101539</v>
      </c>
      <c r="D311" s="169">
        <v>51171623</v>
      </c>
      <c r="E311" s="162">
        <v>37</v>
      </c>
      <c r="F311" s="408" t="s">
        <v>502</v>
      </c>
      <c r="G311" s="170" t="s">
        <v>428</v>
      </c>
      <c r="H311" s="170"/>
      <c r="I311" s="170"/>
      <c r="J311" s="285">
        <v>11</v>
      </c>
      <c r="K311" s="404">
        <v>36500</v>
      </c>
      <c r="L311" s="387">
        <v>0.19</v>
      </c>
      <c r="M311" s="405">
        <f t="shared" si="57"/>
        <v>401500</v>
      </c>
      <c r="N311" s="404">
        <v>36500</v>
      </c>
      <c r="O311" s="387">
        <v>0.19</v>
      </c>
      <c r="P311" s="401">
        <f t="shared" si="58"/>
        <v>401500</v>
      </c>
      <c r="Q311" s="406">
        <f t="shared" si="59"/>
        <v>36500</v>
      </c>
      <c r="R311" s="387">
        <v>0.19</v>
      </c>
      <c r="S311" s="407">
        <f t="shared" si="60"/>
        <v>401500</v>
      </c>
      <c r="T311" s="92">
        <v>10</v>
      </c>
      <c r="U311" s="92">
        <f t="shared" si="61"/>
        <v>21</v>
      </c>
      <c r="V311" s="132"/>
      <c r="W311" s="130"/>
      <c r="X311" s="424"/>
      <c r="Y311" s="406"/>
    </row>
    <row r="312" spans="1:25" ht="15" x14ac:dyDescent="0.3">
      <c r="A312" s="285">
        <v>5</v>
      </c>
      <c r="B312" s="285">
        <v>235778</v>
      </c>
      <c r="C312" s="285">
        <v>114122228</v>
      </c>
      <c r="D312" s="285">
        <v>14111507</v>
      </c>
      <c r="E312" s="285">
        <v>38</v>
      </c>
      <c r="F312" s="408" t="s">
        <v>503</v>
      </c>
      <c r="G312" s="170" t="s">
        <v>504</v>
      </c>
      <c r="H312" s="170"/>
      <c r="I312" s="170"/>
      <c r="J312" s="285">
        <v>13</v>
      </c>
      <c r="K312" s="404">
        <v>26000</v>
      </c>
      <c r="L312" s="387">
        <v>0.19</v>
      </c>
      <c r="M312" s="405">
        <f t="shared" si="57"/>
        <v>338000</v>
      </c>
      <c r="N312" s="404">
        <v>24000</v>
      </c>
      <c r="O312" s="387">
        <v>0.19</v>
      </c>
      <c r="P312" s="401">
        <f t="shared" si="58"/>
        <v>312000</v>
      </c>
      <c r="Q312" s="406">
        <f t="shared" si="59"/>
        <v>25000</v>
      </c>
      <c r="R312" s="387">
        <v>0.19</v>
      </c>
      <c r="S312" s="407">
        <f t="shared" si="60"/>
        <v>325000</v>
      </c>
      <c r="T312" s="92">
        <v>10</v>
      </c>
      <c r="U312" s="92">
        <f t="shared" si="61"/>
        <v>23</v>
      </c>
      <c r="V312" s="132"/>
      <c r="W312" s="130"/>
      <c r="X312" s="424"/>
      <c r="Y312" s="406"/>
    </row>
    <row r="313" spans="1:25" ht="27.6" x14ac:dyDescent="0.3">
      <c r="A313" s="162">
        <v>5</v>
      </c>
      <c r="B313" s="162">
        <v>254067</v>
      </c>
      <c r="C313" s="170">
        <v>124111521</v>
      </c>
      <c r="D313" s="162">
        <v>24121807</v>
      </c>
      <c r="E313" s="285">
        <v>39</v>
      </c>
      <c r="F313" s="413" t="s">
        <v>505</v>
      </c>
      <c r="G313" s="414" t="s">
        <v>506</v>
      </c>
      <c r="H313" s="414"/>
      <c r="I313" s="414"/>
      <c r="J313" s="414">
        <v>14</v>
      </c>
      <c r="K313" s="404">
        <v>89000</v>
      </c>
      <c r="L313" s="387">
        <v>0.19</v>
      </c>
      <c r="M313" s="405">
        <f t="shared" si="57"/>
        <v>1246000</v>
      </c>
      <c r="N313" s="404">
        <v>89000</v>
      </c>
      <c r="O313" s="387">
        <v>0.19</v>
      </c>
      <c r="P313" s="401">
        <f t="shared" si="58"/>
        <v>1246000</v>
      </c>
      <c r="Q313" s="406">
        <f t="shared" si="59"/>
        <v>89000</v>
      </c>
      <c r="R313" s="387">
        <v>0.19</v>
      </c>
      <c r="S313" s="407">
        <f t="shared" si="60"/>
        <v>1246000</v>
      </c>
      <c r="T313" s="92">
        <v>10</v>
      </c>
      <c r="U313" s="92">
        <f t="shared" si="61"/>
        <v>24</v>
      </c>
      <c r="V313" s="132"/>
      <c r="W313" s="130"/>
      <c r="X313" s="424"/>
      <c r="Y313" s="406"/>
    </row>
    <row r="314" spans="1:25" ht="27.6" x14ac:dyDescent="0.3">
      <c r="A314" s="162">
        <v>5</v>
      </c>
      <c r="B314" s="162">
        <v>254066</v>
      </c>
      <c r="C314" s="170">
        <v>124111521</v>
      </c>
      <c r="D314" s="162">
        <v>24121807</v>
      </c>
      <c r="E314" s="285">
        <v>40</v>
      </c>
      <c r="F314" s="413" t="s">
        <v>507</v>
      </c>
      <c r="G314" s="414" t="s">
        <v>506</v>
      </c>
      <c r="H314" s="414"/>
      <c r="I314" s="414"/>
      <c r="J314" s="414">
        <v>14</v>
      </c>
      <c r="K314" s="404">
        <v>86500</v>
      </c>
      <c r="L314" s="387">
        <v>0.19</v>
      </c>
      <c r="M314" s="405">
        <f t="shared" si="57"/>
        <v>1211000</v>
      </c>
      <c r="N314" s="404">
        <v>86500</v>
      </c>
      <c r="O314" s="387">
        <v>0.19</v>
      </c>
      <c r="P314" s="401">
        <f t="shared" si="58"/>
        <v>1211000</v>
      </c>
      <c r="Q314" s="406">
        <f t="shared" si="59"/>
        <v>86500</v>
      </c>
      <c r="R314" s="387">
        <v>0.19</v>
      </c>
      <c r="S314" s="407">
        <f t="shared" si="60"/>
        <v>1211000</v>
      </c>
      <c r="T314" s="92">
        <v>10</v>
      </c>
      <c r="U314" s="92">
        <f t="shared" si="61"/>
        <v>24</v>
      </c>
      <c r="V314" s="132"/>
      <c r="W314" s="130"/>
      <c r="X314" s="424"/>
      <c r="Y314" s="406"/>
    </row>
    <row r="315" spans="1:25" ht="27.6" x14ac:dyDescent="0.3">
      <c r="A315" s="162">
        <v>5</v>
      </c>
      <c r="B315" s="162">
        <v>250923</v>
      </c>
      <c r="C315" s="170">
        <v>124111521</v>
      </c>
      <c r="D315" s="162">
        <v>24121807</v>
      </c>
      <c r="E315" s="162">
        <v>41</v>
      </c>
      <c r="F315" s="413" t="s">
        <v>508</v>
      </c>
      <c r="G315" s="414" t="s">
        <v>506</v>
      </c>
      <c r="H315" s="414"/>
      <c r="I315" s="414"/>
      <c r="J315" s="414">
        <v>14</v>
      </c>
      <c r="K315" s="404">
        <v>95850</v>
      </c>
      <c r="L315" s="387">
        <v>0.19</v>
      </c>
      <c r="M315" s="405">
        <f t="shared" si="57"/>
        <v>1341900</v>
      </c>
      <c r="N315" s="404">
        <v>95850</v>
      </c>
      <c r="O315" s="387">
        <v>0.19</v>
      </c>
      <c r="P315" s="401">
        <f t="shared" si="58"/>
        <v>1341900</v>
      </c>
      <c r="Q315" s="406">
        <f t="shared" si="59"/>
        <v>95850</v>
      </c>
      <c r="R315" s="387">
        <v>0.19</v>
      </c>
      <c r="S315" s="407">
        <f t="shared" si="60"/>
        <v>1341900</v>
      </c>
      <c r="T315" s="92">
        <v>10</v>
      </c>
      <c r="U315" s="92">
        <f t="shared" si="61"/>
        <v>24</v>
      </c>
      <c r="V315" s="132"/>
      <c r="W315" s="130"/>
      <c r="X315" s="424"/>
      <c r="Y315" s="406"/>
    </row>
    <row r="316" spans="1:25" ht="27.6" x14ac:dyDescent="0.3">
      <c r="A316" s="162">
        <v>5</v>
      </c>
      <c r="B316" s="162">
        <v>246175</v>
      </c>
      <c r="C316" s="170">
        <v>124111521</v>
      </c>
      <c r="D316" s="162">
        <v>24121807</v>
      </c>
      <c r="E316" s="285">
        <v>42</v>
      </c>
      <c r="F316" s="413" t="s">
        <v>509</v>
      </c>
      <c r="G316" s="414" t="s">
        <v>506</v>
      </c>
      <c r="H316" s="414"/>
      <c r="I316" s="414"/>
      <c r="J316" s="414">
        <v>14</v>
      </c>
      <c r="K316" s="404">
        <v>101050</v>
      </c>
      <c r="L316" s="387">
        <v>0.19</v>
      </c>
      <c r="M316" s="405">
        <f t="shared" si="57"/>
        <v>1414700</v>
      </c>
      <c r="N316" s="404">
        <v>101050</v>
      </c>
      <c r="O316" s="387">
        <v>0.19</v>
      </c>
      <c r="P316" s="401">
        <f t="shared" si="58"/>
        <v>1414700</v>
      </c>
      <c r="Q316" s="406">
        <f t="shared" si="59"/>
        <v>101050</v>
      </c>
      <c r="R316" s="387">
        <v>0.19</v>
      </c>
      <c r="S316" s="407">
        <f t="shared" si="60"/>
        <v>1414700</v>
      </c>
      <c r="T316" s="92">
        <v>10</v>
      </c>
      <c r="U316" s="92">
        <f t="shared" si="61"/>
        <v>24</v>
      </c>
      <c r="V316" s="132"/>
      <c r="W316" s="130"/>
      <c r="X316" s="424"/>
      <c r="Y316" s="406"/>
    </row>
    <row r="317" spans="1:25" ht="27.6" x14ac:dyDescent="0.3">
      <c r="A317" s="162">
        <v>5</v>
      </c>
      <c r="B317" s="327" t="s">
        <v>510</v>
      </c>
      <c r="C317" s="327" t="s">
        <v>511</v>
      </c>
      <c r="D317" s="285">
        <v>31181701</v>
      </c>
      <c r="E317" s="285">
        <v>43</v>
      </c>
      <c r="F317" s="413" t="s">
        <v>512</v>
      </c>
      <c r="G317" s="414" t="s">
        <v>71</v>
      </c>
      <c r="H317" s="414"/>
      <c r="I317" s="414"/>
      <c r="J317" s="414">
        <v>160</v>
      </c>
      <c r="K317" s="404">
        <v>1350</v>
      </c>
      <c r="L317" s="387">
        <v>0.19</v>
      </c>
      <c r="M317" s="405">
        <f t="shared" si="57"/>
        <v>216000</v>
      </c>
      <c r="N317" s="404">
        <v>1350</v>
      </c>
      <c r="O317" s="387">
        <v>0.19</v>
      </c>
      <c r="P317" s="401">
        <f t="shared" si="58"/>
        <v>216000</v>
      </c>
      <c r="Q317" s="406">
        <f t="shared" si="59"/>
        <v>1350</v>
      </c>
      <c r="R317" s="387">
        <v>0.19</v>
      </c>
      <c r="S317" s="407">
        <f t="shared" si="60"/>
        <v>216000</v>
      </c>
      <c r="T317" s="92">
        <v>10</v>
      </c>
      <c r="U317" s="92">
        <f t="shared" si="61"/>
        <v>170</v>
      </c>
      <c r="V317" s="132"/>
      <c r="W317" s="130"/>
      <c r="X317" s="424"/>
      <c r="Y317" s="406"/>
    </row>
    <row r="318" spans="1:25" ht="15" x14ac:dyDescent="0.3">
      <c r="A318" s="162">
        <v>5</v>
      </c>
      <c r="B318" s="170">
        <v>237166</v>
      </c>
      <c r="C318" s="173" t="s">
        <v>426</v>
      </c>
      <c r="D318" s="162">
        <v>12352207</v>
      </c>
      <c r="E318" s="285">
        <v>44</v>
      </c>
      <c r="F318" s="219" t="s">
        <v>513</v>
      </c>
      <c r="G318" s="414" t="s">
        <v>463</v>
      </c>
      <c r="H318" s="414"/>
      <c r="I318" s="414"/>
      <c r="J318" s="414">
        <v>13</v>
      </c>
      <c r="K318" s="404">
        <v>98500</v>
      </c>
      <c r="L318" s="387">
        <v>0.19</v>
      </c>
      <c r="M318" s="405">
        <f t="shared" si="57"/>
        <v>1280500</v>
      </c>
      <c r="N318" s="404">
        <v>96500</v>
      </c>
      <c r="O318" s="387">
        <v>0.19</v>
      </c>
      <c r="P318" s="401">
        <f t="shared" si="58"/>
        <v>1254500</v>
      </c>
      <c r="Q318" s="406">
        <f t="shared" si="59"/>
        <v>97500</v>
      </c>
      <c r="R318" s="387">
        <v>0.19</v>
      </c>
      <c r="S318" s="407">
        <f t="shared" si="60"/>
        <v>1267500</v>
      </c>
      <c r="T318" s="92">
        <v>10</v>
      </c>
      <c r="U318" s="92">
        <f t="shared" si="61"/>
        <v>23</v>
      </c>
      <c r="V318" s="132"/>
      <c r="W318" s="130"/>
      <c r="X318" s="424"/>
      <c r="Y318" s="406"/>
    </row>
    <row r="319" spans="1:25" ht="15" x14ac:dyDescent="0.3">
      <c r="A319" s="162">
        <v>5</v>
      </c>
      <c r="B319" s="170">
        <v>237166</v>
      </c>
      <c r="C319" s="173" t="s">
        <v>514</v>
      </c>
      <c r="D319" s="162">
        <v>12352207</v>
      </c>
      <c r="E319" s="162">
        <v>45</v>
      </c>
      <c r="F319" s="415" t="s">
        <v>515</v>
      </c>
      <c r="G319" s="414" t="s">
        <v>463</v>
      </c>
      <c r="H319" s="414"/>
      <c r="I319" s="414"/>
      <c r="J319" s="414">
        <v>13</v>
      </c>
      <c r="K319" s="404">
        <v>98500</v>
      </c>
      <c r="L319" s="387">
        <v>0.19</v>
      </c>
      <c r="M319" s="405">
        <f t="shared" si="57"/>
        <v>1280500</v>
      </c>
      <c r="N319" s="404">
        <v>96500</v>
      </c>
      <c r="O319" s="387">
        <v>0.19</v>
      </c>
      <c r="P319" s="401">
        <f t="shared" si="58"/>
        <v>1254500</v>
      </c>
      <c r="Q319" s="406">
        <f t="shared" si="59"/>
        <v>97500</v>
      </c>
      <c r="R319" s="387">
        <v>0.19</v>
      </c>
      <c r="S319" s="407">
        <f t="shared" si="60"/>
        <v>1267500</v>
      </c>
      <c r="T319" s="92">
        <v>10</v>
      </c>
      <c r="U319" s="92">
        <f t="shared" si="61"/>
        <v>23</v>
      </c>
      <c r="V319" s="132"/>
      <c r="W319" s="130"/>
      <c r="X319" s="424"/>
      <c r="Y319" s="406"/>
    </row>
    <row r="320" spans="1:25" ht="15" x14ac:dyDescent="0.3">
      <c r="A320" s="162">
        <v>5</v>
      </c>
      <c r="B320" s="170">
        <v>237166</v>
      </c>
      <c r="C320" s="173" t="s">
        <v>516</v>
      </c>
      <c r="D320" s="162">
        <v>12352207</v>
      </c>
      <c r="E320" s="285">
        <v>46</v>
      </c>
      <c r="F320" s="415" t="s">
        <v>517</v>
      </c>
      <c r="G320" s="414" t="s">
        <v>463</v>
      </c>
      <c r="H320" s="414"/>
      <c r="I320" s="414"/>
      <c r="J320" s="414">
        <v>13</v>
      </c>
      <c r="K320" s="404">
        <v>98500</v>
      </c>
      <c r="L320" s="387">
        <v>0.19</v>
      </c>
      <c r="M320" s="405">
        <f t="shared" si="57"/>
        <v>1280500</v>
      </c>
      <c r="N320" s="404">
        <v>96500</v>
      </c>
      <c r="O320" s="387">
        <v>0.19</v>
      </c>
      <c r="P320" s="401">
        <f t="shared" si="58"/>
        <v>1254500</v>
      </c>
      <c r="Q320" s="406">
        <f t="shared" si="59"/>
        <v>97500</v>
      </c>
      <c r="R320" s="387">
        <v>0.19</v>
      </c>
      <c r="S320" s="407">
        <f t="shared" si="60"/>
        <v>1267500</v>
      </c>
      <c r="T320" s="92">
        <v>10</v>
      </c>
      <c r="U320" s="92">
        <f t="shared" si="61"/>
        <v>23</v>
      </c>
      <c r="V320" s="132"/>
      <c r="W320" s="130"/>
      <c r="X320" s="424"/>
      <c r="Y320" s="406"/>
    </row>
    <row r="321" spans="1:25" ht="15" x14ac:dyDescent="0.3">
      <c r="A321" s="162">
        <v>5</v>
      </c>
      <c r="B321" s="170">
        <v>237166</v>
      </c>
      <c r="C321" s="173" t="s">
        <v>518</v>
      </c>
      <c r="D321" s="162">
        <v>12352207</v>
      </c>
      <c r="E321" s="285">
        <v>47</v>
      </c>
      <c r="F321" s="415" t="s">
        <v>519</v>
      </c>
      <c r="G321" s="414" t="s">
        <v>463</v>
      </c>
      <c r="H321" s="414"/>
      <c r="I321" s="414"/>
      <c r="J321" s="414">
        <v>13</v>
      </c>
      <c r="K321" s="404">
        <v>98500</v>
      </c>
      <c r="L321" s="387">
        <v>0.19</v>
      </c>
      <c r="M321" s="405">
        <f t="shared" si="57"/>
        <v>1280500</v>
      </c>
      <c r="N321" s="404">
        <v>96500</v>
      </c>
      <c r="O321" s="387">
        <v>0.19</v>
      </c>
      <c r="P321" s="401">
        <f t="shared" si="58"/>
        <v>1254500</v>
      </c>
      <c r="Q321" s="406">
        <f t="shared" si="59"/>
        <v>97500</v>
      </c>
      <c r="R321" s="387">
        <v>0.19</v>
      </c>
      <c r="S321" s="407">
        <f t="shared" si="60"/>
        <v>1267500</v>
      </c>
      <c r="T321" s="92">
        <v>10</v>
      </c>
      <c r="U321" s="92">
        <f t="shared" si="61"/>
        <v>23</v>
      </c>
      <c r="V321" s="132"/>
      <c r="W321" s="130"/>
      <c r="X321" s="424"/>
      <c r="Y321" s="406"/>
    </row>
    <row r="322" spans="1:25" ht="15" x14ac:dyDescent="0.3">
      <c r="A322" s="162">
        <v>5</v>
      </c>
      <c r="B322" s="170">
        <v>237166</v>
      </c>
      <c r="C322" s="173" t="s">
        <v>520</v>
      </c>
      <c r="D322" s="162">
        <v>12352207</v>
      </c>
      <c r="E322" s="285">
        <v>48</v>
      </c>
      <c r="F322" s="415" t="s">
        <v>521</v>
      </c>
      <c r="G322" s="414" t="s">
        <v>463</v>
      </c>
      <c r="H322" s="414"/>
      <c r="I322" s="414"/>
      <c r="J322" s="414">
        <v>13</v>
      </c>
      <c r="K322" s="404">
        <v>110000</v>
      </c>
      <c r="L322" s="387">
        <v>0.19</v>
      </c>
      <c r="M322" s="405">
        <f t="shared" si="57"/>
        <v>1430000</v>
      </c>
      <c r="N322" s="404">
        <v>102500</v>
      </c>
      <c r="O322" s="387">
        <v>0.19</v>
      </c>
      <c r="P322" s="401">
        <f t="shared" si="58"/>
        <v>1332500</v>
      </c>
      <c r="Q322" s="406">
        <f t="shared" si="59"/>
        <v>106250</v>
      </c>
      <c r="R322" s="387">
        <v>0.19</v>
      </c>
      <c r="S322" s="407">
        <f t="shared" si="60"/>
        <v>1381250</v>
      </c>
      <c r="T322" s="92">
        <v>10</v>
      </c>
      <c r="U322" s="92">
        <f t="shared" si="61"/>
        <v>23</v>
      </c>
      <c r="V322" s="132"/>
      <c r="W322" s="130"/>
      <c r="X322" s="424"/>
      <c r="Y322" s="406"/>
    </row>
    <row r="323" spans="1:25" ht="15" x14ac:dyDescent="0.3">
      <c r="A323" s="162">
        <v>5</v>
      </c>
      <c r="B323" s="162" t="s">
        <v>522</v>
      </c>
      <c r="C323" s="162" t="s">
        <v>426</v>
      </c>
      <c r="D323" s="162">
        <v>12161805</v>
      </c>
      <c r="E323" s="162">
        <v>49</v>
      </c>
      <c r="F323" s="223" t="s">
        <v>523</v>
      </c>
      <c r="G323" s="293" t="s">
        <v>206</v>
      </c>
      <c r="H323" s="293"/>
      <c r="I323" s="293"/>
      <c r="J323" s="409">
        <v>11</v>
      </c>
      <c r="K323" s="404">
        <v>168500</v>
      </c>
      <c r="L323" s="387">
        <v>0.19</v>
      </c>
      <c r="M323" s="405">
        <f t="shared" si="57"/>
        <v>1853500</v>
      </c>
      <c r="N323" s="404">
        <v>168500</v>
      </c>
      <c r="O323" s="387">
        <v>0.19</v>
      </c>
      <c r="P323" s="401">
        <f t="shared" si="58"/>
        <v>1853500</v>
      </c>
      <c r="Q323" s="406">
        <f t="shared" si="59"/>
        <v>168500</v>
      </c>
      <c r="R323" s="387">
        <v>0.19</v>
      </c>
      <c r="S323" s="407">
        <f t="shared" si="60"/>
        <v>1853500</v>
      </c>
      <c r="T323" s="92">
        <v>10</v>
      </c>
      <c r="U323" s="92">
        <f t="shared" si="61"/>
        <v>21</v>
      </c>
      <c r="V323" s="132"/>
      <c r="W323" s="130"/>
      <c r="X323" s="424"/>
      <c r="Y323" s="406"/>
    </row>
    <row r="324" spans="1:25" ht="15" x14ac:dyDescent="0.3">
      <c r="A324" s="162">
        <v>5</v>
      </c>
      <c r="B324" s="162" t="s">
        <v>522</v>
      </c>
      <c r="C324" s="162" t="s">
        <v>426</v>
      </c>
      <c r="D324" s="162">
        <v>12161805</v>
      </c>
      <c r="E324" s="285">
        <v>50</v>
      </c>
      <c r="F324" s="223" t="s">
        <v>524</v>
      </c>
      <c r="G324" s="293" t="s">
        <v>206</v>
      </c>
      <c r="H324" s="293"/>
      <c r="I324" s="293"/>
      <c r="J324" s="409">
        <v>11</v>
      </c>
      <c r="K324" s="404">
        <v>198500</v>
      </c>
      <c r="L324" s="387">
        <v>0.19</v>
      </c>
      <c r="M324" s="405">
        <f t="shared" si="57"/>
        <v>2183500</v>
      </c>
      <c r="N324" s="404">
        <v>198500</v>
      </c>
      <c r="O324" s="387">
        <v>0.19</v>
      </c>
      <c r="P324" s="401">
        <f t="shared" si="58"/>
        <v>2183500</v>
      </c>
      <c r="Q324" s="406">
        <f t="shared" si="59"/>
        <v>198500</v>
      </c>
      <c r="R324" s="387">
        <v>0.19</v>
      </c>
      <c r="S324" s="407">
        <f t="shared" si="60"/>
        <v>2183500</v>
      </c>
      <c r="T324" s="92">
        <v>10</v>
      </c>
      <c r="U324" s="92">
        <f t="shared" si="61"/>
        <v>21</v>
      </c>
      <c r="W324" s="130"/>
      <c r="Y324" s="469"/>
    </row>
    <row r="325" spans="1:25" ht="15" x14ac:dyDescent="0.3">
      <c r="A325" s="162">
        <v>5</v>
      </c>
      <c r="B325" s="327" t="s">
        <v>525</v>
      </c>
      <c r="C325" s="327" t="s">
        <v>426</v>
      </c>
      <c r="D325" s="327" t="s">
        <v>526</v>
      </c>
      <c r="E325" s="285">
        <v>51</v>
      </c>
      <c r="F325" s="223" t="s">
        <v>527</v>
      </c>
      <c r="G325" s="293" t="s">
        <v>206</v>
      </c>
      <c r="H325" s="293"/>
      <c r="I325" s="293"/>
      <c r="J325" s="409">
        <v>11</v>
      </c>
      <c r="K325" s="404">
        <v>110500</v>
      </c>
      <c r="L325" s="387">
        <v>0.19</v>
      </c>
      <c r="M325" s="405">
        <f t="shared" si="57"/>
        <v>1215500</v>
      </c>
      <c r="N325" s="404">
        <v>98500</v>
      </c>
      <c r="O325" s="387">
        <v>0.19</v>
      </c>
      <c r="P325" s="401">
        <f t="shared" si="58"/>
        <v>1083500</v>
      </c>
      <c r="Q325" s="406">
        <f t="shared" si="59"/>
        <v>104500</v>
      </c>
      <c r="R325" s="387">
        <v>0.19</v>
      </c>
      <c r="S325" s="407">
        <f t="shared" si="60"/>
        <v>1149500</v>
      </c>
      <c r="T325" s="92">
        <v>10</v>
      </c>
      <c r="U325" s="92">
        <f t="shared" si="61"/>
        <v>21</v>
      </c>
    </row>
    <row r="326" spans="1:25" ht="15" x14ac:dyDescent="0.3">
      <c r="A326" s="162">
        <v>5</v>
      </c>
      <c r="B326" s="327" t="s">
        <v>528</v>
      </c>
      <c r="C326" s="327" t="s">
        <v>529</v>
      </c>
      <c r="D326" s="327" t="s">
        <v>530</v>
      </c>
      <c r="E326" s="285">
        <v>52</v>
      </c>
      <c r="F326" s="413" t="s">
        <v>531</v>
      </c>
      <c r="G326" s="414" t="s">
        <v>532</v>
      </c>
      <c r="H326" s="414"/>
      <c r="I326" s="414"/>
      <c r="J326" s="414">
        <v>14</v>
      </c>
      <c r="K326" s="404">
        <v>98450</v>
      </c>
      <c r="L326" s="387">
        <v>0.19</v>
      </c>
      <c r="M326" s="405">
        <f t="shared" si="57"/>
        <v>1378300</v>
      </c>
      <c r="N326" s="404">
        <v>91750</v>
      </c>
      <c r="O326" s="387">
        <v>0.19</v>
      </c>
      <c r="P326" s="401">
        <f t="shared" si="58"/>
        <v>1284500</v>
      </c>
      <c r="Q326" s="406">
        <f t="shared" si="59"/>
        <v>95100</v>
      </c>
      <c r="R326" s="387">
        <v>0.19</v>
      </c>
      <c r="S326" s="407">
        <f t="shared" si="60"/>
        <v>1331400</v>
      </c>
      <c r="T326" s="92">
        <v>10</v>
      </c>
      <c r="U326" s="92">
        <f t="shared" si="61"/>
        <v>24</v>
      </c>
    </row>
    <row r="327" spans="1:25" ht="27.6" x14ac:dyDescent="0.3">
      <c r="A327" s="162">
        <v>5</v>
      </c>
      <c r="B327" s="327" t="s">
        <v>533</v>
      </c>
      <c r="C327" s="327" t="s">
        <v>534</v>
      </c>
      <c r="D327" s="327" t="s">
        <v>535</v>
      </c>
      <c r="E327" s="162">
        <v>53</v>
      </c>
      <c r="F327" s="413" t="s">
        <v>536</v>
      </c>
      <c r="G327" s="414" t="s">
        <v>71</v>
      </c>
      <c r="H327" s="414"/>
      <c r="I327" s="414"/>
      <c r="J327" s="414">
        <v>12</v>
      </c>
      <c r="K327" s="404">
        <v>85645</v>
      </c>
      <c r="L327" s="387">
        <v>0.19</v>
      </c>
      <c r="M327" s="405">
        <f t="shared" si="57"/>
        <v>1027740</v>
      </c>
      <c r="N327" s="404">
        <v>83590</v>
      </c>
      <c r="O327" s="387">
        <v>0.19</v>
      </c>
      <c r="P327" s="401">
        <f t="shared" si="58"/>
        <v>1003080</v>
      </c>
      <c r="Q327" s="406">
        <f t="shared" si="59"/>
        <v>84617.5</v>
      </c>
      <c r="R327" s="387">
        <v>0.19</v>
      </c>
      <c r="S327" s="407">
        <f t="shared" si="60"/>
        <v>1015410</v>
      </c>
      <c r="T327" s="92">
        <v>10</v>
      </c>
      <c r="U327" s="92">
        <f t="shared" si="61"/>
        <v>22</v>
      </c>
    </row>
    <row r="328" spans="1:25" ht="15" x14ac:dyDescent="0.3">
      <c r="A328" s="162">
        <v>5</v>
      </c>
      <c r="B328" s="327" t="s">
        <v>537</v>
      </c>
      <c r="C328" s="327" t="s">
        <v>538</v>
      </c>
      <c r="D328" s="327" t="s">
        <v>539</v>
      </c>
      <c r="E328" s="285">
        <v>54</v>
      </c>
      <c r="F328" s="415" t="s">
        <v>540</v>
      </c>
      <c r="G328" s="414" t="s">
        <v>71</v>
      </c>
      <c r="H328" s="414"/>
      <c r="I328" s="414"/>
      <c r="J328" s="414">
        <v>13</v>
      </c>
      <c r="K328" s="404">
        <v>112000</v>
      </c>
      <c r="L328" s="387">
        <v>0.19</v>
      </c>
      <c r="M328" s="405">
        <f t="shared" si="57"/>
        <v>1456000</v>
      </c>
      <c r="N328" s="404">
        <v>108540</v>
      </c>
      <c r="O328" s="387">
        <v>0.19</v>
      </c>
      <c r="P328" s="401">
        <f t="shared" si="58"/>
        <v>1411020</v>
      </c>
      <c r="Q328" s="406">
        <f t="shared" si="59"/>
        <v>110270</v>
      </c>
      <c r="R328" s="387">
        <v>0.19</v>
      </c>
      <c r="S328" s="407">
        <f t="shared" si="60"/>
        <v>1433510</v>
      </c>
      <c r="T328" s="92">
        <v>10</v>
      </c>
      <c r="U328" s="92">
        <f t="shared" si="61"/>
        <v>23</v>
      </c>
    </row>
    <row r="329" spans="1:25" ht="15" x14ac:dyDescent="0.3">
      <c r="A329" s="162">
        <v>5</v>
      </c>
      <c r="B329" s="162" t="s">
        <v>541</v>
      </c>
      <c r="C329" s="162" t="s">
        <v>448</v>
      </c>
      <c r="D329" s="162">
        <v>50151513</v>
      </c>
      <c r="E329" s="285">
        <v>55</v>
      </c>
      <c r="F329" s="219" t="s">
        <v>542</v>
      </c>
      <c r="G329" s="162" t="s">
        <v>543</v>
      </c>
      <c r="H329" s="162"/>
      <c r="I329" s="162"/>
      <c r="J329" s="162">
        <v>11</v>
      </c>
      <c r="K329" s="404">
        <v>55930</v>
      </c>
      <c r="L329" s="387">
        <v>0.19</v>
      </c>
      <c r="M329" s="405">
        <f t="shared" si="57"/>
        <v>615230</v>
      </c>
      <c r="N329" s="404">
        <v>55930</v>
      </c>
      <c r="O329" s="387">
        <v>0.19</v>
      </c>
      <c r="P329" s="401">
        <f t="shared" si="58"/>
        <v>615230</v>
      </c>
      <c r="Q329" s="406">
        <f t="shared" si="59"/>
        <v>55930</v>
      </c>
      <c r="R329" s="387">
        <v>0.19</v>
      </c>
      <c r="S329" s="407">
        <f t="shared" si="60"/>
        <v>615230</v>
      </c>
      <c r="T329" s="92">
        <v>10</v>
      </c>
      <c r="U329" s="92">
        <f t="shared" si="61"/>
        <v>21</v>
      </c>
    </row>
    <row r="330" spans="1:25" ht="15" x14ac:dyDescent="0.3">
      <c r="A330" s="162">
        <v>5</v>
      </c>
      <c r="B330" s="162" t="s">
        <v>544</v>
      </c>
      <c r="C330" s="162" t="s">
        <v>448</v>
      </c>
      <c r="D330" s="162" t="s">
        <v>545</v>
      </c>
      <c r="E330" s="285">
        <v>56</v>
      </c>
      <c r="F330" s="219" t="s">
        <v>546</v>
      </c>
      <c r="G330" s="162" t="s">
        <v>547</v>
      </c>
      <c r="H330" s="162"/>
      <c r="I330" s="162"/>
      <c r="J330" s="162">
        <v>12</v>
      </c>
      <c r="K330" s="404">
        <v>21777</v>
      </c>
      <c r="L330" s="387">
        <v>0.19</v>
      </c>
      <c r="M330" s="405">
        <f t="shared" si="57"/>
        <v>261324</v>
      </c>
      <c r="N330" s="404">
        <v>21777</v>
      </c>
      <c r="O330" s="387">
        <v>0.19</v>
      </c>
      <c r="P330" s="401">
        <f t="shared" si="58"/>
        <v>261324</v>
      </c>
      <c r="Q330" s="406">
        <f t="shared" si="59"/>
        <v>21777</v>
      </c>
      <c r="R330" s="387">
        <v>0.19</v>
      </c>
      <c r="S330" s="407">
        <f t="shared" si="60"/>
        <v>261324</v>
      </c>
      <c r="T330" s="92">
        <v>10</v>
      </c>
      <c r="U330" s="92">
        <f t="shared" si="61"/>
        <v>22</v>
      </c>
    </row>
    <row r="331" spans="1:25" ht="15" x14ac:dyDescent="0.3">
      <c r="A331" s="162">
        <v>5</v>
      </c>
      <c r="B331" s="162" t="s">
        <v>548</v>
      </c>
      <c r="C331" s="162" t="s">
        <v>448</v>
      </c>
      <c r="D331" s="162">
        <v>50171901</v>
      </c>
      <c r="E331" s="162">
        <v>57</v>
      </c>
      <c r="F331" s="219" t="s">
        <v>549</v>
      </c>
      <c r="G331" s="162" t="s">
        <v>547</v>
      </c>
      <c r="H331" s="162"/>
      <c r="I331" s="162"/>
      <c r="J331" s="162">
        <v>12</v>
      </c>
      <c r="K331" s="404">
        <v>16660</v>
      </c>
      <c r="L331" s="387">
        <v>0.19</v>
      </c>
      <c r="M331" s="405">
        <f t="shared" si="57"/>
        <v>199920</v>
      </c>
      <c r="N331" s="404">
        <v>16660</v>
      </c>
      <c r="O331" s="387">
        <v>0.19</v>
      </c>
      <c r="P331" s="401">
        <f t="shared" si="58"/>
        <v>199920</v>
      </c>
      <c r="Q331" s="406">
        <f t="shared" si="59"/>
        <v>16660</v>
      </c>
      <c r="R331" s="387">
        <v>0.19</v>
      </c>
      <c r="S331" s="407">
        <f t="shared" si="60"/>
        <v>199920</v>
      </c>
      <c r="T331" s="92">
        <v>10</v>
      </c>
      <c r="U331" s="92">
        <f t="shared" si="61"/>
        <v>22</v>
      </c>
    </row>
    <row r="332" spans="1:25" ht="15" x14ac:dyDescent="0.3">
      <c r="A332" s="162">
        <v>5</v>
      </c>
      <c r="B332" s="162" t="s">
        <v>550</v>
      </c>
      <c r="C332" s="162" t="s">
        <v>448</v>
      </c>
      <c r="D332" s="162" t="s">
        <v>551</v>
      </c>
      <c r="E332" s="285">
        <v>58</v>
      </c>
      <c r="F332" s="219" t="s">
        <v>552</v>
      </c>
      <c r="G332" s="162" t="s">
        <v>553</v>
      </c>
      <c r="H332" s="162"/>
      <c r="I332" s="162"/>
      <c r="J332" s="162">
        <v>12</v>
      </c>
      <c r="K332" s="404">
        <v>45101</v>
      </c>
      <c r="L332" s="387">
        <v>0.19</v>
      </c>
      <c r="M332" s="405">
        <f t="shared" si="57"/>
        <v>541212</v>
      </c>
      <c r="N332" s="404">
        <v>45101</v>
      </c>
      <c r="O332" s="387">
        <v>0.19</v>
      </c>
      <c r="P332" s="401">
        <f t="shared" si="58"/>
        <v>541212</v>
      </c>
      <c r="Q332" s="406">
        <f t="shared" si="59"/>
        <v>45101</v>
      </c>
      <c r="R332" s="387">
        <v>0.19</v>
      </c>
      <c r="S332" s="407">
        <f t="shared" si="60"/>
        <v>541212</v>
      </c>
      <c r="T332" s="92">
        <v>10</v>
      </c>
      <c r="U332" s="92">
        <f t="shared" si="61"/>
        <v>22</v>
      </c>
    </row>
    <row r="333" spans="1:25" ht="15" x14ac:dyDescent="0.3">
      <c r="A333" s="162">
        <v>5</v>
      </c>
      <c r="B333" s="327" t="s">
        <v>554</v>
      </c>
      <c r="C333" s="327" t="s">
        <v>448</v>
      </c>
      <c r="D333" s="327">
        <v>10152003</v>
      </c>
      <c r="E333" s="285">
        <v>59</v>
      </c>
      <c r="F333" s="408" t="s">
        <v>555</v>
      </c>
      <c r="G333" s="170" t="s">
        <v>261</v>
      </c>
      <c r="H333" s="170"/>
      <c r="I333" s="170"/>
      <c r="J333" s="162">
        <v>12</v>
      </c>
      <c r="K333" s="404">
        <v>47600</v>
      </c>
      <c r="L333" s="387">
        <v>0.19</v>
      </c>
      <c r="M333" s="405">
        <f t="shared" si="57"/>
        <v>571200</v>
      </c>
      <c r="N333" s="404">
        <v>47600</v>
      </c>
      <c r="O333" s="387">
        <v>0.19</v>
      </c>
      <c r="P333" s="401">
        <f t="shared" si="58"/>
        <v>571200</v>
      </c>
      <c r="Q333" s="406">
        <f t="shared" si="59"/>
        <v>47600</v>
      </c>
      <c r="R333" s="387">
        <v>0.19</v>
      </c>
      <c r="S333" s="407">
        <f t="shared" si="60"/>
        <v>571200</v>
      </c>
      <c r="T333" s="92">
        <v>10</v>
      </c>
      <c r="U333" s="92">
        <f t="shared" si="61"/>
        <v>22</v>
      </c>
    </row>
    <row r="334" spans="1:25" ht="15" x14ac:dyDescent="0.3">
      <c r="A334" s="162">
        <v>5</v>
      </c>
      <c r="B334" s="327" t="s">
        <v>556</v>
      </c>
      <c r="C334" s="327" t="s">
        <v>448</v>
      </c>
      <c r="D334" s="327">
        <v>50221303</v>
      </c>
      <c r="E334" s="285">
        <v>60</v>
      </c>
      <c r="F334" s="408" t="s">
        <v>557</v>
      </c>
      <c r="G334" s="170" t="s">
        <v>261</v>
      </c>
      <c r="H334" s="170"/>
      <c r="I334" s="170"/>
      <c r="J334" s="162">
        <v>12</v>
      </c>
      <c r="K334" s="404">
        <v>19397</v>
      </c>
      <c r="L334" s="387">
        <v>0.19</v>
      </c>
      <c r="M334" s="405">
        <f t="shared" si="57"/>
        <v>232764</v>
      </c>
      <c r="N334" s="404">
        <v>19397</v>
      </c>
      <c r="O334" s="387">
        <v>0.19</v>
      </c>
      <c r="P334" s="401">
        <f t="shared" si="58"/>
        <v>232764</v>
      </c>
      <c r="Q334" s="406">
        <f t="shared" si="59"/>
        <v>19397</v>
      </c>
      <c r="R334" s="387">
        <v>0.19</v>
      </c>
      <c r="S334" s="407">
        <f t="shared" si="60"/>
        <v>232764</v>
      </c>
      <c r="T334" s="92">
        <v>10</v>
      </c>
      <c r="U334" s="92">
        <f t="shared" si="61"/>
        <v>22</v>
      </c>
    </row>
    <row r="335" spans="1:25" ht="15" x14ac:dyDescent="0.3">
      <c r="A335" s="162">
        <v>5</v>
      </c>
      <c r="B335" s="162" t="s">
        <v>558</v>
      </c>
      <c r="C335" s="162" t="s">
        <v>448</v>
      </c>
      <c r="D335" s="162">
        <v>10151817</v>
      </c>
      <c r="E335" s="162">
        <v>61</v>
      </c>
      <c r="F335" s="219" t="s">
        <v>559</v>
      </c>
      <c r="G335" s="162" t="s">
        <v>560</v>
      </c>
      <c r="H335" s="162"/>
      <c r="I335" s="162"/>
      <c r="J335" s="162">
        <v>11</v>
      </c>
      <c r="K335" s="404">
        <v>29750</v>
      </c>
      <c r="L335" s="387">
        <v>0.19</v>
      </c>
      <c r="M335" s="405">
        <f t="shared" si="57"/>
        <v>327250</v>
      </c>
      <c r="N335" s="404">
        <v>29750</v>
      </c>
      <c r="O335" s="387">
        <v>0.19</v>
      </c>
      <c r="P335" s="401">
        <f t="shared" si="58"/>
        <v>327250</v>
      </c>
      <c r="Q335" s="406">
        <f t="shared" si="59"/>
        <v>29750</v>
      </c>
      <c r="R335" s="387">
        <v>0.19</v>
      </c>
      <c r="S335" s="407">
        <f t="shared" si="60"/>
        <v>327250</v>
      </c>
      <c r="T335" s="92">
        <v>10</v>
      </c>
      <c r="U335" s="92">
        <f t="shared" si="61"/>
        <v>21</v>
      </c>
    </row>
    <row r="336" spans="1:25" ht="15" x14ac:dyDescent="0.3">
      <c r="A336" s="162">
        <v>5</v>
      </c>
      <c r="B336" s="327" t="s">
        <v>561</v>
      </c>
      <c r="C336" s="327" t="s">
        <v>448</v>
      </c>
      <c r="D336" s="327">
        <v>50131702</v>
      </c>
      <c r="E336" s="285">
        <v>62</v>
      </c>
      <c r="F336" s="408" t="s">
        <v>562</v>
      </c>
      <c r="G336" s="170" t="s">
        <v>261</v>
      </c>
      <c r="H336" s="170"/>
      <c r="I336" s="170"/>
      <c r="J336" s="162">
        <v>14</v>
      </c>
      <c r="K336" s="404">
        <v>25680.2</v>
      </c>
      <c r="L336" s="387">
        <v>0.19</v>
      </c>
      <c r="M336" s="405">
        <f t="shared" si="57"/>
        <v>359522.8</v>
      </c>
      <c r="N336" s="404">
        <v>25680</v>
      </c>
      <c r="O336" s="387">
        <v>0.19</v>
      </c>
      <c r="P336" s="401">
        <f t="shared" si="58"/>
        <v>359520</v>
      </c>
      <c r="Q336" s="406">
        <f t="shared" si="59"/>
        <v>25680.1</v>
      </c>
      <c r="R336" s="387">
        <v>0.19</v>
      </c>
      <c r="S336" s="407">
        <f t="shared" si="60"/>
        <v>359521.39999999997</v>
      </c>
      <c r="T336" s="92">
        <v>10</v>
      </c>
      <c r="U336" s="92">
        <f t="shared" si="61"/>
        <v>24</v>
      </c>
    </row>
    <row r="337" spans="1:21" ht="15" x14ac:dyDescent="0.3">
      <c r="A337" s="162">
        <v>5</v>
      </c>
      <c r="B337" s="327" t="s">
        <v>563</v>
      </c>
      <c r="C337" s="327" t="s">
        <v>448</v>
      </c>
      <c r="D337" s="327">
        <v>10151701</v>
      </c>
      <c r="E337" s="285">
        <v>63</v>
      </c>
      <c r="F337" s="408" t="s">
        <v>564</v>
      </c>
      <c r="G337" s="170" t="s">
        <v>261</v>
      </c>
      <c r="H337" s="170"/>
      <c r="I337" s="170"/>
      <c r="J337" s="162">
        <v>30</v>
      </c>
      <c r="K337" s="404">
        <v>8330</v>
      </c>
      <c r="L337" s="387">
        <v>0.19</v>
      </c>
      <c r="M337" s="405">
        <f t="shared" si="57"/>
        <v>249900</v>
      </c>
      <c r="N337" s="404">
        <v>8330</v>
      </c>
      <c r="O337" s="387">
        <v>0.19</v>
      </c>
      <c r="P337" s="401">
        <f t="shared" si="58"/>
        <v>249900</v>
      </c>
      <c r="Q337" s="406">
        <f t="shared" si="59"/>
        <v>8330</v>
      </c>
      <c r="R337" s="387">
        <v>0.19</v>
      </c>
      <c r="S337" s="407">
        <f t="shared" si="60"/>
        <v>249900</v>
      </c>
      <c r="T337" s="92">
        <v>10</v>
      </c>
      <c r="U337" s="92">
        <f t="shared" si="61"/>
        <v>40</v>
      </c>
    </row>
    <row r="338" spans="1:21" ht="15" x14ac:dyDescent="0.3">
      <c r="A338" s="162">
        <v>5</v>
      </c>
      <c r="B338" s="327" t="s">
        <v>565</v>
      </c>
      <c r="C338" s="327" t="s">
        <v>448</v>
      </c>
      <c r="D338" s="327">
        <v>10151701</v>
      </c>
      <c r="E338" s="285">
        <v>64</v>
      </c>
      <c r="F338" s="408" t="s">
        <v>566</v>
      </c>
      <c r="G338" s="170" t="s">
        <v>261</v>
      </c>
      <c r="H338" s="170"/>
      <c r="I338" s="170"/>
      <c r="J338" s="162">
        <v>13</v>
      </c>
      <c r="K338" s="404">
        <v>23800</v>
      </c>
      <c r="L338" s="387">
        <v>0.19</v>
      </c>
      <c r="M338" s="405">
        <f t="shared" si="57"/>
        <v>309400</v>
      </c>
      <c r="N338" s="404">
        <v>23800</v>
      </c>
      <c r="O338" s="387">
        <v>0.19</v>
      </c>
      <c r="P338" s="401">
        <f t="shared" si="58"/>
        <v>309400</v>
      </c>
      <c r="Q338" s="406">
        <f t="shared" si="59"/>
        <v>23800</v>
      </c>
      <c r="R338" s="387">
        <v>0.19</v>
      </c>
      <c r="S338" s="407">
        <f t="shared" si="60"/>
        <v>309400</v>
      </c>
      <c r="T338" s="92">
        <v>10</v>
      </c>
      <c r="U338" s="92">
        <f t="shared" si="61"/>
        <v>23</v>
      </c>
    </row>
    <row r="339" spans="1:21" ht="15" x14ac:dyDescent="0.3">
      <c r="A339" s="162">
        <v>5</v>
      </c>
      <c r="B339" s="327" t="s">
        <v>567</v>
      </c>
      <c r="C339" s="327" t="s">
        <v>448</v>
      </c>
      <c r="D339" s="327">
        <v>10151701</v>
      </c>
      <c r="E339" s="162">
        <v>65</v>
      </c>
      <c r="F339" s="408" t="s">
        <v>568</v>
      </c>
      <c r="G339" s="170" t="s">
        <v>261</v>
      </c>
      <c r="H339" s="170"/>
      <c r="I339" s="170"/>
      <c r="J339" s="162">
        <v>13</v>
      </c>
      <c r="K339" s="404">
        <v>11900</v>
      </c>
      <c r="L339" s="387">
        <v>0.19</v>
      </c>
      <c r="M339" s="405">
        <f t="shared" si="57"/>
        <v>154700</v>
      </c>
      <c r="N339" s="404">
        <v>11900</v>
      </c>
      <c r="O339" s="387">
        <v>0.19</v>
      </c>
      <c r="P339" s="401">
        <f t="shared" si="58"/>
        <v>154700</v>
      </c>
      <c r="Q339" s="406">
        <f t="shared" si="59"/>
        <v>11900</v>
      </c>
      <c r="R339" s="387">
        <v>0.19</v>
      </c>
      <c r="S339" s="407">
        <f t="shared" si="60"/>
        <v>154700</v>
      </c>
      <c r="T339" s="92">
        <v>10</v>
      </c>
      <c r="U339" s="92">
        <f t="shared" si="61"/>
        <v>23</v>
      </c>
    </row>
    <row r="340" spans="1:21" ht="15" x14ac:dyDescent="0.3">
      <c r="A340" s="162">
        <v>5</v>
      </c>
      <c r="B340" s="327" t="s">
        <v>569</v>
      </c>
      <c r="C340" s="327" t="s">
        <v>448</v>
      </c>
      <c r="D340" s="327">
        <v>10151701</v>
      </c>
      <c r="E340" s="285">
        <v>66</v>
      </c>
      <c r="F340" s="408" t="s">
        <v>570</v>
      </c>
      <c r="G340" s="170" t="s">
        <v>261</v>
      </c>
      <c r="H340" s="170"/>
      <c r="I340" s="170"/>
      <c r="J340" s="162">
        <v>12</v>
      </c>
      <c r="K340" s="404">
        <v>35700</v>
      </c>
      <c r="L340" s="387">
        <v>0.19</v>
      </c>
      <c r="M340" s="405">
        <f t="shared" ref="M340:M398" si="62">K340*J340</f>
        <v>428400</v>
      </c>
      <c r="N340" s="404">
        <v>35700</v>
      </c>
      <c r="O340" s="387">
        <v>0.19</v>
      </c>
      <c r="P340" s="401">
        <f t="shared" ref="P340:P398" si="63">N340*J340</f>
        <v>428400</v>
      </c>
      <c r="Q340" s="406">
        <f t="shared" ref="Q340:Q398" si="64">SUM(N340+K340)/2</f>
        <v>35700</v>
      </c>
      <c r="R340" s="387">
        <v>0.19</v>
      </c>
      <c r="S340" s="407">
        <f t="shared" ref="S340:S398" si="65">Q340*J340</f>
        <v>428400</v>
      </c>
      <c r="T340" s="92">
        <v>10</v>
      </c>
      <c r="U340" s="92">
        <f t="shared" si="61"/>
        <v>22</v>
      </c>
    </row>
    <row r="341" spans="1:21" ht="15" x14ac:dyDescent="0.3">
      <c r="A341" s="162">
        <v>5</v>
      </c>
      <c r="B341" s="327" t="s">
        <v>571</v>
      </c>
      <c r="C341" s="327" t="s">
        <v>448</v>
      </c>
      <c r="D341" s="327">
        <v>50221101</v>
      </c>
      <c r="E341" s="285">
        <v>67</v>
      </c>
      <c r="F341" s="408" t="s">
        <v>572</v>
      </c>
      <c r="G341" s="170" t="s">
        <v>261</v>
      </c>
      <c r="H341" s="170"/>
      <c r="I341" s="170"/>
      <c r="J341" s="162">
        <v>11</v>
      </c>
      <c r="K341" s="404">
        <v>14280</v>
      </c>
      <c r="L341" s="387">
        <v>0.19</v>
      </c>
      <c r="M341" s="405">
        <f t="shared" si="62"/>
        <v>157080</v>
      </c>
      <c r="N341" s="404">
        <v>14280</v>
      </c>
      <c r="O341" s="387">
        <v>0.19</v>
      </c>
      <c r="P341" s="401">
        <f t="shared" si="63"/>
        <v>157080</v>
      </c>
      <c r="Q341" s="406">
        <f t="shared" si="64"/>
        <v>14280</v>
      </c>
      <c r="R341" s="387">
        <v>0.19</v>
      </c>
      <c r="S341" s="407">
        <f t="shared" si="65"/>
        <v>157080</v>
      </c>
      <c r="T341" s="92">
        <v>10</v>
      </c>
      <c r="U341" s="92">
        <f t="shared" si="61"/>
        <v>21</v>
      </c>
    </row>
    <row r="342" spans="1:21" ht="15" x14ac:dyDescent="0.3">
      <c r="A342" s="162">
        <v>5</v>
      </c>
      <c r="B342" s="327" t="s">
        <v>573</v>
      </c>
      <c r="C342" s="327" t="s">
        <v>448</v>
      </c>
      <c r="D342" s="327" t="s">
        <v>574</v>
      </c>
      <c r="E342" s="285">
        <v>68</v>
      </c>
      <c r="F342" s="408" t="s">
        <v>575</v>
      </c>
      <c r="G342" s="170" t="s">
        <v>261</v>
      </c>
      <c r="H342" s="170"/>
      <c r="I342" s="170"/>
      <c r="J342" s="162">
        <v>30</v>
      </c>
      <c r="K342" s="404">
        <v>7378</v>
      </c>
      <c r="L342" s="387">
        <v>0.19</v>
      </c>
      <c r="M342" s="405">
        <f t="shared" si="62"/>
        <v>221340</v>
      </c>
      <c r="N342" s="404">
        <v>7378</v>
      </c>
      <c r="O342" s="387">
        <v>0.19</v>
      </c>
      <c r="P342" s="401">
        <f t="shared" si="63"/>
        <v>221340</v>
      </c>
      <c r="Q342" s="406">
        <f t="shared" si="64"/>
        <v>7378</v>
      </c>
      <c r="R342" s="387">
        <v>0.19</v>
      </c>
      <c r="S342" s="407">
        <f t="shared" si="65"/>
        <v>221340</v>
      </c>
      <c r="T342" s="92">
        <v>10</v>
      </c>
      <c r="U342" s="92">
        <f t="shared" si="61"/>
        <v>40</v>
      </c>
    </row>
    <row r="343" spans="1:21" ht="15" x14ac:dyDescent="0.3">
      <c r="A343" s="162">
        <v>5</v>
      </c>
      <c r="B343" s="327" t="s">
        <v>576</v>
      </c>
      <c r="C343" s="327" t="s">
        <v>448</v>
      </c>
      <c r="D343" s="327" t="s">
        <v>577</v>
      </c>
      <c r="E343" s="162">
        <v>69</v>
      </c>
      <c r="F343" s="408" t="s">
        <v>578</v>
      </c>
      <c r="G343" s="170" t="s">
        <v>579</v>
      </c>
      <c r="H343" s="170"/>
      <c r="I343" s="170"/>
      <c r="J343" s="162">
        <v>18</v>
      </c>
      <c r="K343" s="404">
        <v>9401</v>
      </c>
      <c r="L343" s="387">
        <v>0.19</v>
      </c>
      <c r="M343" s="405">
        <f t="shared" si="62"/>
        <v>169218</v>
      </c>
      <c r="N343" s="404">
        <v>9401</v>
      </c>
      <c r="O343" s="387">
        <v>0.19</v>
      </c>
      <c r="P343" s="401">
        <f t="shared" si="63"/>
        <v>169218</v>
      </c>
      <c r="Q343" s="406">
        <f t="shared" si="64"/>
        <v>9401</v>
      </c>
      <c r="R343" s="387">
        <v>0.19</v>
      </c>
      <c r="S343" s="407">
        <f t="shared" si="65"/>
        <v>169218</v>
      </c>
      <c r="T343" s="92">
        <v>10</v>
      </c>
      <c r="U343" s="92">
        <f t="shared" si="61"/>
        <v>28</v>
      </c>
    </row>
    <row r="344" spans="1:21" ht="15" x14ac:dyDescent="0.3">
      <c r="A344" s="162">
        <v>5</v>
      </c>
      <c r="B344" s="327" t="s">
        <v>580</v>
      </c>
      <c r="C344" s="327" t="s">
        <v>448</v>
      </c>
      <c r="D344" s="327" t="s">
        <v>581</v>
      </c>
      <c r="E344" s="285">
        <v>70</v>
      </c>
      <c r="F344" s="408" t="s">
        <v>582</v>
      </c>
      <c r="G344" s="170" t="s">
        <v>583</v>
      </c>
      <c r="H344" s="170"/>
      <c r="I344" s="170"/>
      <c r="J344" s="162">
        <v>11</v>
      </c>
      <c r="K344" s="404">
        <v>33320</v>
      </c>
      <c r="L344" s="387">
        <v>0.19</v>
      </c>
      <c r="M344" s="405">
        <f t="shared" si="62"/>
        <v>366520</v>
      </c>
      <c r="N344" s="404">
        <v>33320</v>
      </c>
      <c r="O344" s="387">
        <v>0.19</v>
      </c>
      <c r="P344" s="401">
        <f t="shared" si="63"/>
        <v>366520</v>
      </c>
      <c r="Q344" s="406">
        <f t="shared" si="64"/>
        <v>33320</v>
      </c>
      <c r="R344" s="387">
        <v>0.19</v>
      </c>
      <c r="S344" s="407">
        <f t="shared" si="65"/>
        <v>366520</v>
      </c>
      <c r="T344" s="92">
        <v>10</v>
      </c>
      <c r="U344" s="92">
        <f t="shared" si="61"/>
        <v>21</v>
      </c>
    </row>
    <row r="345" spans="1:21" ht="15" x14ac:dyDescent="0.3">
      <c r="A345" s="162">
        <v>5</v>
      </c>
      <c r="B345" s="327" t="s">
        <v>584</v>
      </c>
      <c r="C345" s="327" t="s">
        <v>448</v>
      </c>
      <c r="D345" s="327">
        <v>50161813</v>
      </c>
      <c r="E345" s="285">
        <v>71</v>
      </c>
      <c r="F345" s="408" t="s">
        <v>585</v>
      </c>
      <c r="G345" s="170" t="s">
        <v>586</v>
      </c>
      <c r="H345" s="170"/>
      <c r="I345" s="170"/>
      <c r="J345" s="162">
        <v>11</v>
      </c>
      <c r="K345" s="404">
        <v>35700</v>
      </c>
      <c r="L345" s="387">
        <v>0.19</v>
      </c>
      <c r="M345" s="405">
        <f t="shared" si="62"/>
        <v>392700</v>
      </c>
      <c r="N345" s="404">
        <v>35700</v>
      </c>
      <c r="O345" s="387">
        <v>0.19</v>
      </c>
      <c r="P345" s="401">
        <f t="shared" si="63"/>
        <v>392700</v>
      </c>
      <c r="Q345" s="406">
        <f t="shared" si="64"/>
        <v>35700</v>
      </c>
      <c r="R345" s="387">
        <v>0.19</v>
      </c>
      <c r="S345" s="407">
        <f t="shared" si="65"/>
        <v>392700</v>
      </c>
      <c r="T345" s="92">
        <v>10</v>
      </c>
      <c r="U345" s="92">
        <f t="shared" si="61"/>
        <v>21</v>
      </c>
    </row>
    <row r="346" spans="1:21" ht="15" x14ac:dyDescent="0.3">
      <c r="A346" s="162">
        <v>5</v>
      </c>
      <c r="B346" s="327" t="s">
        <v>587</v>
      </c>
      <c r="C346" s="327" t="s">
        <v>448</v>
      </c>
      <c r="D346" s="327" t="s">
        <v>588</v>
      </c>
      <c r="E346" s="285">
        <v>72</v>
      </c>
      <c r="F346" s="408" t="s">
        <v>589</v>
      </c>
      <c r="G346" s="170" t="s">
        <v>261</v>
      </c>
      <c r="H346" s="170"/>
      <c r="I346" s="170"/>
      <c r="J346" s="162">
        <v>15</v>
      </c>
      <c r="K346" s="404">
        <v>48790</v>
      </c>
      <c r="L346" s="387">
        <v>0.19</v>
      </c>
      <c r="M346" s="405">
        <f t="shared" si="62"/>
        <v>731850</v>
      </c>
      <c r="N346" s="404">
        <v>48790</v>
      </c>
      <c r="O346" s="387">
        <v>0.19</v>
      </c>
      <c r="P346" s="401">
        <f t="shared" si="63"/>
        <v>731850</v>
      </c>
      <c r="Q346" s="406">
        <f t="shared" si="64"/>
        <v>48790</v>
      </c>
      <c r="R346" s="387">
        <v>0.19</v>
      </c>
      <c r="S346" s="407">
        <f t="shared" si="65"/>
        <v>731850</v>
      </c>
      <c r="T346" s="92">
        <v>10</v>
      </c>
      <c r="U346" s="92">
        <f t="shared" si="61"/>
        <v>25</v>
      </c>
    </row>
    <row r="347" spans="1:21" ht="15" x14ac:dyDescent="0.3">
      <c r="A347" s="162">
        <v>5</v>
      </c>
      <c r="B347" s="327" t="s">
        <v>590</v>
      </c>
      <c r="C347" s="327" t="s">
        <v>448</v>
      </c>
      <c r="D347" s="327">
        <v>50315817</v>
      </c>
      <c r="E347" s="162">
        <v>73</v>
      </c>
      <c r="F347" s="408" t="s">
        <v>591</v>
      </c>
      <c r="G347" s="170" t="s">
        <v>261</v>
      </c>
      <c r="H347" s="170"/>
      <c r="I347" s="170"/>
      <c r="J347" s="162">
        <v>11</v>
      </c>
      <c r="K347" s="404">
        <v>33320</v>
      </c>
      <c r="L347" s="387">
        <v>0.19</v>
      </c>
      <c r="M347" s="405">
        <f t="shared" si="62"/>
        <v>366520</v>
      </c>
      <c r="N347" s="404">
        <v>33320</v>
      </c>
      <c r="O347" s="387">
        <v>0.19</v>
      </c>
      <c r="P347" s="401">
        <f t="shared" si="63"/>
        <v>366520</v>
      </c>
      <c r="Q347" s="406">
        <f t="shared" si="64"/>
        <v>33320</v>
      </c>
      <c r="R347" s="387">
        <v>0.19</v>
      </c>
      <c r="S347" s="407">
        <f t="shared" si="65"/>
        <v>366520</v>
      </c>
      <c r="T347" s="92">
        <v>10</v>
      </c>
      <c r="U347" s="92">
        <f t="shared" si="61"/>
        <v>21</v>
      </c>
    </row>
    <row r="348" spans="1:21" ht="15" x14ac:dyDescent="0.3">
      <c r="A348" s="162">
        <v>5</v>
      </c>
      <c r="B348" s="327" t="s">
        <v>592</v>
      </c>
      <c r="C348" s="327" t="s">
        <v>448</v>
      </c>
      <c r="D348" s="327" t="s">
        <v>588</v>
      </c>
      <c r="E348" s="285">
        <v>74</v>
      </c>
      <c r="F348" s="408" t="s">
        <v>593</v>
      </c>
      <c r="G348" s="170" t="s">
        <v>594</v>
      </c>
      <c r="H348" s="170"/>
      <c r="I348" s="170"/>
      <c r="J348" s="162">
        <v>16</v>
      </c>
      <c r="K348" s="404">
        <v>29750</v>
      </c>
      <c r="L348" s="387">
        <v>0.19</v>
      </c>
      <c r="M348" s="405">
        <f t="shared" si="62"/>
        <v>476000</v>
      </c>
      <c r="N348" s="404">
        <v>29750</v>
      </c>
      <c r="O348" s="387">
        <v>0.19</v>
      </c>
      <c r="P348" s="401">
        <f t="shared" si="63"/>
        <v>476000</v>
      </c>
      <c r="Q348" s="406">
        <f t="shared" si="64"/>
        <v>29750</v>
      </c>
      <c r="R348" s="387">
        <v>0.19</v>
      </c>
      <c r="S348" s="407">
        <f t="shared" si="65"/>
        <v>476000</v>
      </c>
      <c r="T348" s="92">
        <v>10</v>
      </c>
      <c r="U348" s="92">
        <f t="shared" si="61"/>
        <v>26</v>
      </c>
    </row>
    <row r="349" spans="1:21" ht="15" x14ac:dyDescent="0.3">
      <c r="A349" s="162">
        <v>5</v>
      </c>
      <c r="B349" s="327" t="s">
        <v>595</v>
      </c>
      <c r="C349" s="327" t="s">
        <v>448</v>
      </c>
      <c r="D349" s="327" t="s">
        <v>588</v>
      </c>
      <c r="E349" s="285">
        <v>75</v>
      </c>
      <c r="F349" s="408" t="s">
        <v>596</v>
      </c>
      <c r="G349" s="170" t="s">
        <v>594</v>
      </c>
      <c r="H349" s="170"/>
      <c r="I349" s="170"/>
      <c r="J349" s="162">
        <v>16</v>
      </c>
      <c r="K349" s="404">
        <v>29750</v>
      </c>
      <c r="L349" s="387">
        <v>0.19</v>
      </c>
      <c r="M349" s="405">
        <f t="shared" si="62"/>
        <v>476000</v>
      </c>
      <c r="N349" s="404">
        <v>29750</v>
      </c>
      <c r="O349" s="387">
        <v>0.19</v>
      </c>
      <c r="P349" s="401">
        <f t="shared" si="63"/>
        <v>476000</v>
      </c>
      <c r="Q349" s="406">
        <f t="shared" si="64"/>
        <v>29750</v>
      </c>
      <c r="R349" s="387">
        <v>0.19</v>
      </c>
      <c r="S349" s="407">
        <f t="shared" si="65"/>
        <v>476000</v>
      </c>
      <c r="T349" s="92">
        <v>10</v>
      </c>
      <c r="U349" s="92">
        <f t="shared" si="61"/>
        <v>26</v>
      </c>
    </row>
    <row r="350" spans="1:21" ht="15" x14ac:dyDescent="0.3">
      <c r="A350" s="162">
        <v>5</v>
      </c>
      <c r="B350" s="327" t="s">
        <v>597</v>
      </c>
      <c r="C350" s="327" t="s">
        <v>448</v>
      </c>
      <c r="D350" s="327">
        <v>50101716</v>
      </c>
      <c r="E350" s="285">
        <v>76</v>
      </c>
      <c r="F350" s="408" t="s">
        <v>598</v>
      </c>
      <c r="G350" s="170" t="s">
        <v>261</v>
      </c>
      <c r="H350" s="170"/>
      <c r="I350" s="170"/>
      <c r="J350" s="162">
        <v>11</v>
      </c>
      <c r="K350" s="404">
        <v>36890</v>
      </c>
      <c r="L350" s="387">
        <v>0.19</v>
      </c>
      <c r="M350" s="405">
        <f t="shared" si="62"/>
        <v>405790</v>
      </c>
      <c r="N350" s="404">
        <v>36890</v>
      </c>
      <c r="O350" s="387">
        <v>0.19</v>
      </c>
      <c r="P350" s="401">
        <f t="shared" si="63"/>
        <v>405790</v>
      </c>
      <c r="Q350" s="406">
        <f t="shared" si="64"/>
        <v>36890</v>
      </c>
      <c r="R350" s="387">
        <v>0.19</v>
      </c>
      <c r="S350" s="407">
        <f t="shared" si="65"/>
        <v>405790</v>
      </c>
      <c r="T350" s="92">
        <v>10</v>
      </c>
      <c r="U350" s="92">
        <f t="shared" si="61"/>
        <v>21</v>
      </c>
    </row>
    <row r="351" spans="1:21" ht="15" x14ac:dyDescent="0.3">
      <c r="A351" s="162">
        <v>5</v>
      </c>
      <c r="B351" s="327" t="s">
        <v>599</v>
      </c>
      <c r="C351" s="327" t="s">
        <v>448</v>
      </c>
      <c r="D351" s="327" t="s">
        <v>577</v>
      </c>
      <c r="E351" s="162">
        <v>77</v>
      </c>
      <c r="F351" s="408" t="s">
        <v>600</v>
      </c>
      <c r="G351" s="170" t="s">
        <v>261</v>
      </c>
      <c r="H351" s="170"/>
      <c r="I351" s="170"/>
      <c r="J351" s="162">
        <v>12</v>
      </c>
      <c r="K351" s="404">
        <v>22610</v>
      </c>
      <c r="L351" s="387">
        <v>0.19</v>
      </c>
      <c r="M351" s="405">
        <f t="shared" si="62"/>
        <v>271320</v>
      </c>
      <c r="N351" s="404">
        <v>22610</v>
      </c>
      <c r="O351" s="387">
        <v>0.19</v>
      </c>
      <c r="P351" s="401">
        <f t="shared" si="63"/>
        <v>271320</v>
      </c>
      <c r="Q351" s="406">
        <f t="shared" si="64"/>
        <v>22610</v>
      </c>
      <c r="R351" s="387">
        <v>0.19</v>
      </c>
      <c r="S351" s="407">
        <f t="shared" si="65"/>
        <v>271320</v>
      </c>
      <c r="T351" s="92">
        <v>10</v>
      </c>
      <c r="U351" s="92">
        <f t="shared" si="61"/>
        <v>22</v>
      </c>
    </row>
    <row r="352" spans="1:21" ht="15" x14ac:dyDescent="0.3">
      <c r="A352" s="162">
        <v>5</v>
      </c>
      <c r="B352" s="327" t="s">
        <v>601</v>
      </c>
      <c r="C352" s="327" t="s">
        <v>448</v>
      </c>
      <c r="D352" s="327">
        <v>50171904</v>
      </c>
      <c r="E352" s="285">
        <v>78</v>
      </c>
      <c r="F352" s="416" t="s">
        <v>602</v>
      </c>
      <c r="G352" s="162" t="s">
        <v>603</v>
      </c>
      <c r="H352" s="162"/>
      <c r="I352" s="162"/>
      <c r="J352" s="162">
        <v>11</v>
      </c>
      <c r="K352" s="404">
        <v>21420</v>
      </c>
      <c r="L352" s="387">
        <v>0.19</v>
      </c>
      <c r="M352" s="405">
        <f t="shared" si="62"/>
        <v>235620</v>
      </c>
      <c r="N352" s="404">
        <v>21420</v>
      </c>
      <c r="O352" s="387">
        <v>0.19</v>
      </c>
      <c r="P352" s="401">
        <f t="shared" si="63"/>
        <v>235620</v>
      </c>
      <c r="Q352" s="406">
        <f t="shared" si="64"/>
        <v>21420</v>
      </c>
      <c r="R352" s="387">
        <v>0.19</v>
      </c>
      <c r="S352" s="407">
        <f t="shared" si="65"/>
        <v>235620</v>
      </c>
      <c r="T352" s="92">
        <v>10</v>
      </c>
      <c r="U352" s="92">
        <f t="shared" si="61"/>
        <v>21</v>
      </c>
    </row>
    <row r="353" spans="1:21" ht="15" x14ac:dyDescent="0.3">
      <c r="A353" s="162">
        <v>5</v>
      </c>
      <c r="B353" s="162" t="s">
        <v>604</v>
      </c>
      <c r="C353" s="162" t="s">
        <v>448</v>
      </c>
      <c r="D353" s="162">
        <v>50131702</v>
      </c>
      <c r="E353" s="285">
        <v>79</v>
      </c>
      <c r="F353" s="219" t="s">
        <v>605</v>
      </c>
      <c r="G353" s="162" t="s">
        <v>594</v>
      </c>
      <c r="H353" s="162"/>
      <c r="I353" s="162"/>
      <c r="J353" s="162">
        <v>11</v>
      </c>
      <c r="K353" s="404">
        <v>47600</v>
      </c>
      <c r="L353" s="387">
        <v>0.19</v>
      </c>
      <c r="M353" s="405">
        <f t="shared" si="62"/>
        <v>523600</v>
      </c>
      <c r="N353" s="404">
        <v>47600</v>
      </c>
      <c r="O353" s="387">
        <v>0.19</v>
      </c>
      <c r="P353" s="401">
        <f t="shared" si="63"/>
        <v>523600</v>
      </c>
      <c r="Q353" s="406">
        <f t="shared" si="64"/>
        <v>47600</v>
      </c>
      <c r="R353" s="387">
        <v>0.19</v>
      </c>
      <c r="S353" s="407">
        <f t="shared" si="65"/>
        <v>523600</v>
      </c>
      <c r="T353" s="92">
        <v>10</v>
      </c>
      <c r="U353" s="92">
        <f t="shared" si="61"/>
        <v>21</v>
      </c>
    </row>
    <row r="354" spans="1:21" ht="15" x14ac:dyDescent="0.3">
      <c r="A354" s="162">
        <v>5</v>
      </c>
      <c r="B354" s="162" t="s">
        <v>606</v>
      </c>
      <c r="C354" s="162" t="s">
        <v>448</v>
      </c>
      <c r="D354" s="162">
        <v>50192401</v>
      </c>
      <c r="E354" s="285">
        <v>80</v>
      </c>
      <c r="F354" s="219" t="s">
        <v>607</v>
      </c>
      <c r="G354" s="162" t="s">
        <v>261</v>
      </c>
      <c r="H354" s="162"/>
      <c r="I354" s="162"/>
      <c r="J354" s="162">
        <v>11</v>
      </c>
      <c r="K354" s="404">
        <v>29750</v>
      </c>
      <c r="L354" s="387">
        <v>0.19</v>
      </c>
      <c r="M354" s="405">
        <f t="shared" si="62"/>
        <v>327250</v>
      </c>
      <c r="N354" s="404">
        <v>29750</v>
      </c>
      <c r="O354" s="387">
        <v>0.19</v>
      </c>
      <c r="P354" s="401">
        <f t="shared" si="63"/>
        <v>327250</v>
      </c>
      <c r="Q354" s="406">
        <f t="shared" si="64"/>
        <v>29750</v>
      </c>
      <c r="R354" s="387">
        <v>0.19</v>
      </c>
      <c r="S354" s="407">
        <f t="shared" si="65"/>
        <v>327250</v>
      </c>
      <c r="T354" s="92">
        <v>10</v>
      </c>
      <c r="U354" s="92">
        <f t="shared" si="61"/>
        <v>21</v>
      </c>
    </row>
    <row r="355" spans="1:21" ht="15" x14ac:dyDescent="0.3">
      <c r="A355" s="162">
        <v>5</v>
      </c>
      <c r="B355" s="327" t="s">
        <v>608</v>
      </c>
      <c r="C355" s="327" t="s">
        <v>448</v>
      </c>
      <c r="D355" s="327">
        <v>50221303</v>
      </c>
      <c r="E355" s="162">
        <v>81</v>
      </c>
      <c r="F355" s="408" t="s">
        <v>609</v>
      </c>
      <c r="G355" s="170" t="s">
        <v>261</v>
      </c>
      <c r="H355" s="170"/>
      <c r="I355" s="170"/>
      <c r="J355" s="162">
        <v>13</v>
      </c>
      <c r="K355" s="404">
        <v>17850</v>
      </c>
      <c r="L355" s="387">
        <v>0.19</v>
      </c>
      <c r="M355" s="405">
        <f t="shared" si="62"/>
        <v>232050</v>
      </c>
      <c r="N355" s="404">
        <v>17850</v>
      </c>
      <c r="O355" s="387">
        <v>0.19</v>
      </c>
      <c r="P355" s="401">
        <f t="shared" si="63"/>
        <v>232050</v>
      </c>
      <c r="Q355" s="406">
        <f t="shared" si="64"/>
        <v>17850</v>
      </c>
      <c r="R355" s="387">
        <v>0.19</v>
      </c>
      <c r="S355" s="407">
        <f t="shared" si="65"/>
        <v>232050</v>
      </c>
      <c r="T355" s="92">
        <v>10</v>
      </c>
      <c r="U355" s="92">
        <f t="shared" si="61"/>
        <v>23</v>
      </c>
    </row>
    <row r="356" spans="1:21" ht="15" x14ac:dyDescent="0.3">
      <c r="A356" s="162">
        <v>5</v>
      </c>
      <c r="B356" s="162" t="s">
        <v>610</v>
      </c>
      <c r="C356" s="162" t="s">
        <v>448</v>
      </c>
      <c r="D356" s="162">
        <v>50192401</v>
      </c>
      <c r="E356" s="285">
        <v>82</v>
      </c>
      <c r="F356" s="219" t="s">
        <v>611</v>
      </c>
      <c r="G356" s="162" t="s">
        <v>261</v>
      </c>
      <c r="H356" s="162"/>
      <c r="I356" s="162"/>
      <c r="J356" s="162">
        <v>11</v>
      </c>
      <c r="K356" s="404">
        <v>29750</v>
      </c>
      <c r="L356" s="387">
        <v>0.19</v>
      </c>
      <c r="M356" s="405">
        <f t="shared" si="62"/>
        <v>327250</v>
      </c>
      <c r="N356" s="404">
        <v>29750</v>
      </c>
      <c r="O356" s="387">
        <v>0.19</v>
      </c>
      <c r="P356" s="401">
        <f t="shared" si="63"/>
        <v>327250</v>
      </c>
      <c r="Q356" s="406">
        <f t="shared" si="64"/>
        <v>29750</v>
      </c>
      <c r="R356" s="387">
        <v>0.19</v>
      </c>
      <c r="S356" s="407">
        <f t="shared" si="65"/>
        <v>327250</v>
      </c>
      <c r="T356" s="92">
        <v>10</v>
      </c>
      <c r="U356" s="92">
        <f t="shared" si="61"/>
        <v>21</v>
      </c>
    </row>
    <row r="357" spans="1:21" ht="15" x14ac:dyDescent="0.3">
      <c r="A357" s="162">
        <v>5</v>
      </c>
      <c r="B357" s="162" t="s">
        <v>612</v>
      </c>
      <c r="C357" s="162" t="s">
        <v>448</v>
      </c>
      <c r="D357" s="162">
        <v>50192401</v>
      </c>
      <c r="E357" s="285">
        <v>83</v>
      </c>
      <c r="F357" s="219" t="s">
        <v>613</v>
      </c>
      <c r="G357" s="162" t="s">
        <v>261</v>
      </c>
      <c r="H357" s="162"/>
      <c r="I357" s="162"/>
      <c r="J357" s="162">
        <v>11</v>
      </c>
      <c r="K357" s="404">
        <v>29750</v>
      </c>
      <c r="L357" s="387">
        <v>0.19</v>
      </c>
      <c r="M357" s="405">
        <f t="shared" si="62"/>
        <v>327250</v>
      </c>
      <c r="N357" s="404">
        <v>29750</v>
      </c>
      <c r="O357" s="387">
        <v>0.19</v>
      </c>
      <c r="P357" s="401">
        <f t="shared" si="63"/>
        <v>327250</v>
      </c>
      <c r="Q357" s="406">
        <f t="shared" si="64"/>
        <v>29750</v>
      </c>
      <c r="R357" s="387">
        <v>0.19</v>
      </c>
      <c r="S357" s="407">
        <f t="shared" si="65"/>
        <v>327250</v>
      </c>
      <c r="T357" s="92">
        <v>10</v>
      </c>
      <c r="U357" s="92">
        <f t="shared" si="61"/>
        <v>21</v>
      </c>
    </row>
    <row r="358" spans="1:21" ht="15" x14ac:dyDescent="0.3">
      <c r="A358" s="162">
        <v>5</v>
      </c>
      <c r="B358" s="327" t="s">
        <v>614</v>
      </c>
      <c r="C358" s="327" t="s">
        <v>448</v>
      </c>
      <c r="D358" s="327">
        <v>50131700</v>
      </c>
      <c r="E358" s="285">
        <v>84</v>
      </c>
      <c r="F358" s="408" t="s">
        <v>615</v>
      </c>
      <c r="G358" s="170" t="s">
        <v>616</v>
      </c>
      <c r="H358" s="170"/>
      <c r="I358" s="170"/>
      <c r="J358" s="162">
        <v>15</v>
      </c>
      <c r="K358" s="404">
        <v>33320</v>
      </c>
      <c r="L358" s="387">
        <v>0.19</v>
      </c>
      <c r="M358" s="405">
        <f t="shared" si="62"/>
        <v>499800</v>
      </c>
      <c r="N358" s="404">
        <v>33320</v>
      </c>
      <c r="O358" s="387">
        <v>0.19</v>
      </c>
      <c r="P358" s="401">
        <f t="shared" si="63"/>
        <v>499800</v>
      </c>
      <c r="Q358" s="406">
        <f t="shared" si="64"/>
        <v>33320</v>
      </c>
      <c r="R358" s="387">
        <v>0.19</v>
      </c>
      <c r="S358" s="407">
        <f t="shared" si="65"/>
        <v>499800</v>
      </c>
      <c r="T358" s="92">
        <v>10</v>
      </c>
      <c r="U358" s="92">
        <f t="shared" si="61"/>
        <v>25</v>
      </c>
    </row>
    <row r="359" spans="1:21" ht="15" x14ac:dyDescent="0.3">
      <c r="A359" s="162">
        <v>5</v>
      </c>
      <c r="B359" s="327" t="s">
        <v>617</v>
      </c>
      <c r="C359" s="327" t="s">
        <v>448</v>
      </c>
      <c r="D359" s="327">
        <v>50202308</v>
      </c>
      <c r="E359" s="162">
        <v>85</v>
      </c>
      <c r="F359" s="408" t="s">
        <v>618</v>
      </c>
      <c r="G359" s="170" t="s">
        <v>619</v>
      </c>
      <c r="H359" s="170"/>
      <c r="I359" s="170"/>
      <c r="J359" s="162">
        <v>13</v>
      </c>
      <c r="K359" s="404">
        <v>23800</v>
      </c>
      <c r="L359" s="387">
        <v>0.19</v>
      </c>
      <c r="M359" s="405">
        <f t="shared" si="62"/>
        <v>309400</v>
      </c>
      <c r="N359" s="404">
        <v>23800</v>
      </c>
      <c r="O359" s="387">
        <v>0.19</v>
      </c>
      <c r="P359" s="401">
        <f t="shared" si="63"/>
        <v>309400</v>
      </c>
      <c r="Q359" s="406">
        <f t="shared" si="64"/>
        <v>23800</v>
      </c>
      <c r="R359" s="387">
        <v>0.19</v>
      </c>
      <c r="S359" s="407">
        <f t="shared" si="65"/>
        <v>309400</v>
      </c>
      <c r="T359" s="92">
        <v>10</v>
      </c>
      <c r="U359" s="92">
        <f t="shared" si="61"/>
        <v>23</v>
      </c>
    </row>
    <row r="360" spans="1:21" ht="15" x14ac:dyDescent="0.3">
      <c r="A360" s="162">
        <v>5</v>
      </c>
      <c r="B360" s="327" t="s">
        <v>620</v>
      </c>
      <c r="C360" s="327" t="s">
        <v>448</v>
      </c>
      <c r="D360" s="327" t="s">
        <v>621</v>
      </c>
      <c r="E360" s="285">
        <v>86</v>
      </c>
      <c r="F360" s="408" t="s">
        <v>622</v>
      </c>
      <c r="G360" s="170" t="s">
        <v>261</v>
      </c>
      <c r="H360" s="170"/>
      <c r="I360" s="170"/>
      <c r="J360" s="162">
        <v>18</v>
      </c>
      <c r="K360" s="404">
        <v>29750</v>
      </c>
      <c r="L360" s="387">
        <v>0.19</v>
      </c>
      <c r="M360" s="405">
        <f t="shared" si="62"/>
        <v>535500</v>
      </c>
      <c r="N360" s="404">
        <v>29750</v>
      </c>
      <c r="O360" s="387">
        <v>0.19</v>
      </c>
      <c r="P360" s="401">
        <f t="shared" si="63"/>
        <v>535500</v>
      </c>
      <c r="Q360" s="406">
        <f t="shared" si="64"/>
        <v>29750</v>
      </c>
      <c r="R360" s="387">
        <v>0.19</v>
      </c>
      <c r="S360" s="407">
        <f t="shared" si="65"/>
        <v>535500</v>
      </c>
      <c r="T360" s="92">
        <v>10</v>
      </c>
      <c r="U360" s="92">
        <f t="shared" si="61"/>
        <v>28</v>
      </c>
    </row>
    <row r="361" spans="1:21" ht="15" x14ac:dyDescent="0.3">
      <c r="A361" s="162">
        <v>5</v>
      </c>
      <c r="B361" s="327" t="s">
        <v>623</v>
      </c>
      <c r="C361" s="327" t="s">
        <v>448</v>
      </c>
      <c r="D361" s="327">
        <v>10151535</v>
      </c>
      <c r="E361" s="285">
        <v>87</v>
      </c>
      <c r="F361" s="408" t="s">
        <v>624</v>
      </c>
      <c r="G361" s="170" t="s">
        <v>261</v>
      </c>
      <c r="H361" s="170"/>
      <c r="I361" s="170"/>
      <c r="J361" s="162">
        <v>12</v>
      </c>
      <c r="K361" s="404">
        <v>32130</v>
      </c>
      <c r="L361" s="387">
        <v>0.19</v>
      </c>
      <c r="M361" s="405">
        <f t="shared" si="62"/>
        <v>385560</v>
      </c>
      <c r="N361" s="404">
        <v>32130</v>
      </c>
      <c r="O361" s="387">
        <v>0.19</v>
      </c>
      <c r="P361" s="401">
        <f t="shared" si="63"/>
        <v>385560</v>
      </c>
      <c r="Q361" s="406">
        <f t="shared" si="64"/>
        <v>32130</v>
      </c>
      <c r="R361" s="387">
        <v>0.19</v>
      </c>
      <c r="S361" s="407">
        <f t="shared" si="65"/>
        <v>385560</v>
      </c>
      <c r="T361" s="92">
        <v>10</v>
      </c>
      <c r="U361" s="92">
        <f t="shared" si="61"/>
        <v>22</v>
      </c>
    </row>
    <row r="362" spans="1:21" ht="15" x14ac:dyDescent="0.3">
      <c r="A362" s="162">
        <v>5</v>
      </c>
      <c r="B362" s="327" t="s">
        <v>625</v>
      </c>
      <c r="C362" s="327" t="s">
        <v>448</v>
      </c>
      <c r="D362" s="327">
        <v>50151513</v>
      </c>
      <c r="E362" s="285">
        <v>88</v>
      </c>
      <c r="F362" s="408" t="s">
        <v>626</v>
      </c>
      <c r="G362" s="170" t="s">
        <v>261</v>
      </c>
      <c r="H362" s="170"/>
      <c r="I362" s="170"/>
      <c r="J362" s="162">
        <v>18</v>
      </c>
      <c r="K362" s="404">
        <v>17850</v>
      </c>
      <c r="L362" s="387">
        <v>0.19</v>
      </c>
      <c r="M362" s="405">
        <f t="shared" si="62"/>
        <v>321300</v>
      </c>
      <c r="N362" s="404">
        <v>17850</v>
      </c>
      <c r="O362" s="387">
        <v>0.19</v>
      </c>
      <c r="P362" s="401">
        <f t="shared" si="63"/>
        <v>321300</v>
      </c>
      <c r="Q362" s="406">
        <f t="shared" si="64"/>
        <v>17850</v>
      </c>
      <c r="R362" s="387">
        <v>0.19</v>
      </c>
      <c r="S362" s="407">
        <f t="shared" si="65"/>
        <v>321300</v>
      </c>
      <c r="T362" s="92">
        <v>10</v>
      </c>
      <c r="U362" s="92">
        <f t="shared" si="61"/>
        <v>28</v>
      </c>
    </row>
    <row r="363" spans="1:21" ht="15" x14ac:dyDescent="0.3">
      <c r="A363" s="162">
        <v>5</v>
      </c>
      <c r="B363" s="162" t="s">
        <v>627</v>
      </c>
      <c r="C363" s="162" t="s">
        <v>628</v>
      </c>
      <c r="D363" s="162">
        <v>50121612</v>
      </c>
      <c r="E363" s="162">
        <v>89</v>
      </c>
      <c r="F363" s="219" t="s">
        <v>629</v>
      </c>
      <c r="G363" s="162" t="s">
        <v>261</v>
      </c>
      <c r="H363" s="162"/>
      <c r="I363" s="162"/>
      <c r="J363" s="162">
        <v>13</v>
      </c>
      <c r="K363" s="404">
        <v>53550</v>
      </c>
      <c r="L363" s="387">
        <v>0.19</v>
      </c>
      <c r="M363" s="405">
        <f t="shared" si="62"/>
        <v>696150</v>
      </c>
      <c r="N363" s="404">
        <v>53550</v>
      </c>
      <c r="O363" s="387">
        <v>0.19</v>
      </c>
      <c r="P363" s="401">
        <f t="shared" si="63"/>
        <v>696150</v>
      </c>
      <c r="Q363" s="406">
        <f t="shared" si="64"/>
        <v>53550</v>
      </c>
      <c r="R363" s="387">
        <v>0.19</v>
      </c>
      <c r="S363" s="407">
        <f t="shared" si="65"/>
        <v>696150</v>
      </c>
      <c r="T363" s="92">
        <v>10</v>
      </c>
      <c r="U363" s="92">
        <f t="shared" si="61"/>
        <v>23</v>
      </c>
    </row>
    <row r="364" spans="1:21" ht="15" x14ac:dyDescent="0.3">
      <c r="A364" s="162">
        <v>5</v>
      </c>
      <c r="B364" s="327" t="s">
        <v>630</v>
      </c>
      <c r="C364" s="327" t="s">
        <v>448</v>
      </c>
      <c r="D364" s="327">
        <v>50181709</v>
      </c>
      <c r="E364" s="285">
        <v>90</v>
      </c>
      <c r="F364" s="408" t="s">
        <v>631</v>
      </c>
      <c r="G364" s="170" t="s">
        <v>261</v>
      </c>
      <c r="H364" s="170"/>
      <c r="I364" s="170"/>
      <c r="J364" s="162">
        <v>11</v>
      </c>
      <c r="K364" s="404">
        <v>13090</v>
      </c>
      <c r="L364" s="387">
        <v>0.19</v>
      </c>
      <c r="M364" s="405">
        <f t="shared" si="62"/>
        <v>143990</v>
      </c>
      <c r="N364" s="404">
        <v>13090</v>
      </c>
      <c r="O364" s="387">
        <v>0.19</v>
      </c>
      <c r="P364" s="401">
        <f t="shared" si="63"/>
        <v>143990</v>
      </c>
      <c r="Q364" s="406">
        <f t="shared" si="64"/>
        <v>13090</v>
      </c>
      <c r="R364" s="387">
        <v>0.19</v>
      </c>
      <c r="S364" s="407">
        <f t="shared" si="65"/>
        <v>143990</v>
      </c>
      <c r="T364" s="92">
        <v>10</v>
      </c>
      <c r="U364" s="92">
        <f t="shared" si="61"/>
        <v>21</v>
      </c>
    </row>
    <row r="365" spans="1:21" ht="15" x14ac:dyDescent="0.3">
      <c r="A365" s="162">
        <v>5</v>
      </c>
      <c r="B365" s="327" t="s">
        <v>632</v>
      </c>
      <c r="C365" s="327" t="s">
        <v>448</v>
      </c>
      <c r="D365" s="327">
        <v>50192110</v>
      </c>
      <c r="E365" s="285">
        <v>91</v>
      </c>
      <c r="F365" s="408" t="s">
        <v>633</v>
      </c>
      <c r="G365" s="170" t="s">
        <v>594</v>
      </c>
      <c r="H365" s="170"/>
      <c r="I365" s="170"/>
      <c r="J365" s="162">
        <v>11</v>
      </c>
      <c r="K365" s="404">
        <v>154700</v>
      </c>
      <c r="L365" s="387">
        <v>0.19</v>
      </c>
      <c r="M365" s="405">
        <f t="shared" si="62"/>
        <v>1701700</v>
      </c>
      <c r="N365" s="404">
        <v>154700</v>
      </c>
      <c r="O365" s="387">
        <v>0.19</v>
      </c>
      <c r="P365" s="401">
        <f t="shared" si="63"/>
        <v>1701700</v>
      </c>
      <c r="Q365" s="406">
        <f t="shared" si="64"/>
        <v>154700</v>
      </c>
      <c r="R365" s="387">
        <v>0.19</v>
      </c>
      <c r="S365" s="407">
        <f t="shared" si="65"/>
        <v>1701700</v>
      </c>
      <c r="T365" s="92">
        <v>10</v>
      </c>
      <c r="U365" s="92">
        <f t="shared" si="61"/>
        <v>21</v>
      </c>
    </row>
    <row r="366" spans="1:21" ht="15" x14ac:dyDescent="0.3">
      <c r="A366" s="162">
        <v>5</v>
      </c>
      <c r="B366" s="327" t="s">
        <v>634</v>
      </c>
      <c r="C366" s="327" t="s">
        <v>448</v>
      </c>
      <c r="D366" s="327">
        <v>50181709</v>
      </c>
      <c r="E366" s="285">
        <v>92</v>
      </c>
      <c r="F366" s="408" t="s">
        <v>635</v>
      </c>
      <c r="G366" s="170" t="s">
        <v>261</v>
      </c>
      <c r="H366" s="170"/>
      <c r="I366" s="170"/>
      <c r="J366" s="162">
        <v>11</v>
      </c>
      <c r="K366" s="404">
        <v>8925</v>
      </c>
      <c r="L366" s="387">
        <v>0.19</v>
      </c>
      <c r="M366" s="405">
        <f t="shared" si="62"/>
        <v>98175</v>
      </c>
      <c r="N366" s="404">
        <v>8925</v>
      </c>
      <c r="O366" s="387">
        <v>0.19</v>
      </c>
      <c r="P366" s="401">
        <f t="shared" si="63"/>
        <v>98175</v>
      </c>
      <c r="Q366" s="406">
        <f t="shared" si="64"/>
        <v>8925</v>
      </c>
      <c r="R366" s="387">
        <v>0.19</v>
      </c>
      <c r="S366" s="407">
        <f t="shared" si="65"/>
        <v>98175</v>
      </c>
      <c r="T366" s="92">
        <v>10</v>
      </c>
      <c r="U366" s="92">
        <f t="shared" si="61"/>
        <v>21</v>
      </c>
    </row>
    <row r="367" spans="1:21" ht="15" x14ac:dyDescent="0.3">
      <c r="A367" s="162">
        <v>5</v>
      </c>
      <c r="B367" s="162" t="s">
        <v>636</v>
      </c>
      <c r="C367" s="162" t="s">
        <v>448</v>
      </c>
      <c r="D367" s="162">
        <v>50192401</v>
      </c>
      <c r="E367" s="162">
        <v>93</v>
      </c>
      <c r="F367" s="219" t="s">
        <v>637</v>
      </c>
      <c r="G367" s="162" t="s">
        <v>638</v>
      </c>
      <c r="H367" s="162"/>
      <c r="I367" s="162"/>
      <c r="J367" s="162">
        <v>13</v>
      </c>
      <c r="K367" s="404">
        <v>21420</v>
      </c>
      <c r="L367" s="387">
        <v>0.19</v>
      </c>
      <c r="M367" s="405">
        <f t="shared" si="62"/>
        <v>278460</v>
      </c>
      <c r="N367" s="404">
        <v>21420</v>
      </c>
      <c r="O367" s="387">
        <v>0.19</v>
      </c>
      <c r="P367" s="401">
        <f t="shared" si="63"/>
        <v>278460</v>
      </c>
      <c r="Q367" s="406">
        <f t="shared" si="64"/>
        <v>21420</v>
      </c>
      <c r="R367" s="387">
        <v>0.19</v>
      </c>
      <c r="S367" s="407">
        <f t="shared" si="65"/>
        <v>278460</v>
      </c>
      <c r="T367" s="92">
        <v>10</v>
      </c>
      <c r="U367" s="92">
        <f t="shared" si="61"/>
        <v>23</v>
      </c>
    </row>
    <row r="368" spans="1:21" ht="15" x14ac:dyDescent="0.3">
      <c r="A368" s="162">
        <v>5</v>
      </c>
      <c r="B368" s="327" t="s">
        <v>639</v>
      </c>
      <c r="C368" s="327" t="s">
        <v>448</v>
      </c>
      <c r="D368" s="327">
        <v>50171551</v>
      </c>
      <c r="E368" s="285">
        <v>94</v>
      </c>
      <c r="F368" s="408" t="s">
        <v>640</v>
      </c>
      <c r="G368" s="170" t="s">
        <v>261</v>
      </c>
      <c r="H368" s="170"/>
      <c r="I368" s="170"/>
      <c r="J368" s="162">
        <v>15</v>
      </c>
      <c r="K368" s="404">
        <v>3094</v>
      </c>
      <c r="L368" s="387">
        <v>0.19</v>
      </c>
      <c r="M368" s="405">
        <f t="shared" si="62"/>
        <v>46410</v>
      </c>
      <c r="N368" s="404">
        <v>3094</v>
      </c>
      <c r="O368" s="387">
        <v>0.19</v>
      </c>
      <c r="P368" s="401">
        <f t="shared" si="63"/>
        <v>46410</v>
      </c>
      <c r="Q368" s="406">
        <f t="shared" si="64"/>
        <v>3094</v>
      </c>
      <c r="R368" s="387">
        <v>0.19</v>
      </c>
      <c r="S368" s="407">
        <f t="shared" si="65"/>
        <v>46410</v>
      </c>
      <c r="T368" s="92">
        <v>10</v>
      </c>
      <c r="U368" s="92">
        <f t="shared" si="61"/>
        <v>25</v>
      </c>
    </row>
    <row r="369" spans="1:21" ht="15" x14ac:dyDescent="0.3">
      <c r="A369" s="162">
        <v>5</v>
      </c>
      <c r="B369" s="327" t="s">
        <v>641</v>
      </c>
      <c r="C369" s="327" t="s">
        <v>448</v>
      </c>
      <c r="D369" s="327">
        <v>10151817</v>
      </c>
      <c r="E369" s="285">
        <v>95</v>
      </c>
      <c r="F369" s="408" t="s">
        <v>642</v>
      </c>
      <c r="G369" s="170" t="s">
        <v>261</v>
      </c>
      <c r="H369" s="170"/>
      <c r="I369" s="170"/>
      <c r="J369" s="162">
        <v>11</v>
      </c>
      <c r="K369" s="404">
        <v>53550</v>
      </c>
      <c r="L369" s="387">
        <v>0.19</v>
      </c>
      <c r="M369" s="405">
        <f t="shared" si="62"/>
        <v>589050</v>
      </c>
      <c r="N369" s="404">
        <v>53550</v>
      </c>
      <c r="O369" s="387">
        <v>0.19</v>
      </c>
      <c r="P369" s="401">
        <f t="shared" si="63"/>
        <v>589050</v>
      </c>
      <c r="Q369" s="406">
        <f t="shared" si="64"/>
        <v>53550</v>
      </c>
      <c r="R369" s="387">
        <v>0.19</v>
      </c>
      <c r="S369" s="407">
        <f t="shared" si="65"/>
        <v>589050</v>
      </c>
      <c r="T369" s="92">
        <v>10</v>
      </c>
      <c r="U369" s="92">
        <f t="shared" ref="U369:U399" si="66">T369+J369</f>
        <v>21</v>
      </c>
    </row>
    <row r="370" spans="1:21" ht="15" x14ac:dyDescent="0.3">
      <c r="A370" s="162">
        <v>5</v>
      </c>
      <c r="B370" s="327" t="s">
        <v>643</v>
      </c>
      <c r="C370" s="327" t="s">
        <v>448</v>
      </c>
      <c r="D370" s="327" t="s">
        <v>644</v>
      </c>
      <c r="E370" s="285">
        <v>96</v>
      </c>
      <c r="F370" s="408" t="s">
        <v>645</v>
      </c>
      <c r="G370" s="170" t="s">
        <v>646</v>
      </c>
      <c r="H370" s="170"/>
      <c r="I370" s="170"/>
      <c r="J370" s="162">
        <v>25</v>
      </c>
      <c r="K370" s="404">
        <v>3332</v>
      </c>
      <c r="L370" s="387">
        <v>0.19</v>
      </c>
      <c r="M370" s="405">
        <f t="shared" si="62"/>
        <v>83300</v>
      </c>
      <c r="N370" s="404">
        <v>3332</v>
      </c>
      <c r="O370" s="387">
        <v>0.19</v>
      </c>
      <c r="P370" s="401">
        <f t="shared" si="63"/>
        <v>83300</v>
      </c>
      <c r="Q370" s="406">
        <f t="shared" si="64"/>
        <v>3332</v>
      </c>
      <c r="R370" s="387">
        <v>0.19</v>
      </c>
      <c r="S370" s="407">
        <f t="shared" si="65"/>
        <v>83300</v>
      </c>
      <c r="T370" s="92">
        <v>10</v>
      </c>
      <c r="U370" s="92">
        <f t="shared" si="66"/>
        <v>35</v>
      </c>
    </row>
    <row r="371" spans="1:21" ht="15" x14ac:dyDescent="0.3">
      <c r="A371" s="162">
        <v>5</v>
      </c>
      <c r="B371" s="327" t="s">
        <v>647</v>
      </c>
      <c r="C371" s="327" t="s">
        <v>648</v>
      </c>
      <c r="D371" s="327" t="s">
        <v>649</v>
      </c>
      <c r="E371" s="162">
        <v>97</v>
      </c>
      <c r="F371" s="408" t="s">
        <v>650</v>
      </c>
      <c r="G371" s="170" t="s">
        <v>651</v>
      </c>
      <c r="H371" s="170"/>
      <c r="I371" s="170"/>
      <c r="J371" s="162">
        <v>11</v>
      </c>
      <c r="K371" s="404">
        <v>47600</v>
      </c>
      <c r="L371" s="387">
        <v>0.19</v>
      </c>
      <c r="M371" s="405">
        <f t="shared" si="62"/>
        <v>523600</v>
      </c>
      <c r="N371" s="404">
        <v>47600</v>
      </c>
      <c r="O371" s="387">
        <v>0.19</v>
      </c>
      <c r="P371" s="401">
        <f t="shared" si="63"/>
        <v>523600</v>
      </c>
      <c r="Q371" s="406">
        <f t="shared" si="64"/>
        <v>47600</v>
      </c>
      <c r="R371" s="387">
        <v>0.19</v>
      </c>
      <c r="S371" s="407">
        <f t="shared" si="65"/>
        <v>523600</v>
      </c>
      <c r="T371" s="92">
        <v>10</v>
      </c>
      <c r="U371" s="92">
        <f t="shared" si="66"/>
        <v>21</v>
      </c>
    </row>
    <row r="372" spans="1:21" ht="27.6" x14ac:dyDescent="0.3">
      <c r="A372" s="162">
        <v>5</v>
      </c>
      <c r="B372" s="327" t="s">
        <v>652</v>
      </c>
      <c r="C372" s="327" t="s">
        <v>448</v>
      </c>
      <c r="D372" s="327">
        <v>50151513</v>
      </c>
      <c r="E372" s="285">
        <v>98</v>
      </c>
      <c r="F372" s="408" t="s">
        <v>653</v>
      </c>
      <c r="G372" s="170" t="s">
        <v>654</v>
      </c>
      <c r="H372" s="170"/>
      <c r="I372" s="170"/>
      <c r="J372" s="162">
        <v>15</v>
      </c>
      <c r="K372" s="404">
        <v>46410</v>
      </c>
      <c r="L372" s="387">
        <v>0.19</v>
      </c>
      <c r="M372" s="405">
        <f t="shared" si="62"/>
        <v>696150</v>
      </c>
      <c r="N372" s="404">
        <v>46410</v>
      </c>
      <c r="O372" s="387">
        <v>0.19</v>
      </c>
      <c r="P372" s="401">
        <f t="shared" si="63"/>
        <v>696150</v>
      </c>
      <c r="Q372" s="406">
        <f t="shared" si="64"/>
        <v>46410</v>
      </c>
      <c r="R372" s="387">
        <v>0.19</v>
      </c>
      <c r="S372" s="407">
        <f t="shared" si="65"/>
        <v>696150</v>
      </c>
      <c r="T372" s="92">
        <v>10</v>
      </c>
      <c r="U372" s="92">
        <f t="shared" si="66"/>
        <v>25</v>
      </c>
    </row>
    <row r="373" spans="1:21" ht="15" x14ac:dyDescent="0.3">
      <c r="A373" s="162">
        <v>5</v>
      </c>
      <c r="B373" s="327" t="s">
        <v>655</v>
      </c>
      <c r="C373" s="327" t="s">
        <v>448</v>
      </c>
      <c r="D373" s="327" t="s">
        <v>656</v>
      </c>
      <c r="E373" s="285">
        <v>99</v>
      </c>
      <c r="F373" s="417" t="s">
        <v>657</v>
      </c>
      <c r="G373" s="170" t="s">
        <v>594</v>
      </c>
      <c r="H373" s="170"/>
      <c r="I373" s="170"/>
      <c r="J373" s="170">
        <v>11</v>
      </c>
      <c r="K373" s="404">
        <v>59500</v>
      </c>
      <c r="L373" s="387">
        <v>0.19</v>
      </c>
      <c r="M373" s="405">
        <f t="shared" si="62"/>
        <v>654500</v>
      </c>
      <c r="N373" s="404">
        <v>59500</v>
      </c>
      <c r="O373" s="387">
        <v>0.19</v>
      </c>
      <c r="P373" s="401">
        <f t="shared" si="63"/>
        <v>654500</v>
      </c>
      <c r="Q373" s="406">
        <f t="shared" si="64"/>
        <v>59500</v>
      </c>
      <c r="R373" s="387">
        <v>0.19</v>
      </c>
      <c r="S373" s="407">
        <f t="shared" si="65"/>
        <v>654500</v>
      </c>
      <c r="T373" s="92">
        <v>10</v>
      </c>
      <c r="U373" s="92">
        <f t="shared" si="66"/>
        <v>21</v>
      </c>
    </row>
    <row r="374" spans="1:21" ht="15" x14ac:dyDescent="0.3">
      <c r="A374" s="327">
        <v>5</v>
      </c>
      <c r="B374" s="327">
        <v>236667</v>
      </c>
      <c r="C374" s="327">
        <v>150192904</v>
      </c>
      <c r="D374" s="327">
        <v>50161509</v>
      </c>
      <c r="E374" s="285">
        <v>100</v>
      </c>
      <c r="F374" s="408" t="s">
        <v>658</v>
      </c>
      <c r="G374" s="170" t="s">
        <v>261</v>
      </c>
      <c r="H374" s="170"/>
      <c r="I374" s="170"/>
      <c r="J374" s="162">
        <v>30</v>
      </c>
      <c r="K374" s="404">
        <v>7140</v>
      </c>
      <c r="L374" s="387">
        <v>0.19</v>
      </c>
      <c r="M374" s="405">
        <f t="shared" si="62"/>
        <v>214200</v>
      </c>
      <c r="N374" s="404">
        <v>7140</v>
      </c>
      <c r="O374" s="387">
        <v>0.19</v>
      </c>
      <c r="P374" s="401">
        <f t="shared" si="63"/>
        <v>214200</v>
      </c>
      <c r="Q374" s="406">
        <f t="shared" si="64"/>
        <v>7140</v>
      </c>
      <c r="R374" s="387">
        <v>0.19</v>
      </c>
      <c r="S374" s="407">
        <f t="shared" si="65"/>
        <v>214200</v>
      </c>
      <c r="T374" s="92">
        <v>10</v>
      </c>
      <c r="U374" s="92">
        <f t="shared" si="66"/>
        <v>40</v>
      </c>
    </row>
    <row r="375" spans="1:21" ht="15" x14ac:dyDescent="0.3">
      <c r="A375" s="162">
        <v>5</v>
      </c>
      <c r="B375" s="327" t="s">
        <v>659</v>
      </c>
      <c r="C375" s="327" t="s">
        <v>448</v>
      </c>
      <c r="D375" s="327" t="s">
        <v>660</v>
      </c>
      <c r="E375" s="162">
        <v>101</v>
      </c>
      <c r="F375" s="408" t="s">
        <v>661</v>
      </c>
      <c r="G375" s="170" t="s">
        <v>261</v>
      </c>
      <c r="H375" s="170"/>
      <c r="I375" s="170"/>
      <c r="J375" s="162">
        <v>11</v>
      </c>
      <c r="K375" s="404">
        <v>7140</v>
      </c>
      <c r="L375" s="387">
        <v>0.19</v>
      </c>
      <c r="M375" s="405">
        <f t="shared" si="62"/>
        <v>78540</v>
      </c>
      <c r="N375" s="404">
        <v>7140</v>
      </c>
      <c r="O375" s="387">
        <v>0.19</v>
      </c>
      <c r="P375" s="401">
        <f t="shared" si="63"/>
        <v>78540</v>
      </c>
      <c r="Q375" s="406">
        <f t="shared" si="64"/>
        <v>7140</v>
      </c>
      <c r="R375" s="387">
        <v>0.19</v>
      </c>
      <c r="S375" s="407">
        <f t="shared" si="65"/>
        <v>78540</v>
      </c>
      <c r="T375" s="92">
        <v>10</v>
      </c>
      <c r="U375" s="92">
        <f t="shared" si="66"/>
        <v>21</v>
      </c>
    </row>
    <row r="376" spans="1:21" ht="15" x14ac:dyDescent="0.3">
      <c r="A376" s="162">
        <v>5</v>
      </c>
      <c r="B376" s="327" t="s">
        <v>662</v>
      </c>
      <c r="C376" s="327" t="s">
        <v>663</v>
      </c>
      <c r="D376" s="327">
        <v>24111503</v>
      </c>
      <c r="E376" s="285">
        <v>102</v>
      </c>
      <c r="F376" s="408" t="s">
        <v>664</v>
      </c>
      <c r="G376" s="170" t="s">
        <v>665</v>
      </c>
      <c r="H376" s="170"/>
      <c r="I376" s="170"/>
      <c r="J376" s="170">
        <v>12</v>
      </c>
      <c r="K376" s="404">
        <v>24990</v>
      </c>
      <c r="L376" s="387">
        <v>0.19</v>
      </c>
      <c r="M376" s="405">
        <f t="shared" si="62"/>
        <v>299880</v>
      </c>
      <c r="N376" s="404">
        <v>24990</v>
      </c>
      <c r="O376" s="387">
        <v>0.19</v>
      </c>
      <c r="P376" s="401">
        <f t="shared" si="63"/>
        <v>299880</v>
      </c>
      <c r="Q376" s="406">
        <f t="shared" si="64"/>
        <v>24990</v>
      </c>
      <c r="R376" s="387">
        <v>0.19</v>
      </c>
      <c r="S376" s="407">
        <f t="shared" si="65"/>
        <v>299880</v>
      </c>
      <c r="T376" s="92">
        <v>10</v>
      </c>
      <c r="U376" s="92">
        <f t="shared" si="66"/>
        <v>22</v>
      </c>
    </row>
    <row r="377" spans="1:21" ht="27.6" x14ac:dyDescent="0.3">
      <c r="A377" s="162">
        <v>5</v>
      </c>
      <c r="B377" s="327" t="s">
        <v>666</v>
      </c>
      <c r="C377" s="327" t="s">
        <v>663</v>
      </c>
      <c r="D377" s="327">
        <v>24111514</v>
      </c>
      <c r="E377" s="285">
        <v>103</v>
      </c>
      <c r="F377" s="408" t="s">
        <v>667</v>
      </c>
      <c r="G377" s="170" t="s">
        <v>665</v>
      </c>
      <c r="H377" s="170"/>
      <c r="I377" s="170"/>
      <c r="J377" s="170">
        <v>11</v>
      </c>
      <c r="K377" s="404">
        <v>38080</v>
      </c>
      <c r="L377" s="387">
        <v>0.19</v>
      </c>
      <c r="M377" s="405">
        <f t="shared" si="62"/>
        <v>418880</v>
      </c>
      <c r="N377" s="404">
        <v>38080</v>
      </c>
      <c r="O377" s="387">
        <v>0.19</v>
      </c>
      <c r="P377" s="401">
        <f t="shared" si="63"/>
        <v>418880</v>
      </c>
      <c r="Q377" s="406">
        <f t="shared" si="64"/>
        <v>38080</v>
      </c>
      <c r="R377" s="387">
        <v>0.19</v>
      </c>
      <c r="S377" s="407">
        <f t="shared" si="65"/>
        <v>418880</v>
      </c>
      <c r="T377" s="92">
        <v>10</v>
      </c>
      <c r="U377" s="92">
        <f t="shared" si="66"/>
        <v>21</v>
      </c>
    </row>
    <row r="378" spans="1:21" ht="15" x14ac:dyDescent="0.3">
      <c r="A378" s="162"/>
      <c r="B378" s="327" t="s">
        <v>668</v>
      </c>
      <c r="C378" s="327" t="s">
        <v>628</v>
      </c>
      <c r="D378" s="327">
        <v>50121612</v>
      </c>
      <c r="E378" s="285">
        <v>104</v>
      </c>
      <c r="F378" s="408" t="s">
        <v>669</v>
      </c>
      <c r="G378" s="170" t="s">
        <v>261</v>
      </c>
      <c r="H378" s="170"/>
      <c r="I378" s="170"/>
      <c r="J378" s="162">
        <v>15</v>
      </c>
      <c r="K378" s="404">
        <v>49000</v>
      </c>
      <c r="L378" s="387">
        <v>0.19</v>
      </c>
      <c r="M378" s="405">
        <f t="shared" si="62"/>
        <v>735000</v>
      </c>
      <c r="N378" s="404">
        <v>49000</v>
      </c>
      <c r="O378" s="387">
        <v>0.19</v>
      </c>
      <c r="P378" s="401">
        <f t="shared" si="63"/>
        <v>735000</v>
      </c>
      <c r="Q378" s="406">
        <f t="shared" si="64"/>
        <v>49000</v>
      </c>
      <c r="R378" s="387">
        <v>0.19</v>
      </c>
      <c r="S378" s="407">
        <f t="shared" si="65"/>
        <v>735000</v>
      </c>
      <c r="T378" s="92">
        <v>10</v>
      </c>
      <c r="U378" s="92">
        <f t="shared" si="66"/>
        <v>25</v>
      </c>
    </row>
    <row r="379" spans="1:21" ht="15" x14ac:dyDescent="0.3">
      <c r="A379" s="162"/>
      <c r="B379" s="327" t="s">
        <v>267</v>
      </c>
      <c r="C379" s="327" t="s">
        <v>628</v>
      </c>
      <c r="D379" s="327">
        <v>50121612</v>
      </c>
      <c r="E379" s="162">
        <v>105</v>
      </c>
      <c r="F379" s="408" t="s">
        <v>670</v>
      </c>
      <c r="G379" s="170" t="s">
        <v>261</v>
      </c>
      <c r="H379" s="170"/>
      <c r="I379" s="170"/>
      <c r="J379" s="162">
        <v>16</v>
      </c>
      <c r="K379" s="404">
        <v>62000</v>
      </c>
      <c r="L379" s="387">
        <v>0.19</v>
      </c>
      <c r="M379" s="405">
        <f t="shared" si="62"/>
        <v>992000</v>
      </c>
      <c r="N379" s="404">
        <v>62000</v>
      </c>
      <c r="O379" s="387">
        <v>0.19</v>
      </c>
      <c r="P379" s="401">
        <f t="shared" si="63"/>
        <v>992000</v>
      </c>
      <c r="Q379" s="406">
        <f t="shared" si="64"/>
        <v>62000</v>
      </c>
      <c r="R379" s="387">
        <v>0.19</v>
      </c>
      <c r="S379" s="407">
        <f t="shared" si="65"/>
        <v>992000</v>
      </c>
      <c r="T379" s="92">
        <v>10</v>
      </c>
      <c r="U379" s="92">
        <f t="shared" si="66"/>
        <v>26</v>
      </c>
    </row>
    <row r="380" spans="1:21" ht="27.6" x14ac:dyDescent="0.3">
      <c r="A380" s="162">
        <v>5</v>
      </c>
      <c r="B380" s="327" t="s">
        <v>671</v>
      </c>
      <c r="C380" s="327" t="s">
        <v>672</v>
      </c>
      <c r="D380" s="414">
        <v>31181701</v>
      </c>
      <c r="E380" s="285">
        <v>106</v>
      </c>
      <c r="F380" s="418" t="s">
        <v>673</v>
      </c>
      <c r="G380" s="170" t="s">
        <v>674</v>
      </c>
      <c r="H380" s="170"/>
      <c r="I380" s="170"/>
      <c r="J380" s="162">
        <v>11</v>
      </c>
      <c r="K380" s="404">
        <v>17850</v>
      </c>
      <c r="L380" s="387">
        <v>0.19</v>
      </c>
      <c r="M380" s="405">
        <f t="shared" si="62"/>
        <v>196350</v>
      </c>
      <c r="N380" s="404">
        <v>17850</v>
      </c>
      <c r="O380" s="387">
        <v>0.19</v>
      </c>
      <c r="P380" s="401">
        <f t="shared" si="63"/>
        <v>196350</v>
      </c>
      <c r="Q380" s="406">
        <f t="shared" si="64"/>
        <v>17850</v>
      </c>
      <c r="R380" s="387">
        <v>0.19</v>
      </c>
      <c r="S380" s="407">
        <f t="shared" si="65"/>
        <v>196350</v>
      </c>
      <c r="T380" s="92">
        <v>10</v>
      </c>
      <c r="U380" s="92">
        <f t="shared" si="66"/>
        <v>21</v>
      </c>
    </row>
    <row r="381" spans="1:21" ht="15" x14ac:dyDescent="0.3">
      <c r="A381" s="162">
        <v>5</v>
      </c>
      <c r="B381" s="327" t="s">
        <v>675</v>
      </c>
      <c r="C381" s="327" t="s">
        <v>448</v>
      </c>
      <c r="D381" s="327">
        <v>12171504</v>
      </c>
      <c r="E381" s="285">
        <v>107</v>
      </c>
      <c r="F381" s="408" t="s">
        <v>676</v>
      </c>
      <c r="G381" s="170" t="s">
        <v>677</v>
      </c>
      <c r="H381" s="170"/>
      <c r="I381" s="170"/>
      <c r="J381" s="162">
        <v>11</v>
      </c>
      <c r="K381" s="404">
        <v>23800</v>
      </c>
      <c r="L381" s="387">
        <v>0.19</v>
      </c>
      <c r="M381" s="405">
        <f t="shared" si="62"/>
        <v>261800</v>
      </c>
      <c r="N381" s="404">
        <v>23800</v>
      </c>
      <c r="O381" s="387">
        <v>0.19</v>
      </c>
      <c r="P381" s="401">
        <f t="shared" si="63"/>
        <v>261800</v>
      </c>
      <c r="Q381" s="406">
        <f t="shared" si="64"/>
        <v>23800</v>
      </c>
      <c r="R381" s="387">
        <v>0.19</v>
      </c>
      <c r="S381" s="407">
        <f t="shared" si="65"/>
        <v>261800</v>
      </c>
      <c r="T381" s="92">
        <v>10</v>
      </c>
      <c r="U381" s="92">
        <f t="shared" si="66"/>
        <v>21</v>
      </c>
    </row>
    <row r="382" spans="1:21" ht="15" x14ac:dyDescent="0.3">
      <c r="A382" s="162">
        <v>5</v>
      </c>
      <c r="B382" s="327" t="s">
        <v>270</v>
      </c>
      <c r="C382" s="327" t="s">
        <v>482</v>
      </c>
      <c r="D382" s="327">
        <v>50111514</v>
      </c>
      <c r="E382" s="285">
        <v>108</v>
      </c>
      <c r="F382" s="408" t="s">
        <v>678</v>
      </c>
      <c r="G382" s="170" t="s">
        <v>261</v>
      </c>
      <c r="H382" s="170"/>
      <c r="I382" s="170"/>
      <c r="J382" s="162">
        <v>30</v>
      </c>
      <c r="K382" s="404">
        <v>21420</v>
      </c>
      <c r="L382" s="387">
        <v>0.19</v>
      </c>
      <c r="M382" s="405">
        <f t="shared" si="62"/>
        <v>642600</v>
      </c>
      <c r="N382" s="404">
        <v>21420</v>
      </c>
      <c r="O382" s="387">
        <v>0.19</v>
      </c>
      <c r="P382" s="401">
        <f t="shared" si="63"/>
        <v>642600</v>
      </c>
      <c r="Q382" s="406">
        <f t="shared" si="64"/>
        <v>21420</v>
      </c>
      <c r="R382" s="387">
        <v>0.19</v>
      </c>
      <c r="S382" s="407">
        <f t="shared" si="65"/>
        <v>642600</v>
      </c>
      <c r="T382" s="92">
        <v>10</v>
      </c>
      <c r="U382" s="92">
        <f t="shared" si="66"/>
        <v>40</v>
      </c>
    </row>
    <row r="383" spans="1:21" ht="27.6" x14ac:dyDescent="0.3">
      <c r="A383" s="162">
        <v>5</v>
      </c>
      <c r="B383" s="327" t="s">
        <v>679</v>
      </c>
      <c r="C383" s="327" t="s">
        <v>448</v>
      </c>
      <c r="D383" s="327">
        <v>50130000</v>
      </c>
      <c r="E383" s="162">
        <v>109</v>
      </c>
      <c r="F383" s="408" t="s">
        <v>680</v>
      </c>
      <c r="G383" s="170" t="s">
        <v>134</v>
      </c>
      <c r="H383" s="170"/>
      <c r="I383" s="170"/>
      <c r="J383" s="162">
        <v>20</v>
      </c>
      <c r="K383" s="404">
        <v>26180</v>
      </c>
      <c r="L383" s="387">
        <v>0.19</v>
      </c>
      <c r="M383" s="405">
        <f t="shared" si="62"/>
        <v>523600</v>
      </c>
      <c r="N383" s="404">
        <v>26180</v>
      </c>
      <c r="O383" s="387">
        <v>0.19</v>
      </c>
      <c r="P383" s="401">
        <f t="shared" si="63"/>
        <v>523600</v>
      </c>
      <c r="Q383" s="406">
        <f t="shared" si="64"/>
        <v>26180</v>
      </c>
      <c r="R383" s="387">
        <v>0.19</v>
      </c>
      <c r="S383" s="407">
        <f t="shared" si="65"/>
        <v>523600</v>
      </c>
      <c r="T383" s="92">
        <v>10</v>
      </c>
      <c r="U383" s="92">
        <f t="shared" si="66"/>
        <v>30</v>
      </c>
    </row>
    <row r="384" spans="1:21" ht="27.6" x14ac:dyDescent="0.3">
      <c r="A384" s="162">
        <v>5</v>
      </c>
      <c r="B384" s="327" t="s">
        <v>681</v>
      </c>
      <c r="C384" s="327" t="s">
        <v>682</v>
      </c>
      <c r="D384" s="327" t="s">
        <v>683</v>
      </c>
      <c r="E384" s="285">
        <v>110</v>
      </c>
      <c r="F384" s="408" t="s">
        <v>684</v>
      </c>
      <c r="G384" s="170" t="s">
        <v>685</v>
      </c>
      <c r="H384" s="170"/>
      <c r="I384" s="170"/>
      <c r="J384" s="170">
        <v>11</v>
      </c>
      <c r="K384" s="404">
        <v>35700</v>
      </c>
      <c r="L384" s="387">
        <v>0.19</v>
      </c>
      <c r="M384" s="405">
        <f t="shared" si="62"/>
        <v>392700</v>
      </c>
      <c r="N384" s="404">
        <v>35700</v>
      </c>
      <c r="O384" s="387">
        <v>0.19</v>
      </c>
      <c r="P384" s="401">
        <f t="shared" si="63"/>
        <v>392700</v>
      </c>
      <c r="Q384" s="406">
        <f t="shared" si="64"/>
        <v>35700</v>
      </c>
      <c r="R384" s="387">
        <v>0.19</v>
      </c>
      <c r="S384" s="407">
        <f t="shared" si="65"/>
        <v>392700</v>
      </c>
      <c r="T384" s="92">
        <v>10</v>
      </c>
      <c r="U384" s="92">
        <f t="shared" si="66"/>
        <v>21</v>
      </c>
    </row>
    <row r="385" spans="1:21" ht="27.6" x14ac:dyDescent="0.3">
      <c r="A385" s="162">
        <v>5</v>
      </c>
      <c r="B385" s="327" t="s">
        <v>686</v>
      </c>
      <c r="C385" s="327" t="s">
        <v>448</v>
      </c>
      <c r="D385" s="327">
        <v>50192401</v>
      </c>
      <c r="E385" s="285">
        <v>111</v>
      </c>
      <c r="F385" s="408" t="s">
        <v>687</v>
      </c>
      <c r="G385" s="170" t="s">
        <v>688</v>
      </c>
      <c r="H385" s="170"/>
      <c r="I385" s="170"/>
      <c r="J385" s="162">
        <v>12</v>
      </c>
      <c r="K385" s="404">
        <v>17850</v>
      </c>
      <c r="L385" s="387">
        <v>0.19</v>
      </c>
      <c r="M385" s="405">
        <f t="shared" si="62"/>
        <v>214200</v>
      </c>
      <c r="N385" s="404">
        <v>17850</v>
      </c>
      <c r="O385" s="387">
        <v>0.19</v>
      </c>
      <c r="P385" s="401">
        <f t="shared" si="63"/>
        <v>214200</v>
      </c>
      <c r="Q385" s="406">
        <f t="shared" si="64"/>
        <v>17850</v>
      </c>
      <c r="R385" s="387">
        <v>0.19</v>
      </c>
      <c r="S385" s="407">
        <f t="shared" si="65"/>
        <v>214200</v>
      </c>
      <c r="T385" s="92">
        <v>10</v>
      </c>
      <c r="U385" s="92">
        <f t="shared" si="66"/>
        <v>22</v>
      </c>
    </row>
    <row r="386" spans="1:21" ht="15" x14ac:dyDescent="0.3">
      <c r="A386" s="162">
        <v>5</v>
      </c>
      <c r="B386" s="327" t="s">
        <v>689</v>
      </c>
      <c r="C386" s="327" t="s">
        <v>426</v>
      </c>
      <c r="D386" s="327" t="s">
        <v>690</v>
      </c>
      <c r="E386" s="285">
        <v>112</v>
      </c>
      <c r="F386" s="408" t="s">
        <v>691</v>
      </c>
      <c r="G386" s="170" t="s">
        <v>692</v>
      </c>
      <c r="H386" s="170"/>
      <c r="I386" s="170"/>
      <c r="J386" s="162">
        <v>11</v>
      </c>
      <c r="K386" s="404">
        <v>19040</v>
      </c>
      <c r="L386" s="387">
        <v>0.19</v>
      </c>
      <c r="M386" s="405">
        <f t="shared" si="62"/>
        <v>209440</v>
      </c>
      <c r="N386" s="404">
        <v>19040</v>
      </c>
      <c r="O386" s="387">
        <v>0.19</v>
      </c>
      <c r="P386" s="401">
        <f t="shared" si="63"/>
        <v>209440</v>
      </c>
      <c r="Q386" s="406">
        <f t="shared" si="64"/>
        <v>19040</v>
      </c>
      <c r="R386" s="387">
        <v>0.19</v>
      </c>
      <c r="S386" s="407">
        <f t="shared" si="65"/>
        <v>209440</v>
      </c>
      <c r="T386" s="92">
        <v>10</v>
      </c>
      <c r="U386" s="92">
        <f t="shared" si="66"/>
        <v>21</v>
      </c>
    </row>
    <row r="387" spans="1:21" ht="15" x14ac:dyDescent="0.3">
      <c r="A387" s="162">
        <v>5</v>
      </c>
      <c r="B387" s="327" t="s">
        <v>693</v>
      </c>
      <c r="C387" s="327" t="s">
        <v>426</v>
      </c>
      <c r="D387" s="327">
        <v>12164502</v>
      </c>
      <c r="E387" s="162">
        <v>113</v>
      </c>
      <c r="F387" s="408" t="s">
        <v>694</v>
      </c>
      <c r="G387" s="170" t="s">
        <v>692</v>
      </c>
      <c r="H387" s="170"/>
      <c r="I387" s="170"/>
      <c r="J387" s="162">
        <v>11</v>
      </c>
      <c r="K387" s="404">
        <v>19040</v>
      </c>
      <c r="L387" s="387">
        <v>0.19</v>
      </c>
      <c r="M387" s="405">
        <f t="shared" si="62"/>
        <v>209440</v>
      </c>
      <c r="N387" s="404">
        <v>19040</v>
      </c>
      <c r="O387" s="387">
        <v>0.19</v>
      </c>
      <c r="P387" s="401">
        <f t="shared" si="63"/>
        <v>209440</v>
      </c>
      <c r="Q387" s="406">
        <f t="shared" si="64"/>
        <v>19040</v>
      </c>
      <c r="R387" s="387">
        <v>0.19</v>
      </c>
      <c r="S387" s="407">
        <f t="shared" si="65"/>
        <v>209440</v>
      </c>
      <c r="T387" s="92">
        <v>10</v>
      </c>
      <c r="U387" s="92">
        <f t="shared" si="66"/>
        <v>21</v>
      </c>
    </row>
    <row r="388" spans="1:21" ht="15" x14ac:dyDescent="0.3">
      <c r="A388" s="162">
        <v>5</v>
      </c>
      <c r="B388" s="327" t="s">
        <v>695</v>
      </c>
      <c r="C388" s="327" t="s">
        <v>426</v>
      </c>
      <c r="D388" s="327">
        <v>12164502</v>
      </c>
      <c r="E388" s="285">
        <v>114</v>
      </c>
      <c r="F388" s="408" t="s">
        <v>696</v>
      </c>
      <c r="G388" s="170" t="s">
        <v>692</v>
      </c>
      <c r="H388" s="170"/>
      <c r="I388" s="170"/>
      <c r="J388" s="162">
        <v>11</v>
      </c>
      <c r="K388" s="404">
        <v>19040</v>
      </c>
      <c r="L388" s="387">
        <v>0.19</v>
      </c>
      <c r="M388" s="405">
        <f t="shared" si="62"/>
        <v>209440</v>
      </c>
      <c r="N388" s="404">
        <v>19040</v>
      </c>
      <c r="O388" s="387">
        <v>0.19</v>
      </c>
      <c r="P388" s="401">
        <f t="shared" si="63"/>
        <v>209440</v>
      </c>
      <c r="Q388" s="406">
        <f t="shared" si="64"/>
        <v>19040</v>
      </c>
      <c r="R388" s="387">
        <v>0.19</v>
      </c>
      <c r="S388" s="407">
        <f t="shared" si="65"/>
        <v>209440</v>
      </c>
      <c r="T388" s="92">
        <v>10</v>
      </c>
      <c r="U388" s="92">
        <f t="shared" si="66"/>
        <v>21</v>
      </c>
    </row>
    <row r="389" spans="1:21" ht="15" x14ac:dyDescent="0.3">
      <c r="A389" s="162">
        <v>5</v>
      </c>
      <c r="B389" s="327" t="s">
        <v>697</v>
      </c>
      <c r="C389" s="327" t="s">
        <v>426</v>
      </c>
      <c r="D389" s="327">
        <v>12164502</v>
      </c>
      <c r="E389" s="285">
        <v>115</v>
      </c>
      <c r="F389" s="408" t="s">
        <v>698</v>
      </c>
      <c r="G389" s="170" t="s">
        <v>692</v>
      </c>
      <c r="H389" s="170"/>
      <c r="I389" s="170"/>
      <c r="J389" s="162">
        <v>11</v>
      </c>
      <c r="K389" s="404">
        <v>19040</v>
      </c>
      <c r="L389" s="387">
        <v>0.19</v>
      </c>
      <c r="M389" s="405">
        <f t="shared" si="62"/>
        <v>209440</v>
      </c>
      <c r="N389" s="404">
        <v>19040</v>
      </c>
      <c r="O389" s="387">
        <v>0.19</v>
      </c>
      <c r="P389" s="401">
        <f t="shared" si="63"/>
        <v>209440</v>
      </c>
      <c r="Q389" s="406">
        <f t="shared" si="64"/>
        <v>19040</v>
      </c>
      <c r="R389" s="387">
        <v>0.19</v>
      </c>
      <c r="S389" s="407">
        <f t="shared" si="65"/>
        <v>209440</v>
      </c>
      <c r="T389" s="92">
        <v>10</v>
      </c>
      <c r="U389" s="92">
        <f t="shared" si="66"/>
        <v>21</v>
      </c>
    </row>
    <row r="390" spans="1:21" ht="15" x14ac:dyDescent="0.3">
      <c r="A390" s="162">
        <v>5</v>
      </c>
      <c r="B390" s="327" t="s">
        <v>699</v>
      </c>
      <c r="C390" s="327" t="s">
        <v>426</v>
      </c>
      <c r="D390" s="327">
        <v>12164502</v>
      </c>
      <c r="E390" s="285">
        <v>116</v>
      </c>
      <c r="F390" s="408" t="s">
        <v>700</v>
      </c>
      <c r="G390" s="170" t="s">
        <v>692</v>
      </c>
      <c r="H390" s="170"/>
      <c r="I390" s="170"/>
      <c r="J390" s="162">
        <v>11</v>
      </c>
      <c r="K390" s="404">
        <v>19040</v>
      </c>
      <c r="L390" s="387">
        <v>0.19</v>
      </c>
      <c r="M390" s="405">
        <f t="shared" si="62"/>
        <v>209440</v>
      </c>
      <c r="N390" s="404">
        <v>19040</v>
      </c>
      <c r="O390" s="387">
        <v>0.19</v>
      </c>
      <c r="P390" s="401">
        <f t="shared" si="63"/>
        <v>209440</v>
      </c>
      <c r="Q390" s="406">
        <f t="shared" si="64"/>
        <v>19040</v>
      </c>
      <c r="R390" s="387">
        <v>0.19</v>
      </c>
      <c r="S390" s="407">
        <f t="shared" si="65"/>
        <v>209440</v>
      </c>
      <c r="T390" s="92">
        <v>10</v>
      </c>
      <c r="U390" s="92">
        <f t="shared" si="66"/>
        <v>21</v>
      </c>
    </row>
    <row r="391" spans="1:21" ht="15" x14ac:dyDescent="0.3">
      <c r="A391" s="162">
        <v>5</v>
      </c>
      <c r="B391" s="327" t="s">
        <v>701</v>
      </c>
      <c r="C391" s="327" t="s">
        <v>426</v>
      </c>
      <c r="D391" s="327">
        <v>12164502</v>
      </c>
      <c r="E391" s="162">
        <v>117</v>
      </c>
      <c r="F391" s="408" t="s">
        <v>702</v>
      </c>
      <c r="G391" s="170" t="s">
        <v>692</v>
      </c>
      <c r="H391" s="170"/>
      <c r="I391" s="170"/>
      <c r="J391" s="162">
        <v>11</v>
      </c>
      <c r="K391" s="404">
        <v>19040</v>
      </c>
      <c r="L391" s="387">
        <v>0.19</v>
      </c>
      <c r="M391" s="405">
        <f t="shared" si="62"/>
        <v>209440</v>
      </c>
      <c r="N391" s="404">
        <v>19040</v>
      </c>
      <c r="O391" s="387">
        <v>0.19</v>
      </c>
      <c r="P391" s="401">
        <f t="shared" si="63"/>
        <v>209440</v>
      </c>
      <c r="Q391" s="406">
        <f t="shared" si="64"/>
        <v>19040</v>
      </c>
      <c r="R391" s="387">
        <v>0.19</v>
      </c>
      <c r="S391" s="407">
        <f t="shared" si="65"/>
        <v>209440</v>
      </c>
      <c r="T391" s="92">
        <v>10</v>
      </c>
      <c r="U391" s="92">
        <f t="shared" si="66"/>
        <v>21</v>
      </c>
    </row>
    <row r="392" spans="1:21" ht="15" x14ac:dyDescent="0.3">
      <c r="A392" s="162">
        <v>5</v>
      </c>
      <c r="B392" s="419" t="s">
        <v>703</v>
      </c>
      <c r="C392" s="419" t="s">
        <v>704</v>
      </c>
      <c r="D392" s="414">
        <v>47121803</v>
      </c>
      <c r="E392" s="285">
        <v>118</v>
      </c>
      <c r="F392" s="417" t="s">
        <v>705</v>
      </c>
      <c r="G392" s="170" t="s">
        <v>706</v>
      </c>
      <c r="H392" s="170"/>
      <c r="I392" s="170"/>
      <c r="J392" s="162">
        <v>11</v>
      </c>
      <c r="K392" s="404">
        <v>47600</v>
      </c>
      <c r="L392" s="387">
        <v>0.19</v>
      </c>
      <c r="M392" s="405">
        <f t="shared" si="62"/>
        <v>523600</v>
      </c>
      <c r="N392" s="404">
        <v>47600</v>
      </c>
      <c r="O392" s="387">
        <v>0.19</v>
      </c>
      <c r="P392" s="401">
        <f t="shared" si="63"/>
        <v>523600</v>
      </c>
      <c r="Q392" s="406">
        <f t="shared" si="64"/>
        <v>47600</v>
      </c>
      <c r="R392" s="387">
        <v>0.19</v>
      </c>
      <c r="S392" s="407">
        <f t="shared" si="65"/>
        <v>523600</v>
      </c>
      <c r="T392" s="92">
        <v>10</v>
      </c>
      <c r="U392" s="92">
        <f t="shared" si="66"/>
        <v>21</v>
      </c>
    </row>
    <row r="393" spans="1:21" ht="15" x14ac:dyDescent="0.3">
      <c r="A393" s="162">
        <v>5</v>
      </c>
      <c r="B393" s="327" t="s">
        <v>707</v>
      </c>
      <c r="C393" s="327" t="s">
        <v>448</v>
      </c>
      <c r="D393" s="327">
        <v>50320000</v>
      </c>
      <c r="E393" s="285">
        <v>119</v>
      </c>
      <c r="F393" s="416" t="s">
        <v>708</v>
      </c>
      <c r="G393" s="170" t="s">
        <v>586</v>
      </c>
      <c r="H393" s="170"/>
      <c r="I393" s="170"/>
      <c r="J393" s="162">
        <v>12</v>
      </c>
      <c r="K393" s="404">
        <v>13090</v>
      </c>
      <c r="L393" s="387">
        <v>0.19</v>
      </c>
      <c r="M393" s="405">
        <f t="shared" si="62"/>
        <v>157080</v>
      </c>
      <c r="N393" s="404">
        <v>13090</v>
      </c>
      <c r="O393" s="387">
        <v>0.19</v>
      </c>
      <c r="P393" s="401">
        <f t="shared" si="63"/>
        <v>157080</v>
      </c>
      <c r="Q393" s="406">
        <f t="shared" si="64"/>
        <v>13090</v>
      </c>
      <c r="R393" s="387">
        <v>0.19</v>
      </c>
      <c r="S393" s="407">
        <f t="shared" si="65"/>
        <v>157080</v>
      </c>
      <c r="T393" s="92">
        <v>10</v>
      </c>
      <c r="U393" s="92">
        <f t="shared" si="66"/>
        <v>22</v>
      </c>
    </row>
    <row r="394" spans="1:21" ht="27.6" x14ac:dyDescent="0.3">
      <c r="A394" s="162">
        <v>5</v>
      </c>
      <c r="B394" s="327" t="s">
        <v>709</v>
      </c>
      <c r="C394" s="327" t="s">
        <v>710</v>
      </c>
      <c r="D394" s="327">
        <v>42132203</v>
      </c>
      <c r="E394" s="285">
        <v>120</v>
      </c>
      <c r="F394" s="408" t="s">
        <v>711</v>
      </c>
      <c r="G394" s="170" t="s">
        <v>712</v>
      </c>
      <c r="H394" s="170"/>
      <c r="I394" s="170"/>
      <c r="J394" s="170">
        <v>11</v>
      </c>
      <c r="K394" s="404">
        <v>77350</v>
      </c>
      <c r="L394" s="387">
        <v>0.19</v>
      </c>
      <c r="M394" s="405">
        <f t="shared" si="62"/>
        <v>850850</v>
      </c>
      <c r="N394" s="404">
        <v>77350</v>
      </c>
      <c r="O394" s="387">
        <v>0.19</v>
      </c>
      <c r="P394" s="401">
        <f t="shared" si="63"/>
        <v>850850</v>
      </c>
      <c r="Q394" s="406">
        <f t="shared" si="64"/>
        <v>77350</v>
      </c>
      <c r="R394" s="387">
        <v>0.19</v>
      </c>
      <c r="S394" s="407">
        <f t="shared" si="65"/>
        <v>850850</v>
      </c>
      <c r="T394" s="92">
        <v>10</v>
      </c>
      <c r="U394" s="92">
        <f t="shared" si="66"/>
        <v>21</v>
      </c>
    </row>
    <row r="395" spans="1:21" ht="27.6" x14ac:dyDescent="0.3">
      <c r="A395" s="162">
        <v>5</v>
      </c>
      <c r="B395" s="327" t="s">
        <v>713</v>
      </c>
      <c r="C395" s="327" t="s">
        <v>710</v>
      </c>
      <c r="D395" s="327">
        <v>42132203</v>
      </c>
      <c r="E395" s="162">
        <v>121</v>
      </c>
      <c r="F395" s="408" t="s">
        <v>714</v>
      </c>
      <c r="G395" s="170" t="s">
        <v>712</v>
      </c>
      <c r="H395" s="170"/>
      <c r="I395" s="170"/>
      <c r="J395" s="170">
        <v>11</v>
      </c>
      <c r="K395" s="404">
        <v>77350</v>
      </c>
      <c r="L395" s="387">
        <v>0.19</v>
      </c>
      <c r="M395" s="405">
        <f t="shared" si="62"/>
        <v>850850</v>
      </c>
      <c r="N395" s="404">
        <v>77350</v>
      </c>
      <c r="O395" s="387">
        <v>0.19</v>
      </c>
      <c r="P395" s="401">
        <f t="shared" si="63"/>
        <v>850850</v>
      </c>
      <c r="Q395" s="406">
        <f t="shared" si="64"/>
        <v>77350</v>
      </c>
      <c r="R395" s="387">
        <v>0.19</v>
      </c>
      <c r="S395" s="407">
        <f t="shared" si="65"/>
        <v>850850</v>
      </c>
      <c r="T395" s="92">
        <v>10</v>
      </c>
      <c r="U395" s="92">
        <f t="shared" si="66"/>
        <v>21</v>
      </c>
    </row>
    <row r="396" spans="1:21" ht="27.6" x14ac:dyDescent="0.3">
      <c r="A396" s="162">
        <v>5</v>
      </c>
      <c r="B396" s="327" t="s">
        <v>715</v>
      </c>
      <c r="C396" s="327" t="s">
        <v>448</v>
      </c>
      <c r="D396" s="327">
        <v>50221002</v>
      </c>
      <c r="E396" s="285">
        <v>122</v>
      </c>
      <c r="F396" s="408" t="s">
        <v>716</v>
      </c>
      <c r="G396" s="170" t="s">
        <v>261</v>
      </c>
      <c r="H396" s="170"/>
      <c r="I396" s="170"/>
      <c r="J396" s="162">
        <v>60</v>
      </c>
      <c r="K396" s="404">
        <v>6961.5</v>
      </c>
      <c r="L396" s="387">
        <v>0.19</v>
      </c>
      <c r="M396" s="405">
        <f t="shared" si="62"/>
        <v>417690</v>
      </c>
      <c r="N396" s="404">
        <v>6962</v>
      </c>
      <c r="O396" s="387">
        <v>0.19</v>
      </c>
      <c r="P396" s="401">
        <f t="shared" si="63"/>
        <v>417720</v>
      </c>
      <c r="Q396" s="406">
        <f t="shared" si="64"/>
        <v>6961.75</v>
      </c>
      <c r="R396" s="387">
        <v>0.19</v>
      </c>
      <c r="S396" s="407">
        <f t="shared" si="65"/>
        <v>417705</v>
      </c>
      <c r="T396" s="92">
        <v>10</v>
      </c>
      <c r="U396" s="92">
        <f t="shared" si="66"/>
        <v>70</v>
      </c>
    </row>
    <row r="397" spans="1:21" ht="27.6" x14ac:dyDescent="0.3">
      <c r="A397" s="162">
        <v>5</v>
      </c>
      <c r="B397" s="327" t="s">
        <v>717</v>
      </c>
      <c r="C397" s="327" t="s">
        <v>718</v>
      </c>
      <c r="D397" s="414">
        <v>47131807</v>
      </c>
      <c r="E397" s="285">
        <v>123</v>
      </c>
      <c r="F397" s="223" t="s">
        <v>719</v>
      </c>
      <c r="G397" s="170" t="s">
        <v>720</v>
      </c>
      <c r="H397" s="170"/>
      <c r="I397" s="170"/>
      <c r="J397" s="162">
        <v>13</v>
      </c>
      <c r="K397" s="404">
        <v>29750</v>
      </c>
      <c r="L397" s="387">
        <v>0.19</v>
      </c>
      <c r="M397" s="405">
        <f t="shared" si="62"/>
        <v>386750</v>
      </c>
      <c r="N397" s="404">
        <v>29750</v>
      </c>
      <c r="O397" s="387">
        <v>0.19</v>
      </c>
      <c r="P397" s="401">
        <f t="shared" si="63"/>
        <v>386750</v>
      </c>
      <c r="Q397" s="406">
        <f t="shared" si="64"/>
        <v>29750</v>
      </c>
      <c r="R397" s="387">
        <v>0.19</v>
      </c>
      <c r="S397" s="407">
        <f t="shared" si="65"/>
        <v>386750</v>
      </c>
      <c r="T397" s="92">
        <v>10</v>
      </c>
      <c r="U397" s="92">
        <f t="shared" si="66"/>
        <v>23</v>
      </c>
    </row>
    <row r="398" spans="1:21" ht="15" x14ac:dyDescent="0.3">
      <c r="A398" s="162">
        <v>5</v>
      </c>
      <c r="B398" s="327" t="s">
        <v>721</v>
      </c>
      <c r="C398" s="327" t="s">
        <v>722</v>
      </c>
      <c r="D398" s="327" t="s">
        <v>723</v>
      </c>
      <c r="E398" s="285">
        <v>124</v>
      </c>
      <c r="F398" s="416" t="s">
        <v>724</v>
      </c>
      <c r="G398" s="170" t="s">
        <v>25</v>
      </c>
      <c r="H398" s="170"/>
      <c r="I398" s="170"/>
      <c r="J398" s="162">
        <v>610</v>
      </c>
      <c r="K398" s="404">
        <v>773.5</v>
      </c>
      <c r="L398" s="387">
        <v>0.19</v>
      </c>
      <c r="M398" s="405">
        <f t="shared" si="62"/>
        <v>471835</v>
      </c>
      <c r="N398" s="404">
        <v>774</v>
      </c>
      <c r="O398" s="387">
        <v>0.19</v>
      </c>
      <c r="P398" s="401">
        <f t="shared" si="63"/>
        <v>472140</v>
      </c>
      <c r="Q398" s="406">
        <f t="shared" si="64"/>
        <v>773.75</v>
      </c>
      <c r="R398" s="387">
        <v>0.19</v>
      </c>
      <c r="S398" s="407">
        <f t="shared" si="65"/>
        <v>471987.5</v>
      </c>
      <c r="T398" s="92">
        <v>10</v>
      </c>
      <c r="U398" s="92">
        <f t="shared" si="66"/>
        <v>620</v>
      </c>
    </row>
    <row r="399" spans="1:21" ht="15" x14ac:dyDescent="0.3">
      <c r="A399" s="724"/>
      <c r="B399" s="724"/>
      <c r="C399" s="724"/>
      <c r="D399" s="724"/>
      <c r="E399" s="724"/>
      <c r="F399" s="724"/>
      <c r="G399" s="724"/>
      <c r="H399" s="724"/>
      <c r="I399" s="724"/>
      <c r="J399" s="724"/>
      <c r="K399" s="724"/>
      <c r="L399" s="724"/>
      <c r="M399" s="405">
        <f>SUM(M275:M398)</f>
        <v>70620857.799999997</v>
      </c>
      <c r="N399" s="725"/>
      <c r="O399" s="725"/>
      <c r="P399" s="401">
        <f>SUM(P275:P398)</f>
        <v>69827538</v>
      </c>
      <c r="Q399" s="725"/>
      <c r="R399" s="725"/>
      <c r="S399" s="406">
        <f>SUM(S275:S398)</f>
        <v>70224197.900000006</v>
      </c>
      <c r="T399" s="92">
        <v>10</v>
      </c>
      <c r="U399" s="92">
        <f t="shared" si="66"/>
        <v>10</v>
      </c>
    </row>
    <row r="400" spans="1:21" ht="15" x14ac:dyDescent="0.3">
      <c r="T400" s="92">
        <v>10</v>
      </c>
      <c r="U400" s="92">
        <f t="shared" ref="U400:U403" si="67">J400+U399</f>
        <v>10</v>
      </c>
    </row>
    <row r="401" spans="1:21" ht="15" x14ac:dyDescent="0.3">
      <c r="T401" s="92">
        <v>10</v>
      </c>
      <c r="U401" s="92">
        <f t="shared" si="67"/>
        <v>10</v>
      </c>
    </row>
    <row r="402" spans="1:21" ht="21" x14ac:dyDescent="0.3">
      <c r="A402" s="608" t="s">
        <v>725</v>
      </c>
      <c r="B402" s="608"/>
      <c r="C402" s="608"/>
      <c r="D402" s="608"/>
      <c r="E402" s="726" t="s">
        <v>725</v>
      </c>
      <c r="F402" s="727"/>
      <c r="G402" s="727"/>
      <c r="H402" s="727"/>
      <c r="I402" s="727"/>
      <c r="J402" s="728"/>
      <c r="K402" s="608"/>
      <c r="L402" s="608"/>
      <c r="M402" s="608"/>
      <c r="N402" s="608"/>
      <c r="O402" s="608"/>
      <c r="P402" s="608"/>
      <c r="Q402" s="608"/>
      <c r="R402" s="608"/>
      <c r="S402" s="608"/>
      <c r="T402" s="92">
        <v>10</v>
      </c>
      <c r="U402" s="92">
        <f t="shared" si="67"/>
        <v>10</v>
      </c>
    </row>
    <row r="403" spans="1:21" ht="15.6" x14ac:dyDescent="0.3">
      <c r="A403" s="709" t="s">
        <v>83</v>
      </c>
      <c r="B403" s="709" t="s">
        <v>84</v>
      </c>
      <c r="C403" s="709" t="s">
        <v>85</v>
      </c>
      <c r="D403" s="711" t="s">
        <v>86</v>
      </c>
      <c r="E403" s="709" t="s">
        <v>6</v>
      </c>
      <c r="F403" s="709" t="s">
        <v>87</v>
      </c>
      <c r="G403" s="709" t="s">
        <v>88</v>
      </c>
      <c r="H403" s="124"/>
      <c r="I403" s="124"/>
      <c r="J403" s="705" t="s">
        <v>89</v>
      </c>
      <c r="K403" s="733" t="s">
        <v>423</v>
      </c>
      <c r="L403" s="734"/>
      <c r="M403" s="735"/>
      <c r="N403" s="723" t="s">
        <v>424</v>
      </c>
      <c r="O403" s="723"/>
      <c r="P403" s="723"/>
      <c r="Q403" s="705" t="s">
        <v>15</v>
      </c>
      <c r="R403" s="705"/>
      <c r="S403" s="705"/>
      <c r="T403" s="92">
        <v>10</v>
      </c>
      <c r="U403" s="92" t="e">
        <f t="shared" si="67"/>
        <v>#VALUE!</v>
      </c>
    </row>
    <row r="404" spans="1:21" ht="46.8" x14ac:dyDescent="0.3">
      <c r="A404" s="709"/>
      <c r="B404" s="709"/>
      <c r="C404" s="709"/>
      <c r="D404" s="711"/>
      <c r="E404" s="709"/>
      <c r="F404" s="709"/>
      <c r="G404" s="709"/>
      <c r="H404" s="124"/>
      <c r="I404" s="124"/>
      <c r="J404" s="705"/>
      <c r="K404" s="25" t="s">
        <v>382</v>
      </c>
      <c r="L404" s="25" t="s">
        <v>17</v>
      </c>
      <c r="M404" s="25" t="s">
        <v>18</v>
      </c>
      <c r="N404" s="25" t="s">
        <v>367</v>
      </c>
      <c r="O404" s="25" t="s">
        <v>17</v>
      </c>
      <c r="P404" s="248" t="s">
        <v>18</v>
      </c>
      <c r="Q404" s="25" t="s">
        <v>367</v>
      </c>
      <c r="R404" s="25" t="s">
        <v>17</v>
      </c>
      <c r="S404" s="25" t="s">
        <v>18</v>
      </c>
      <c r="T404" s="92">
        <v>10</v>
      </c>
    </row>
    <row r="405" spans="1:21" ht="15" x14ac:dyDescent="0.3">
      <c r="A405" s="385">
        <v>5</v>
      </c>
      <c r="B405" s="386">
        <v>283205</v>
      </c>
      <c r="C405" s="386">
        <v>110101908</v>
      </c>
      <c r="D405" s="385">
        <v>10101900</v>
      </c>
      <c r="E405" s="385">
        <v>1</v>
      </c>
      <c r="F405" s="300" t="s">
        <v>726</v>
      </c>
      <c r="G405" s="385" t="s">
        <v>594</v>
      </c>
      <c r="H405" s="385"/>
      <c r="I405" s="385"/>
      <c r="J405" s="385">
        <v>12</v>
      </c>
      <c r="K405" s="167">
        <v>17000</v>
      </c>
      <c r="L405" s="387">
        <v>0.19</v>
      </c>
      <c r="M405" s="388">
        <f>K405*J405</f>
        <v>204000</v>
      </c>
      <c r="N405" s="166">
        <v>17850</v>
      </c>
      <c r="O405" s="387">
        <v>0.19</v>
      </c>
      <c r="P405" s="389">
        <f>N405*J405</f>
        <v>214200</v>
      </c>
      <c r="Q405" s="390">
        <f>(N405+K405)/2</f>
        <v>17425</v>
      </c>
      <c r="R405" s="387">
        <v>0.19</v>
      </c>
      <c r="S405" s="390">
        <f>Q405*J405</f>
        <v>209100</v>
      </c>
      <c r="T405" s="92">
        <v>10</v>
      </c>
      <c r="U405" s="92">
        <f>J405+T405</f>
        <v>22</v>
      </c>
    </row>
    <row r="406" spans="1:21" ht="15" x14ac:dyDescent="0.3">
      <c r="A406" s="385">
        <v>5</v>
      </c>
      <c r="B406" s="386">
        <v>233356</v>
      </c>
      <c r="C406" s="386">
        <v>110151509</v>
      </c>
      <c r="D406" s="385">
        <v>10151530</v>
      </c>
      <c r="E406" s="385">
        <v>2</v>
      </c>
      <c r="F406" s="300" t="s">
        <v>727</v>
      </c>
      <c r="G406" s="385" t="s">
        <v>646</v>
      </c>
      <c r="H406" s="385"/>
      <c r="I406" s="385"/>
      <c r="J406" s="385">
        <v>11</v>
      </c>
      <c r="K406" s="167">
        <v>35000</v>
      </c>
      <c r="L406" s="387">
        <v>0.19</v>
      </c>
      <c r="M406" s="388">
        <f t="shared" ref="M406:M465" si="68">K406*J406</f>
        <v>385000</v>
      </c>
      <c r="N406" s="166">
        <v>36750</v>
      </c>
      <c r="O406" s="387">
        <v>0.19</v>
      </c>
      <c r="P406" s="389">
        <f t="shared" ref="P406:P465" si="69">N406*J406</f>
        <v>404250</v>
      </c>
      <c r="Q406" s="390">
        <f t="shared" ref="Q406:Q465" si="70">(N406+K406)/2</f>
        <v>35875</v>
      </c>
      <c r="R406" s="387">
        <v>0.19</v>
      </c>
      <c r="S406" s="390">
        <f t="shared" ref="S406:S469" si="71">Q406*J406</f>
        <v>394625</v>
      </c>
      <c r="T406" s="92">
        <v>10</v>
      </c>
      <c r="U406" s="92">
        <f t="shared" ref="U406:U469" si="72">J406+T406</f>
        <v>21</v>
      </c>
    </row>
    <row r="407" spans="1:21" ht="15" x14ac:dyDescent="0.3">
      <c r="A407" s="385">
        <v>5</v>
      </c>
      <c r="B407" s="386">
        <v>255673</v>
      </c>
      <c r="C407" s="386">
        <v>110151509</v>
      </c>
      <c r="D407" s="385">
        <v>10151506</v>
      </c>
      <c r="E407" s="385">
        <v>3</v>
      </c>
      <c r="F407" s="300" t="s">
        <v>728</v>
      </c>
      <c r="G407" s="385" t="s">
        <v>261</v>
      </c>
      <c r="H407" s="385"/>
      <c r="I407" s="385"/>
      <c r="J407" s="385">
        <v>11</v>
      </c>
      <c r="K407" s="167">
        <v>35000</v>
      </c>
      <c r="L407" s="387">
        <v>0.19</v>
      </c>
      <c r="M407" s="388">
        <f t="shared" si="68"/>
        <v>385000</v>
      </c>
      <c r="N407" s="166">
        <v>36750</v>
      </c>
      <c r="O407" s="387">
        <v>0.19</v>
      </c>
      <c r="P407" s="389">
        <f t="shared" si="69"/>
        <v>404250</v>
      </c>
      <c r="Q407" s="390">
        <f t="shared" si="70"/>
        <v>35875</v>
      </c>
      <c r="R407" s="387">
        <v>0.19</v>
      </c>
      <c r="S407" s="390">
        <f t="shared" si="71"/>
        <v>394625</v>
      </c>
      <c r="T407" s="92">
        <v>10</v>
      </c>
      <c r="U407" s="92">
        <f t="shared" si="72"/>
        <v>21</v>
      </c>
    </row>
    <row r="408" spans="1:21" ht="15" x14ac:dyDescent="0.3">
      <c r="A408" s="385">
        <v>5</v>
      </c>
      <c r="B408" s="386">
        <v>270892</v>
      </c>
      <c r="C408" s="386">
        <v>110151509</v>
      </c>
      <c r="D408" s="385">
        <v>10151512</v>
      </c>
      <c r="E408" s="385">
        <v>4</v>
      </c>
      <c r="F408" s="300" t="s">
        <v>729</v>
      </c>
      <c r="G408" s="385" t="s">
        <v>646</v>
      </c>
      <c r="H408" s="385"/>
      <c r="I408" s="385"/>
      <c r="J408" s="385">
        <v>11</v>
      </c>
      <c r="K408" s="167">
        <v>25000</v>
      </c>
      <c r="L408" s="387">
        <v>0.19</v>
      </c>
      <c r="M408" s="388">
        <f t="shared" si="68"/>
        <v>275000</v>
      </c>
      <c r="N408" s="166">
        <v>26250</v>
      </c>
      <c r="O408" s="387">
        <v>0.19</v>
      </c>
      <c r="P408" s="389">
        <f t="shared" si="69"/>
        <v>288750</v>
      </c>
      <c r="Q408" s="390">
        <f t="shared" si="70"/>
        <v>25625</v>
      </c>
      <c r="R408" s="387">
        <v>0.19</v>
      </c>
      <c r="S408" s="390">
        <f t="shared" si="71"/>
        <v>281875</v>
      </c>
      <c r="T408" s="92">
        <v>10</v>
      </c>
      <c r="U408" s="92">
        <f t="shared" si="72"/>
        <v>21</v>
      </c>
    </row>
    <row r="409" spans="1:21" ht="15" x14ac:dyDescent="0.3">
      <c r="A409" s="385">
        <v>5</v>
      </c>
      <c r="B409" s="386">
        <v>257611</v>
      </c>
      <c r="C409" s="386">
        <v>110151509</v>
      </c>
      <c r="D409" s="385">
        <v>10151524</v>
      </c>
      <c r="E409" s="385">
        <v>5</v>
      </c>
      <c r="F409" s="300" t="s">
        <v>730</v>
      </c>
      <c r="G409" s="385" t="s">
        <v>646</v>
      </c>
      <c r="H409" s="385"/>
      <c r="I409" s="385"/>
      <c r="J409" s="385">
        <v>11</v>
      </c>
      <c r="K409" s="167">
        <v>23000</v>
      </c>
      <c r="L409" s="387">
        <v>0.19</v>
      </c>
      <c r="M409" s="388">
        <f t="shared" si="68"/>
        <v>253000</v>
      </c>
      <c r="N409" s="166">
        <v>24150</v>
      </c>
      <c r="O409" s="387">
        <v>0.19</v>
      </c>
      <c r="P409" s="389">
        <f t="shared" si="69"/>
        <v>265650</v>
      </c>
      <c r="Q409" s="390">
        <f t="shared" si="70"/>
        <v>23575</v>
      </c>
      <c r="R409" s="387">
        <v>0.19</v>
      </c>
      <c r="S409" s="390">
        <f t="shared" si="71"/>
        <v>259325</v>
      </c>
      <c r="T409" s="92">
        <v>10</v>
      </c>
      <c r="U409" s="92">
        <f t="shared" si="72"/>
        <v>21</v>
      </c>
    </row>
    <row r="410" spans="1:21" ht="15" x14ac:dyDescent="0.3">
      <c r="A410" s="385">
        <v>5</v>
      </c>
      <c r="B410" s="386">
        <v>271330</v>
      </c>
      <c r="C410" s="386">
        <v>110151509</v>
      </c>
      <c r="D410" s="385">
        <v>10151518</v>
      </c>
      <c r="E410" s="385">
        <v>6</v>
      </c>
      <c r="F410" s="300" t="s">
        <v>731</v>
      </c>
      <c r="G410" s="386" t="s">
        <v>646</v>
      </c>
      <c r="H410" s="386"/>
      <c r="I410" s="386"/>
      <c r="J410" s="386">
        <v>11</v>
      </c>
      <c r="K410" s="167">
        <v>17500</v>
      </c>
      <c r="L410" s="387">
        <v>0.19</v>
      </c>
      <c r="M410" s="388">
        <f t="shared" si="68"/>
        <v>192500</v>
      </c>
      <c r="N410" s="166">
        <v>18375</v>
      </c>
      <c r="O410" s="387">
        <v>0.19</v>
      </c>
      <c r="P410" s="389">
        <f t="shared" si="69"/>
        <v>202125</v>
      </c>
      <c r="Q410" s="390">
        <f t="shared" si="70"/>
        <v>17937.5</v>
      </c>
      <c r="R410" s="387">
        <v>0.19</v>
      </c>
      <c r="S410" s="390">
        <f t="shared" si="71"/>
        <v>197312.5</v>
      </c>
      <c r="T410" s="92">
        <v>10</v>
      </c>
      <c r="U410" s="92">
        <f t="shared" si="72"/>
        <v>21</v>
      </c>
    </row>
    <row r="411" spans="1:21" ht="15" x14ac:dyDescent="0.3">
      <c r="A411" s="385">
        <v>5</v>
      </c>
      <c r="B411" s="386">
        <v>271322</v>
      </c>
      <c r="C411" s="386">
        <v>110151509</v>
      </c>
      <c r="D411" s="385">
        <v>10151515</v>
      </c>
      <c r="E411" s="385">
        <v>7</v>
      </c>
      <c r="F411" s="300" t="s">
        <v>732</v>
      </c>
      <c r="G411" s="385" t="s">
        <v>646</v>
      </c>
      <c r="H411" s="385"/>
      <c r="I411" s="385"/>
      <c r="J411" s="385">
        <v>11</v>
      </c>
      <c r="K411" s="167">
        <v>23800</v>
      </c>
      <c r="L411" s="387">
        <v>0.19</v>
      </c>
      <c r="M411" s="388">
        <f t="shared" si="68"/>
        <v>261800</v>
      </c>
      <c r="N411" s="166">
        <v>24900</v>
      </c>
      <c r="O411" s="387">
        <v>0.19</v>
      </c>
      <c r="P411" s="389">
        <f t="shared" si="69"/>
        <v>273900</v>
      </c>
      <c r="Q411" s="390">
        <f t="shared" si="70"/>
        <v>24350</v>
      </c>
      <c r="R411" s="387">
        <v>0.19</v>
      </c>
      <c r="S411" s="390">
        <f t="shared" si="71"/>
        <v>267850</v>
      </c>
      <c r="T411" s="92">
        <v>10</v>
      </c>
      <c r="U411" s="92">
        <f t="shared" si="72"/>
        <v>21</v>
      </c>
    </row>
    <row r="412" spans="1:21" ht="15" x14ac:dyDescent="0.3">
      <c r="A412" s="385">
        <v>5</v>
      </c>
      <c r="B412" s="386">
        <v>271318</v>
      </c>
      <c r="C412" s="386">
        <v>110151509</v>
      </c>
      <c r="D412" s="385">
        <v>10151503</v>
      </c>
      <c r="E412" s="385">
        <v>8</v>
      </c>
      <c r="F412" s="300" t="s">
        <v>733</v>
      </c>
      <c r="G412" s="385" t="s">
        <v>646</v>
      </c>
      <c r="H412" s="385"/>
      <c r="I412" s="385"/>
      <c r="J412" s="385">
        <v>11</v>
      </c>
      <c r="K412" s="167">
        <v>35000</v>
      </c>
      <c r="L412" s="387">
        <v>0.19</v>
      </c>
      <c r="M412" s="388">
        <f t="shared" si="68"/>
        <v>385000</v>
      </c>
      <c r="N412" s="166">
        <v>36750</v>
      </c>
      <c r="O412" s="387">
        <v>0.19</v>
      </c>
      <c r="P412" s="389">
        <f t="shared" si="69"/>
        <v>404250</v>
      </c>
      <c r="Q412" s="390">
        <f t="shared" si="70"/>
        <v>35875</v>
      </c>
      <c r="R412" s="387">
        <v>0.19</v>
      </c>
      <c r="S412" s="390">
        <f t="shared" si="71"/>
        <v>394625</v>
      </c>
      <c r="T412" s="92">
        <v>10</v>
      </c>
      <c r="U412" s="92">
        <f t="shared" si="72"/>
        <v>21</v>
      </c>
    </row>
    <row r="413" spans="1:21" ht="15" x14ac:dyDescent="0.3">
      <c r="A413" s="385">
        <v>5</v>
      </c>
      <c r="B413" s="386">
        <v>270883</v>
      </c>
      <c r="C413" s="386">
        <v>110151509</v>
      </c>
      <c r="D413" s="385">
        <v>10151525</v>
      </c>
      <c r="E413" s="385">
        <v>9</v>
      </c>
      <c r="F413" s="300" t="s">
        <v>734</v>
      </c>
      <c r="G413" s="385" t="s">
        <v>646</v>
      </c>
      <c r="H413" s="385"/>
      <c r="I413" s="385"/>
      <c r="J413" s="385">
        <v>11</v>
      </c>
      <c r="K413" s="167">
        <v>27800</v>
      </c>
      <c r="L413" s="387">
        <v>0.19</v>
      </c>
      <c r="M413" s="388">
        <f t="shared" si="68"/>
        <v>305800</v>
      </c>
      <c r="N413" s="166">
        <v>29100</v>
      </c>
      <c r="O413" s="387">
        <v>0.19</v>
      </c>
      <c r="P413" s="389">
        <f t="shared" si="69"/>
        <v>320100</v>
      </c>
      <c r="Q413" s="390">
        <f t="shared" si="70"/>
        <v>28450</v>
      </c>
      <c r="R413" s="387">
        <v>0.19</v>
      </c>
      <c r="S413" s="390">
        <f t="shared" si="71"/>
        <v>312950</v>
      </c>
      <c r="T413" s="92">
        <v>10</v>
      </c>
      <c r="U413" s="92">
        <f t="shared" si="72"/>
        <v>21</v>
      </c>
    </row>
    <row r="414" spans="1:21" ht="15" x14ac:dyDescent="0.3">
      <c r="A414" s="385">
        <v>5</v>
      </c>
      <c r="B414" s="386">
        <v>270881</v>
      </c>
      <c r="C414" s="386">
        <v>110151509</v>
      </c>
      <c r="D414" s="385">
        <v>10151511</v>
      </c>
      <c r="E414" s="385">
        <v>10</v>
      </c>
      <c r="F414" s="300" t="s">
        <v>735</v>
      </c>
      <c r="G414" s="385" t="s">
        <v>646</v>
      </c>
      <c r="H414" s="385"/>
      <c r="I414" s="385"/>
      <c r="J414" s="385">
        <v>11</v>
      </c>
      <c r="K414" s="167">
        <v>27800</v>
      </c>
      <c r="L414" s="387">
        <v>0.19</v>
      </c>
      <c r="M414" s="388">
        <f t="shared" si="68"/>
        <v>305800</v>
      </c>
      <c r="N414" s="166">
        <v>29100</v>
      </c>
      <c r="O414" s="387">
        <v>0.19</v>
      </c>
      <c r="P414" s="389">
        <f t="shared" si="69"/>
        <v>320100</v>
      </c>
      <c r="Q414" s="390">
        <f t="shared" si="70"/>
        <v>28450</v>
      </c>
      <c r="R414" s="387">
        <v>0.19</v>
      </c>
      <c r="S414" s="390">
        <f t="shared" si="71"/>
        <v>312950</v>
      </c>
      <c r="T414" s="92">
        <v>10</v>
      </c>
      <c r="U414" s="92">
        <f t="shared" si="72"/>
        <v>21</v>
      </c>
    </row>
    <row r="415" spans="1:21" ht="15" x14ac:dyDescent="0.3">
      <c r="A415" s="385">
        <v>5</v>
      </c>
      <c r="B415" s="386">
        <v>252524</v>
      </c>
      <c r="C415" s="386">
        <v>110151509</v>
      </c>
      <c r="D415" s="385">
        <v>10151501</v>
      </c>
      <c r="E415" s="385">
        <v>11</v>
      </c>
      <c r="F415" s="596" t="s">
        <v>736</v>
      </c>
      <c r="G415" s="385" t="s">
        <v>594</v>
      </c>
      <c r="H415" s="385"/>
      <c r="I415" s="385"/>
      <c r="J415" s="385">
        <v>11</v>
      </c>
      <c r="K415" s="167">
        <v>25200</v>
      </c>
      <c r="L415" s="387">
        <v>0.19</v>
      </c>
      <c r="M415" s="388">
        <f t="shared" si="68"/>
        <v>277200</v>
      </c>
      <c r="N415" s="166">
        <v>26460</v>
      </c>
      <c r="O415" s="387">
        <v>0.19</v>
      </c>
      <c r="P415" s="389">
        <f t="shared" si="69"/>
        <v>291060</v>
      </c>
      <c r="Q415" s="390">
        <f t="shared" si="70"/>
        <v>25830</v>
      </c>
      <c r="R415" s="387">
        <v>0.19</v>
      </c>
      <c r="S415" s="390">
        <f t="shared" si="71"/>
        <v>284130</v>
      </c>
      <c r="T415" s="92">
        <v>10</v>
      </c>
      <c r="U415" s="92">
        <f t="shared" si="72"/>
        <v>21</v>
      </c>
    </row>
    <row r="416" spans="1:21" ht="15" x14ac:dyDescent="0.3">
      <c r="A416" s="385">
        <v>5</v>
      </c>
      <c r="B416" s="386">
        <v>252996</v>
      </c>
      <c r="C416" s="386">
        <v>110151509</v>
      </c>
      <c r="D416" s="385">
        <v>10151502</v>
      </c>
      <c r="E416" s="385">
        <v>12</v>
      </c>
      <c r="F416" s="300" t="s">
        <v>737</v>
      </c>
      <c r="G416" s="385" t="s">
        <v>646</v>
      </c>
      <c r="H416" s="385"/>
      <c r="I416" s="385"/>
      <c r="J416" s="385">
        <v>11</v>
      </c>
      <c r="K416" s="167">
        <v>27800</v>
      </c>
      <c r="L416" s="387">
        <v>0.19</v>
      </c>
      <c r="M416" s="388">
        <f t="shared" si="68"/>
        <v>305800</v>
      </c>
      <c r="N416" s="166">
        <v>29190</v>
      </c>
      <c r="O416" s="387">
        <v>0.19</v>
      </c>
      <c r="P416" s="389">
        <f t="shared" si="69"/>
        <v>321090</v>
      </c>
      <c r="Q416" s="390">
        <f t="shared" si="70"/>
        <v>28495</v>
      </c>
      <c r="R416" s="387">
        <v>0.19</v>
      </c>
      <c r="S416" s="390">
        <f t="shared" si="71"/>
        <v>313445</v>
      </c>
      <c r="T416" s="92">
        <v>10</v>
      </c>
      <c r="U416" s="92">
        <f t="shared" si="72"/>
        <v>21</v>
      </c>
    </row>
    <row r="417" spans="1:21" ht="15" x14ac:dyDescent="0.3">
      <c r="A417" s="385">
        <v>5</v>
      </c>
      <c r="B417" s="386">
        <v>252995</v>
      </c>
      <c r="C417" s="386">
        <v>110151509</v>
      </c>
      <c r="D417" s="385">
        <v>10151526</v>
      </c>
      <c r="E417" s="385">
        <v>13</v>
      </c>
      <c r="F417" s="300" t="s">
        <v>738</v>
      </c>
      <c r="G417" s="385" t="s">
        <v>646</v>
      </c>
      <c r="H417" s="385"/>
      <c r="I417" s="385"/>
      <c r="J417" s="385">
        <v>11</v>
      </c>
      <c r="K417" s="167">
        <v>27800</v>
      </c>
      <c r="L417" s="387">
        <v>0.19</v>
      </c>
      <c r="M417" s="388">
        <f t="shared" si="68"/>
        <v>305800</v>
      </c>
      <c r="N417" s="166">
        <v>29190</v>
      </c>
      <c r="O417" s="387">
        <v>0.19</v>
      </c>
      <c r="P417" s="389">
        <f t="shared" si="69"/>
        <v>321090</v>
      </c>
      <c r="Q417" s="390">
        <f t="shared" si="70"/>
        <v>28495</v>
      </c>
      <c r="R417" s="387">
        <v>0.19</v>
      </c>
      <c r="S417" s="390">
        <f t="shared" si="71"/>
        <v>313445</v>
      </c>
      <c r="T417" s="92">
        <v>10</v>
      </c>
      <c r="U417" s="92">
        <f t="shared" si="72"/>
        <v>21</v>
      </c>
    </row>
    <row r="418" spans="1:21" ht="15" x14ac:dyDescent="0.3">
      <c r="A418" s="385">
        <v>5</v>
      </c>
      <c r="B418" s="386">
        <v>252995</v>
      </c>
      <c r="C418" s="386">
        <v>110151509</v>
      </c>
      <c r="D418" s="385">
        <v>10151526</v>
      </c>
      <c r="E418" s="385">
        <v>14</v>
      </c>
      <c r="F418" s="300" t="s">
        <v>739</v>
      </c>
      <c r="G418" s="385" t="s">
        <v>646</v>
      </c>
      <c r="H418" s="385"/>
      <c r="I418" s="385"/>
      <c r="J418" s="385">
        <v>11</v>
      </c>
      <c r="K418" s="167">
        <v>27800</v>
      </c>
      <c r="L418" s="387">
        <v>0.19</v>
      </c>
      <c r="M418" s="388">
        <f t="shared" si="68"/>
        <v>305800</v>
      </c>
      <c r="N418" s="166">
        <v>29190</v>
      </c>
      <c r="O418" s="387">
        <v>0.19</v>
      </c>
      <c r="P418" s="389">
        <f t="shared" si="69"/>
        <v>321090</v>
      </c>
      <c r="Q418" s="390">
        <f t="shared" si="70"/>
        <v>28495</v>
      </c>
      <c r="R418" s="387">
        <v>0.19</v>
      </c>
      <c r="S418" s="390">
        <f t="shared" si="71"/>
        <v>313445</v>
      </c>
      <c r="T418" s="92">
        <v>10</v>
      </c>
      <c r="U418" s="92">
        <f t="shared" si="72"/>
        <v>21</v>
      </c>
    </row>
    <row r="419" spans="1:21" ht="15" x14ac:dyDescent="0.3">
      <c r="A419" s="385">
        <v>5</v>
      </c>
      <c r="B419" s="386">
        <v>252994</v>
      </c>
      <c r="C419" s="386">
        <v>110151509</v>
      </c>
      <c r="D419" s="385">
        <v>10151521</v>
      </c>
      <c r="E419" s="385">
        <v>15</v>
      </c>
      <c r="F419" s="300" t="s">
        <v>740</v>
      </c>
      <c r="G419" s="385" t="s">
        <v>646</v>
      </c>
      <c r="H419" s="385"/>
      <c r="I419" s="385"/>
      <c r="J419" s="385">
        <v>11</v>
      </c>
      <c r="K419" s="167">
        <v>27800</v>
      </c>
      <c r="L419" s="387">
        <v>0.19</v>
      </c>
      <c r="M419" s="388">
        <f t="shared" si="68"/>
        <v>305800</v>
      </c>
      <c r="N419" s="166">
        <v>29190</v>
      </c>
      <c r="O419" s="387">
        <v>0.19</v>
      </c>
      <c r="P419" s="389">
        <f t="shared" si="69"/>
        <v>321090</v>
      </c>
      <c r="Q419" s="390">
        <f t="shared" si="70"/>
        <v>28495</v>
      </c>
      <c r="R419" s="387">
        <v>0.19</v>
      </c>
      <c r="S419" s="390">
        <f t="shared" si="71"/>
        <v>313445</v>
      </c>
      <c r="T419" s="92">
        <v>10</v>
      </c>
      <c r="U419" s="92">
        <f t="shared" si="72"/>
        <v>21</v>
      </c>
    </row>
    <row r="420" spans="1:21" ht="15" x14ac:dyDescent="0.3">
      <c r="A420" s="385">
        <v>5</v>
      </c>
      <c r="B420" s="386">
        <v>252993</v>
      </c>
      <c r="C420" s="386">
        <v>110151509</v>
      </c>
      <c r="D420" s="385">
        <v>10151512</v>
      </c>
      <c r="E420" s="385">
        <v>16</v>
      </c>
      <c r="F420" s="300" t="s">
        <v>741</v>
      </c>
      <c r="G420" s="385" t="s">
        <v>646</v>
      </c>
      <c r="H420" s="385"/>
      <c r="I420" s="385"/>
      <c r="J420" s="385">
        <v>11</v>
      </c>
      <c r="K420" s="167">
        <v>27800</v>
      </c>
      <c r="L420" s="387">
        <v>0.19</v>
      </c>
      <c r="M420" s="388">
        <f t="shared" si="68"/>
        <v>305800</v>
      </c>
      <c r="N420" s="166">
        <v>29190</v>
      </c>
      <c r="O420" s="387">
        <v>0.19</v>
      </c>
      <c r="P420" s="389">
        <f t="shared" si="69"/>
        <v>321090</v>
      </c>
      <c r="Q420" s="390">
        <f t="shared" si="70"/>
        <v>28495</v>
      </c>
      <c r="R420" s="387">
        <v>0.19</v>
      </c>
      <c r="S420" s="390">
        <f t="shared" si="71"/>
        <v>313445</v>
      </c>
      <c r="T420" s="92">
        <v>10</v>
      </c>
      <c r="U420" s="92">
        <f t="shared" si="72"/>
        <v>21</v>
      </c>
    </row>
    <row r="421" spans="1:21" ht="32.25" customHeight="1" x14ac:dyDescent="0.3">
      <c r="A421" s="385">
        <v>5</v>
      </c>
      <c r="B421" s="385">
        <v>252991</v>
      </c>
      <c r="C421" s="385">
        <v>110151509</v>
      </c>
      <c r="D421" s="385">
        <v>10151513</v>
      </c>
      <c r="E421" s="385">
        <v>17</v>
      </c>
      <c r="F421" s="300" t="s">
        <v>742</v>
      </c>
      <c r="G421" s="385" t="s">
        <v>594</v>
      </c>
      <c r="H421" s="385"/>
      <c r="I421" s="385"/>
      <c r="J421" s="385">
        <v>11</v>
      </c>
      <c r="K421" s="167">
        <v>25900</v>
      </c>
      <c r="L421" s="387">
        <v>0.19</v>
      </c>
      <c r="M421" s="388">
        <f t="shared" si="68"/>
        <v>284900</v>
      </c>
      <c r="N421" s="166">
        <v>27195</v>
      </c>
      <c r="O421" s="387">
        <v>0.19</v>
      </c>
      <c r="P421" s="389">
        <f t="shared" si="69"/>
        <v>299145</v>
      </c>
      <c r="Q421" s="390">
        <f t="shared" si="70"/>
        <v>26547.5</v>
      </c>
      <c r="R421" s="387">
        <v>0.19</v>
      </c>
      <c r="S421" s="390">
        <f t="shared" si="71"/>
        <v>292022.5</v>
      </c>
      <c r="T421" s="92">
        <v>10</v>
      </c>
      <c r="U421" s="92">
        <f t="shared" si="72"/>
        <v>21</v>
      </c>
    </row>
    <row r="422" spans="1:21" ht="30" customHeight="1" x14ac:dyDescent="0.3">
      <c r="A422" s="385">
        <v>5</v>
      </c>
      <c r="B422" s="385">
        <v>252991</v>
      </c>
      <c r="C422" s="385">
        <v>110151509</v>
      </c>
      <c r="D422" s="385">
        <v>10151513</v>
      </c>
      <c r="E422" s="385">
        <v>18</v>
      </c>
      <c r="F422" s="391" t="s">
        <v>743</v>
      </c>
      <c r="G422" s="385" t="s">
        <v>594</v>
      </c>
      <c r="H422" s="385"/>
      <c r="I422" s="385"/>
      <c r="J422" s="385">
        <v>12</v>
      </c>
      <c r="K422" s="167">
        <v>25900</v>
      </c>
      <c r="L422" s="387">
        <v>0.19</v>
      </c>
      <c r="M422" s="388">
        <f t="shared" si="68"/>
        <v>310800</v>
      </c>
      <c r="N422" s="166">
        <v>27195</v>
      </c>
      <c r="O422" s="387">
        <v>0.19</v>
      </c>
      <c r="P422" s="389">
        <f t="shared" si="69"/>
        <v>326340</v>
      </c>
      <c r="Q422" s="390">
        <f t="shared" si="70"/>
        <v>26547.5</v>
      </c>
      <c r="R422" s="387">
        <v>0.19</v>
      </c>
      <c r="S422" s="390">
        <f t="shared" si="71"/>
        <v>318570</v>
      </c>
      <c r="T422" s="92">
        <v>10</v>
      </c>
      <c r="U422" s="92">
        <f t="shared" si="72"/>
        <v>22</v>
      </c>
    </row>
    <row r="423" spans="1:21" ht="15" x14ac:dyDescent="0.3">
      <c r="A423" s="385">
        <v>5</v>
      </c>
      <c r="B423" s="386">
        <v>233363</v>
      </c>
      <c r="C423" s="386">
        <v>110151509</v>
      </c>
      <c r="D423" s="385">
        <v>10151518</v>
      </c>
      <c r="E423" s="385">
        <v>19</v>
      </c>
      <c r="F423" s="300" t="s">
        <v>744</v>
      </c>
      <c r="G423" s="385" t="s">
        <v>646</v>
      </c>
      <c r="H423" s="385"/>
      <c r="I423" s="385"/>
      <c r="J423" s="385">
        <v>12</v>
      </c>
      <c r="K423" s="167">
        <v>35000</v>
      </c>
      <c r="L423" s="387">
        <v>0.19</v>
      </c>
      <c r="M423" s="388">
        <f t="shared" si="68"/>
        <v>420000</v>
      </c>
      <c r="N423" s="166">
        <v>36750</v>
      </c>
      <c r="O423" s="387">
        <v>0.19</v>
      </c>
      <c r="P423" s="389">
        <f t="shared" si="69"/>
        <v>441000</v>
      </c>
      <c r="Q423" s="390">
        <f t="shared" si="70"/>
        <v>35875</v>
      </c>
      <c r="R423" s="387">
        <v>0.19</v>
      </c>
      <c r="S423" s="390">
        <f t="shared" si="71"/>
        <v>430500</v>
      </c>
      <c r="T423" s="92">
        <v>10</v>
      </c>
      <c r="U423" s="92">
        <f t="shared" si="72"/>
        <v>22</v>
      </c>
    </row>
    <row r="424" spans="1:21" ht="15" x14ac:dyDescent="0.3">
      <c r="A424" s="385">
        <v>5</v>
      </c>
      <c r="B424" s="386">
        <v>244623</v>
      </c>
      <c r="C424" s="386">
        <v>110151509</v>
      </c>
      <c r="D424" s="385">
        <v>10151515</v>
      </c>
      <c r="E424" s="385">
        <v>20</v>
      </c>
      <c r="F424" s="300" t="s">
        <v>745</v>
      </c>
      <c r="G424" s="385" t="s">
        <v>646</v>
      </c>
      <c r="H424" s="385"/>
      <c r="I424" s="385"/>
      <c r="J424" s="385">
        <v>12</v>
      </c>
      <c r="K424" s="167">
        <v>27800</v>
      </c>
      <c r="L424" s="387">
        <v>0.19</v>
      </c>
      <c r="M424" s="388">
        <f t="shared" si="68"/>
        <v>333600</v>
      </c>
      <c r="N424" s="166">
        <v>29190</v>
      </c>
      <c r="O424" s="387">
        <v>0.19</v>
      </c>
      <c r="P424" s="389">
        <f t="shared" si="69"/>
        <v>350280</v>
      </c>
      <c r="Q424" s="390">
        <f t="shared" si="70"/>
        <v>28495</v>
      </c>
      <c r="R424" s="387">
        <v>0.19</v>
      </c>
      <c r="S424" s="390">
        <f t="shared" si="71"/>
        <v>341940</v>
      </c>
      <c r="T424" s="92">
        <v>10</v>
      </c>
      <c r="U424" s="92">
        <f t="shared" si="72"/>
        <v>22</v>
      </c>
    </row>
    <row r="425" spans="1:21" ht="15" x14ac:dyDescent="0.3">
      <c r="A425" s="385">
        <v>5</v>
      </c>
      <c r="B425" s="386">
        <v>244621</v>
      </c>
      <c r="C425" s="386">
        <v>110151509</v>
      </c>
      <c r="D425" s="385">
        <v>10151522</v>
      </c>
      <c r="E425" s="385">
        <v>21</v>
      </c>
      <c r="F425" s="300" t="s">
        <v>746</v>
      </c>
      <c r="G425" s="385" t="s">
        <v>646</v>
      </c>
      <c r="H425" s="385"/>
      <c r="I425" s="385"/>
      <c r="J425" s="385">
        <v>11</v>
      </c>
      <c r="K425" s="167">
        <v>27800</v>
      </c>
      <c r="L425" s="387">
        <v>0.19</v>
      </c>
      <c r="M425" s="388">
        <f t="shared" si="68"/>
        <v>305800</v>
      </c>
      <c r="N425" s="166">
        <v>29190</v>
      </c>
      <c r="O425" s="387">
        <v>0.19</v>
      </c>
      <c r="P425" s="389">
        <f t="shared" si="69"/>
        <v>321090</v>
      </c>
      <c r="Q425" s="390">
        <f t="shared" si="70"/>
        <v>28495</v>
      </c>
      <c r="R425" s="387">
        <v>0.19</v>
      </c>
      <c r="S425" s="390">
        <f t="shared" si="71"/>
        <v>313445</v>
      </c>
      <c r="T425" s="92">
        <v>10</v>
      </c>
      <c r="U425" s="92">
        <f t="shared" si="72"/>
        <v>21</v>
      </c>
    </row>
    <row r="426" spans="1:21" ht="15" x14ac:dyDescent="0.3">
      <c r="A426" s="385">
        <v>5</v>
      </c>
      <c r="B426" s="386">
        <v>233232</v>
      </c>
      <c r="C426" s="386">
        <v>110151509</v>
      </c>
      <c r="D426" s="385">
        <v>10151517</v>
      </c>
      <c r="E426" s="385">
        <v>22</v>
      </c>
      <c r="F426" s="300" t="s">
        <v>747</v>
      </c>
      <c r="G426" s="385" t="s">
        <v>646</v>
      </c>
      <c r="H426" s="385"/>
      <c r="I426" s="385"/>
      <c r="J426" s="385">
        <v>12</v>
      </c>
      <c r="K426" s="167">
        <v>27800</v>
      </c>
      <c r="L426" s="387">
        <v>0.19</v>
      </c>
      <c r="M426" s="388">
        <f t="shared" si="68"/>
        <v>333600</v>
      </c>
      <c r="N426" s="166">
        <v>29190</v>
      </c>
      <c r="O426" s="387">
        <v>0.19</v>
      </c>
      <c r="P426" s="389">
        <f t="shared" si="69"/>
        <v>350280</v>
      </c>
      <c r="Q426" s="390">
        <f t="shared" si="70"/>
        <v>28495</v>
      </c>
      <c r="R426" s="387">
        <v>0.19</v>
      </c>
      <c r="S426" s="390">
        <f t="shared" si="71"/>
        <v>341940</v>
      </c>
      <c r="T426" s="92">
        <v>10</v>
      </c>
      <c r="U426" s="92">
        <f t="shared" si="72"/>
        <v>22</v>
      </c>
    </row>
    <row r="427" spans="1:21" ht="15" x14ac:dyDescent="0.3">
      <c r="A427" s="385">
        <v>5</v>
      </c>
      <c r="B427" s="386">
        <v>233229</v>
      </c>
      <c r="C427" s="386">
        <v>110151509</v>
      </c>
      <c r="D427" s="385">
        <v>50402610</v>
      </c>
      <c r="E427" s="385">
        <v>23</v>
      </c>
      <c r="F427" s="300" t="s">
        <v>748</v>
      </c>
      <c r="G427" s="385" t="s">
        <v>646</v>
      </c>
      <c r="H427" s="385"/>
      <c r="I427" s="385"/>
      <c r="J427" s="385">
        <v>12</v>
      </c>
      <c r="K427" s="167">
        <v>27800</v>
      </c>
      <c r="L427" s="387">
        <v>0.19</v>
      </c>
      <c r="M427" s="388">
        <f t="shared" si="68"/>
        <v>333600</v>
      </c>
      <c r="N427" s="166">
        <v>29190</v>
      </c>
      <c r="O427" s="387">
        <v>0.19</v>
      </c>
      <c r="P427" s="389">
        <f t="shared" si="69"/>
        <v>350280</v>
      </c>
      <c r="Q427" s="390">
        <f t="shared" si="70"/>
        <v>28495</v>
      </c>
      <c r="R427" s="387">
        <v>0.19</v>
      </c>
      <c r="S427" s="390">
        <f t="shared" si="71"/>
        <v>341940</v>
      </c>
      <c r="T427" s="92">
        <v>10</v>
      </c>
      <c r="U427" s="92">
        <f t="shared" si="72"/>
        <v>22</v>
      </c>
    </row>
    <row r="428" spans="1:21" ht="27.75" customHeight="1" x14ac:dyDescent="0.3">
      <c r="A428" s="213">
        <v>5</v>
      </c>
      <c r="B428" s="213">
        <v>239481</v>
      </c>
      <c r="C428" s="213">
        <v>110151509</v>
      </c>
      <c r="D428" s="213">
        <v>10151501</v>
      </c>
      <c r="E428" s="385">
        <v>24</v>
      </c>
      <c r="F428" s="392" t="s">
        <v>749</v>
      </c>
      <c r="G428" s="385" t="s">
        <v>594</v>
      </c>
      <c r="H428" s="385"/>
      <c r="I428" s="385"/>
      <c r="J428" s="385">
        <v>11</v>
      </c>
      <c r="K428" s="167">
        <v>27800</v>
      </c>
      <c r="L428" s="387">
        <v>0.19</v>
      </c>
      <c r="M428" s="388">
        <f t="shared" si="68"/>
        <v>305800</v>
      </c>
      <c r="N428" s="166">
        <v>29190</v>
      </c>
      <c r="O428" s="387">
        <v>0.19</v>
      </c>
      <c r="P428" s="389">
        <f t="shared" si="69"/>
        <v>321090</v>
      </c>
      <c r="Q428" s="390">
        <f t="shared" si="70"/>
        <v>28495</v>
      </c>
      <c r="R428" s="387">
        <v>0.19</v>
      </c>
      <c r="S428" s="390">
        <f t="shared" si="71"/>
        <v>313445</v>
      </c>
      <c r="T428" s="92">
        <v>10</v>
      </c>
      <c r="U428" s="92">
        <f t="shared" si="72"/>
        <v>21</v>
      </c>
    </row>
    <row r="429" spans="1:21" ht="82.8" x14ac:dyDescent="0.3">
      <c r="A429" s="385">
        <v>5</v>
      </c>
      <c r="B429" s="386">
        <v>230749</v>
      </c>
      <c r="C429" s="386">
        <v>110191507</v>
      </c>
      <c r="D429" s="385">
        <v>10191509</v>
      </c>
      <c r="E429" s="385">
        <v>25</v>
      </c>
      <c r="F429" s="300" t="s">
        <v>750</v>
      </c>
      <c r="G429" s="385" t="s">
        <v>751</v>
      </c>
      <c r="H429" s="385"/>
      <c r="I429" s="385"/>
      <c r="J429" s="385">
        <v>11</v>
      </c>
      <c r="K429" s="167">
        <v>55000</v>
      </c>
      <c r="L429" s="387">
        <v>0.19</v>
      </c>
      <c r="M429" s="388">
        <f t="shared" si="68"/>
        <v>605000</v>
      </c>
      <c r="N429" s="166">
        <v>57750</v>
      </c>
      <c r="O429" s="387">
        <v>0.19</v>
      </c>
      <c r="P429" s="389">
        <f t="shared" si="69"/>
        <v>635250</v>
      </c>
      <c r="Q429" s="390">
        <f t="shared" si="70"/>
        <v>56375</v>
      </c>
      <c r="R429" s="387">
        <v>0.19</v>
      </c>
      <c r="S429" s="390">
        <f t="shared" si="71"/>
        <v>620125</v>
      </c>
      <c r="T429" s="92">
        <v>10</v>
      </c>
      <c r="U429" s="92">
        <f t="shared" si="72"/>
        <v>21</v>
      </c>
    </row>
    <row r="430" spans="1:21" ht="15" x14ac:dyDescent="0.3">
      <c r="A430" s="385">
        <v>5</v>
      </c>
      <c r="B430" s="386">
        <v>281976</v>
      </c>
      <c r="C430" s="386">
        <v>110171607</v>
      </c>
      <c r="D430" s="385">
        <v>10171505</v>
      </c>
      <c r="E430" s="385">
        <v>26</v>
      </c>
      <c r="F430" s="300" t="s">
        <v>752</v>
      </c>
      <c r="G430" s="385" t="s">
        <v>753</v>
      </c>
      <c r="H430" s="385"/>
      <c r="I430" s="385"/>
      <c r="J430" s="385">
        <v>11</v>
      </c>
      <c r="K430" s="167">
        <v>27900</v>
      </c>
      <c r="L430" s="387">
        <v>0.19</v>
      </c>
      <c r="M430" s="388">
        <f t="shared" si="68"/>
        <v>306900</v>
      </c>
      <c r="N430" s="166">
        <v>29295</v>
      </c>
      <c r="O430" s="387">
        <v>0.19</v>
      </c>
      <c r="P430" s="389">
        <f t="shared" si="69"/>
        <v>322245</v>
      </c>
      <c r="Q430" s="390">
        <f t="shared" si="70"/>
        <v>28597.5</v>
      </c>
      <c r="R430" s="387">
        <v>0.19</v>
      </c>
      <c r="S430" s="390">
        <f t="shared" si="71"/>
        <v>314572.5</v>
      </c>
      <c r="T430" s="92">
        <v>10</v>
      </c>
      <c r="U430" s="92">
        <f t="shared" si="72"/>
        <v>21</v>
      </c>
    </row>
    <row r="431" spans="1:21" ht="27.6" x14ac:dyDescent="0.3">
      <c r="A431" s="385">
        <v>5</v>
      </c>
      <c r="B431" s="386">
        <v>281978</v>
      </c>
      <c r="C431" s="386">
        <v>110171607</v>
      </c>
      <c r="D431" s="385">
        <v>10171504</v>
      </c>
      <c r="E431" s="385">
        <v>27</v>
      </c>
      <c r="F431" s="300" t="s">
        <v>754</v>
      </c>
      <c r="G431" s="385" t="s">
        <v>134</v>
      </c>
      <c r="H431" s="385"/>
      <c r="I431" s="385"/>
      <c r="J431" s="385">
        <v>11</v>
      </c>
      <c r="K431" s="167">
        <v>48800</v>
      </c>
      <c r="L431" s="387">
        <v>0.19</v>
      </c>
      <c r="M431" s="388">
        <f t="shared" si="68"/>
        <v>536800</v>
      </c>
      <c r="N431" s="166">
        <v>51240</v>
      </c>
      <c r="O431" s="387">
        <v>0.19</v>
      </c>
      <c r="P431" s="389">
        <f t="shared" si="69"/>
        <v>563640</v>
      </c>
      <c r="Q431" s="390">
        <f t="shared" si="70"/>
        <v>50020</v>
      </c>
      <c r="R431" s="387">
        <v>0.19</v>
      </c>
      <c r="S431" s="390">
        <f t="shared" si="71"/>
        <v>550220</v>
      </c>
      <c r="T431" s="92">
        <v>10</v>
      </c>
      <c r="U431" s="92">
        <f t="shared" si="72"/>
        <v>21</v>
      </c>
    </row>
    <row r="432" spans="1:21" ht="27.6" x14ac:dyDescent="0.3">
      <c r="A432" s="385">
        <v>5</v>
      </c>
      <c r="B432" s="386">
        <v>251527</v>
      </c>
      <c r="C432" s="386">
        <v>110171607</v>
      </c>
      <c r="D432" s="385">
        <v>10171506</v>
      </c>
      <c r="E432" s="385">
        <v>28</v>
      </c>
      <c r="F432" s="300" t="s">
        <v>755</v>
      </c>
      <c r="G432" s="385" t="s">
        <v>753</v>
      </c>
      <c r="H432" s="385"/>
      <c r="I432" s="385"/>
      <c r="J432" s="385">
        <v>16</v>
      </c>
      <c r="K432" s="167">
        <v>78000</v>
      </c>
      <c r="L432" s="387">
        <v>0.19</v>
      </c>
      <c r="M432" s="388">
        <f t="shared" si="68"/>
        <v>1248000</v>
      </c>
      <c r="N432" s="166">
        <v>81900</v>
      </c>
      <c r="O432" s="387">
        <v>0.19</v>
      </c>
      <c r="P432" s="389">
        <f t="shared" si="69"/>
        <v>1310400</v>
      </c>
      <c r="Q432" s="390">
        <f t="shared" si="70"/>
        <v>79950</v>
      </c>
      <c r="R432" s="387">
        <v>0.19</v>
      </c>
      <c r="S432" s="390">
        <f t="shared" si="71"/>
        <v>1279200</v>
      </c>
      <c r="T432" s="92">
        <v>10</v>
      </c>
      <c r="U432" s="92">
        <f t="shared" si="72"/>
        <v>26</v>
      </c>
    </row>
    <row r="433" spans="1:21" ht="15" x14ac:dyDescent="0.3">
      <c r="A433" s="385">
        <v>5</v>
      </c>
      <c r="B433" s="386">
        <v>255772</v>
      </c>
      <c r="C433" s="386">
        <v>110171607</v>
      </c>
      <c r="D433" s="385">
        <v>50192403</v>
      </c>
      <c r="E433" s="385">
        <v>29</v>
      </c>
      <c r="F433" s="300" t="s">
        <v>756</v>
      </c>
      <c r="G433" s="385" t="s">
        <v>753</v>
      </c>
      <c r="H433" s="385"/>
      <c r="I433" s="385"/>
      <c r="J433" s="385">
        <v>11</v>
      </c>
      <c r="K433" s="167">
        <v>47800</v>
      </c>
      <c r="L433" s="387">
        <v>0.19</v>
      </c>
      <c r="M433" s="388">
        <f t="shared" si="68"/>
        <v>525800</v>
      </c>
      <c r="N433" s="166">
        <v>50190</v>
      </c>
      <c r="O433" s="387">
        <v>0.19</v>
      </c>
      <c r="P433" s="389">
        <f t="shared" si="69"/>
        <v>552090</v>
      </c>
      <c r="Q433" s="390">
        <f t="shared" si="70"/>
        <v>48995</v>
      </c>
      <c r="R433" s="387">
        <v>0.19</v>
      </c>
      <c r="S433" s="390">
        <f t="shared" si="71"/>
        <v>538945</v>
      </c>
      <c r="T433" s="92">
        <v>10</v>
      </c>
      <c r="U433" s="92">
        <f t="shared" si="72"/>
        <v>21</v>
      </c>
    </row>
    <row r="434" spans="1:21" ht="193.2" x14ac:dyDescent="0.3">
      <c r="A434" s="385">
        <v>5</v>
      </c>
      <c r="B434" s="213">
        <v>258174</v>
      </c>
      <c r="C434" s="213">
        <v>110171607</v>
      </c>
      <c r="D434" s="169">
        <v>10171505</v>
      </c>
      <c r="E434" s="385">
        <v>30</v>
      </c>
      <c r="F434" s="392" t="s">
        <v>757</v>
      </c>
      <c r="G434" s="169" t="s">
        <v>134</v>
      </c>
      <c r="H434" s="169"/>
      <c r="I434" s="169"/>
      <c r="J434" s="169">
        <v>11</v>
      </c>
      <c r="K434" s="393">
        <v>125950</v>
      </c>
      <c r="L434" s="387">
        <v>0.19</v>
      </c>
      <c r="M434" s="388">
        <f t="shared" si="68"/>
        <v>1385450</v>
      </c>
      <c r="N434" s="166">
        <v>132248</v>
      </c>
      <c r="O434" s="387">
        <v>0.19</v>
      </c>
      <c r="P434" s="389">
        <f t="shared" si="69"/>
        <v>1454728</v>
      </c>
      <c r="Q434" s="390">
        <f t="shared" si="70"/>
        <v>129099</v>
      </c>
      <c r="R434" s="387">
        <v>0.19</v>
      </c>
      <c r="S434" s="390">
        <f t="shared" si="71"/>
        <v>1420089</v>
      </c>
      <c r="T434" s="92">
        <v>10</v>
      </c>
      <c r="U434" s="92">
        <f t="shared" si="72"/>
        <v>21</v>
      </c>
    </row>
    <row r="435" spans="1:21" ht="15" x14ac:dyDescent="0.3">
      <c r="A435" s="385">
        <v>5</v>
      </c>
      <c r="B435" s="386">
        <v>230942</v>
      </c>
      <c r="C435" s="386">
        <v>110171703</v>
      </c>
      <c r="D435" s="385">
        <v>10191509</v>
      </c>
      <c r="E435" s="385">
        <v>31</v>
      </c>
      <c r="F435" s="300" t="s">
        <v>758</v>
      </c>
      <c r="G435" s="385" t="s">
        <v>594</v>
      </c>
      <c r="H435" s="385"/>
      <c r="I435" s="385"/>
      <c r="J435" s="385">
        <v>11</v>
      </c>
      <c r="K435" s="167">
        <v>127800</v>
      </c>
      <c r="L435" s="387">
        <v>0.19</v>
      </c>
      <c r="M435" s="388">
        <f t="shared" si="68"/>
        <v>1405800</v>
      </c>
      <c r="N435" s="166">
        <v>134190</v>
      </c>
      <c r="O435" s="387">
        <v>0.19</v>
      </c>
      <c r="P435" s="389">
        <f t="shared" si="69"/>
        <v>1476090</v>
      </c>
      <c r="Q435" s="390">
        <f t="shared" si="70"/>
        <v>130995</v>
      </c>
      <c r="R435" s="387">
        <v>0.19</v>
      </c>
      <c r="S435" s="390">
        <f t="shared" si="71"/>
        <v>1440945</v>
      </c>
      <c r="T435" s="92">
        <v>10</v>
      </c>
      <c r="U435" s="92">
        <f t="shared" si="72"/>
        <v>21</v>
      </c>
    </row>
    <row r="436" spans="1:21" ht="27.6" x14ac:dyDescent="0.3">
      <c r="A436" s="385">
        <v>5</v>
      </c>
      <c r="B436" s="386">
        <v>242739</v>
      </c>
      <c r="C436" s="386">
        <v>110171703</v>
      </c>
      <c r="D436" s="385">
        <v>10191509</v>
      </c>
      <c r="E436" s="385">
        <v>32</v>
      </c>
      <c r="F436" s="300" t="s">
        <v>759</v>
      </c>
      <c r="G436" s="385" t="s">
        <v>594</v>
      </c>
      <c r="H436" s="385"/>
      <c r="I436" s="385"/>
      <c r="J436" s="385">
        <v>11</v>
      </c>
      <c r="K436" s="167">
        <v>52000</v>
      </c>
      <c r="L436" s="387">
        <v>0.19</v>
      </c>
      <c r="M436" s="388">
        <f t="shared" si="68"/>
        <v>572000</v>
      </c>
      <c r="N436" s="166">
        <v>54600</v>
      </c>
      <c r="O436" s="387">
        <v>0.19</v>
      </c>
      <c r="P436" s="389">
        <f t="shared" si="69"/>
        <v>600600</v>
      </c>
      <c r="Q436" s="390">
        <f t="shared" si="70"/>
        <v>53300</v>
      </c>
      <c r="R436" s="387">
        <v>0.19</v>
      </c>
      <c r="S436" s="390">
        <f t="shared" si="71"/>
        <v>586300</v>
      </c>
      <c r="T436" s="92">
        <v>10</v>
      </c>
      <c r="U436" s="92">
        <f t="shared" si="72"/>
        <v>21</v>
      </c>
    </row>
    <row r="437" spans="1:21" ht="27.6" x14ac:dyDescent="0.3">
      <c r="A437" s="385">
        <v>5</v>
      </c>
      <c r="B437" s="386">
        <v>242738</v>
      </c>
      <c r="C437" s="386">
        <v>110171703</v>
      </c>
      <c r="D437" s="385">
        <v>10191509</v>
      </c>
      <c r="E437" s="385">
        <v>33</v>
      </c>
      <c r="F437" s="300" t="s">
        <v>760</v>
      </c>
      <c r="G437" s="385" t="s">
        <v>594</v>
      </c>
      <c r="H437" s="385"/>
      <c r="I437" s="385"/>
      <c r="J437" s="385">
        <v>11</v>
      </c>
      <c r="K437" s="167">
        <v>55250</v>
      </c>
      <c r="L437" s="387">
        <v>0.19</v>
      </c>
      <c r="M437" s="388">
        <f t="shared" si="68"/>
        <v>607750</v>
      </c>
      <c r="N437" s="166">
        <v>58013</v>
      </c>
      <c r="O437" s="387">
        <v>0.19</v>
      </c>
      <c r="P437" s="389">
        <f t="shared" si="69"/>
        <v>638143</v>
      </c>
      <c r="Q437" s="390">
        <f t="shared" si="70"/>
        <v>56631.5</v>
      </c>
      <c r="R437" s="387">
        <v>0.19</v>
      </c>
      <c r="S437" s="390">
        <f t="shared" si="71"/>
        <v>622946.5</v>
      </c>
      <c r="T437" s="92">
        <v>10</v>
      </c>
      <c r="U437" s="92">
        <f t="shared" si="72"/>
        <v>21</v>
      </c>
    </row>
    <row r="438" spans="1:21" ht="15" x14ac:dyDescent="0.3">
      <c r="A438" s="385">
        <v>5</v>
      </c>
      <c r="B438" s="386">
        <v>267379</v>
      </c>
      <c r="C438" s="386">
        <v>110171705</v>
      </c>
      <c r="D438" s="385">
        <v>10191509</v>
      </c>
      <c r="E438" s="385">
        <v>34</v>
      </c>
      <c r="F438" s="300" t="s">
        <v>761</v>
      </c>
      <c r="G438" s="385" t="s">
        <v>261</v>
      </c>
      <c r="H438" s="385"/>
      <c r="I438" s="385"/>
      <c r="J438" s="385">
        <v>11</v>
      </c>
      <c r="K438" s="167">
        <v>55250</v>
      </c>
      <c r="L438" s="387">
        <v>0.19</v>
      </c>
      <c r="M438" s="388">
        <f t="shared" si="68"/>
        <v>607750</v>
      </c>
      <c r="N438" s="166">
        <v>58013</v>
      </c>
      <c r="O438" s="387">
        <v>0.19</v>
      </c>
      <c r="P438" s="389">
        <f t="shared" si="69"/>
        <v>638143</v>
      </c>
      <c r="Q438" s="390">
        <f t="shared" si="70"/>
        <v>56631.5</v>
      </c>
      <c r="R438" s="387">
        <v>0.19</v>
      </c>
      <c r="S438" s="390">
        <f t="shared" si="71"/>
        <v>622946.5</v>
      </c>
      <c r="T438" s="92">
        <v>10</v>
      </c>
      <c r="U438" s="92">
        <f t="shared" si="72"/>
        <v>21</v>
      </c>
    </row>
    <row r="439" spans="1:21" ht="15" x14ac:dyDescent="0.3">
      <c r="A439" s="385">
        <v>5</v>
      </c>
      <c r="B439" s="386">
        <v>242736</v>
      </c>
      <c r="C439" s="386">
        <v>110191507</v>
      </c>
      <c r="D439" s="385">
        <v>10191509</v>
      </c>
      <c r="E439" s="385">
        <v>35</v>
      </c>
      <c r="F439" s="300" t="s">
        <v>762</v>
      </c>
      <c r="G439" s="385" t="s">
        <v>594</v>
      </c>
      <c r="H439" s="385"/>
      <c r="I439" s="385"/>
      <c r="J439" s="385">
        <v>11</v>
      </c>
      <c r="K439" s="167">
        <v>55250</v>
      </c>
      <c r="L439" s="387">
        <v>0.19</v>
      </c>
      <c r="M439" s="388">
        <f t="shared" si="68"/>
        <v>607750</v>
      </c>
      <c r="N439" s="166">
        <v>58013</v>
      </c>
      <c r="O439" s="387">
        <v>0.19</v>
      </c>
      <c r="P439" s="389">
        <f t="shared" si="69"/>
        <v>638143</v>
      </c>
      <c r="Q439" s="390">
        <f t="shared" si="70"/>
        <v>56631.5</v>
      </c>
      <c r="R439" s="387">
        <v>0.19</v>
      </c>
      <c r="S439" s="390">
        <f t="shared" si="71"/>
        <v>622946.5</v>
      </c>
      <c r="T439" s="92">
        <v>10</v>
      </c>
      <c r="U439" s="92">
        <f t="shared" si="72"/>
        <v>21</v>
      </c>
    </row>
    <row r="440" spans="1:21" ht="15" x14ac:dyDescent="0.3">
      <c r="A440" s="385">
        <v>5</v>
      </c>
      <c r="B440" s="386">
        <v>274180</v>
      </c>
      <c r="C440" s="386">
        <v>110171607</v>
      </c>
      <c r="D440" s="385">
        <v>10171505</v>
      </c>
      <c r="E440" s="385">
        <v>36</v>
      </c>
      <c r="F440" s="394" t="s">
        <v>763</v>
      </c>
      <c r="G440" s="385" t="s">
        <v>753</v>
      </c>
      <c r="H440" s="385"/>
      <c r="I440" s="385"/>
      <c r="J440" s="385">
        <v>14</v>
      </c>
      <c r="K440" s="167">
        <v>32000</v>
      </c>
      <c r="L440" s="387">
        <v>0.19</v>
      </c>
      <c r="M440" s="388">
        <f t="shared" si="68"/>
        <v>448000</v>
      </c>
      <c r="N440" s="166">
        <v>33600</v>
      </c>
      <c r="O440" s="387">
        <v>0.19</v>
      </c>
      <c r="P440" s="389">
        <f t="shared" si="69"/>
        <v>470400</v>
      </c>
      <c r="Q440" s="390">
        <f t="shared" si="70"/>
        <v>32800</v>
      </c>
      <c r="R440" s="387">
        <v>0.19</v>
      </c>
      <c r="S440" s="390">
        <f t="shared" si="71"/>
        <v>459200</v>
      </c>
      <c r="T440" s="92">
        <v>10</v>
      </c>
      <c r="U440" s="92">
        <f t="shared" si="72"/>
        <v>24</v>
      </c>
    </row>
    <row r="441" spans="1:21" ht="27.6" x14ac:dyDescent="0.3">
      <c r="A441" s="385">
        <v>5</v>
      </c>
      <c r="B441" s="386">
        <v>246119</v>
      </c>
      <c r="C441" s="386">
        <v>111172318</v>
      </c>
      <c r="D441" s="385">
        <v>46181504</v>
      </c>
      <c r="E441" s="385">
        <v>37</v>
      </c>
      <c r="F441" s="300" t="s">
        <v>764</v>
      </c>
      <c r="G441" s="385" t="s">
        <v>160</v>
      </c>
      <c r="H441" s="385"/>
      <c r="I441" s="385"/>
      <c r="J441" s="385">
        <v>12</v>
      </c>
      <c r="K441" s="167">
        <v>65000</v>
      </c>
      <c r="L441" s="387">
        <v>0.19</v>
      </c>
      <c r="M441" s="388">
        <f t="shared" si="68"/>
        <v>780000</v>
      </c>
      <c r="N441" s="166">
        <v>68250</v>
      </c>
      <c r="O441" s="387">
        <v>0.19</v>
      </c>
      <c r="P441" s="389">
        <f t="shared" si="69"/>
        <v>819000</v>
      </c>
      <c r="Q441" s="390">
        <f t="shared" si="70"/>
        <v>66625</v>
      </c>
      <c r="R441" s="387">
        <v>0.19</v>
      </c>
      <c r="S441" s="390">
        <f t="shared" si="71"/>
        <v>799500</v>
      </c>
      <c r="T441" s="92">
        <v>10</v>
      </c>
      <c r="U441" s="92">
        <f t="shared" si="72"/>
        <v>22</v>
      </c>
    </row>
    <row r="442" spans="1:21" ht="15" x14ac:dyDescent="0.3">
      <c r="A442" s="385">
        <v>5</v>
      </c>
      <c r="B442" s="386">
        <v>230944</v>
      </c>
      <c r="C442" s="386">
        <v>110171703</v>
      </c>
      <c r="D442" s="385">
        <v>10171702</v>
      </c>
      <c r="E442" s="385">
        <v>38</v>
      </c>
      <c r="F442" s="300" t="s">
        <v>765</v>
      </c>
      <c r="G442" s="385" t="s">
        <v>134</v>
      </c>
      <c r="H442" s="385"/>
      <c r="I442" s="385"/>
      <c r="J442" s="385">
        <v>11</v>
      </c>
      <c r="K442" s="167">
        <v>65000</v>
      </c>
      <c r="L442" s="387">
        <v>0.19</v>
      </c>
      <c r="M442" s="388">
        <f t="shared" si="68"/>
        <v>715000</v>
      </c>
      <c r="N442" s="166">
        <v>68250</v>
      </c>
      <c r="O442" s="387">
        <v>0.19</v>
      </c>
      <c r="P442" s="389">
        <f t="shared" si="69"/>
        <v>750750</v>
      </c>
      <c r="Q442" s="390">
        <f t="shared" si="70"/>
        <v>66625</v>
      </c>
      <c r="R442" s="387">
        <v>0.19</v>
      </c>
      <c r="S442" s="390">
        <f t="shared" si="71"/>
        <v>732875</v>
      </c>
      <c r="T442" s="92">
        <v>10</v>
      </c>
      <c r="U442" s="92">
        <f t="shared" si="72"/>
        <v>21</v>
      </c>
    </row>
    <row r="443" spans="1:21" ht="28.5" customHeight="1" x14ac:dyDescent="0.3">
      <c r="A443" s="385">
        <v>5</v>
      </c>
      <c r="B443" s="386">
        <v>257169</v>
      </c>
      <c r="C443" s="386">
        <v>111151522</v>
      </c>
      <c r="D443" s="385">
        <v>11162110</v>
      </c>
      <c r="E443" s="385">
        <v>39</v>
      </c>
      <c r="F443" s="300" t="s">
        <v>766</v>
      </c>
      <c r="G443" s="385" t="s">
        <v>156</v>
      </c>
      <c r="H443" s="385"/>
      <c r="I443" s="385"/>
      <c r="J443" s="385">
        <v>11</v>
      </c>
      <c r="K443" s="168">
        <v>35000</v>
      </c>
      <c r="L443" s="387">
        <v>0.19</v>
      </c>
      <c r="M443" s="388">
        <f t="shared" si="68"/>
        <v>385000</v>
      </c>
      <c r="N443" s="166">
        <v>36750</v>
      </c>
      <c r="O443" s="387">
        <v>0.19</v>
      </c>
      <c r="P443" s="389">
        <f t="shared" si="69"/>
        <v>404250</v>
      </c>
      <c r="Q443" s="390">
        <f t="shared" si="70"/>
        <v>35875</v>
      </c>
      <c r="R443" s="387">
        <v>0.19</v>
      </c>
      <c r="S443" s="390">
        <f t="shared" si="71"/>
        <v>394625</v>
      </c>
      <c r="T443" s="92">
        <v>10</v>
      </c>
      <c r="U443" s="92">
        <f t="shared" si="72"/>
        <v>21</v>
      </c>
    </row>
    <row r="444" spans="1:21" ht="27.75" customHeight="1" x14ac:dyDescent="0.3">
      <c r="A444" s="385">
        <v>5</v>
      </c>
      <c r="B444" s="386">
        <v>235675</v>
      </c>
      <c r="C444" s="386">
        <v>114111707</v>
      </c>
      <c r="D444" s="385">
        <v>31201515</v>
      </c>
      <c r="E444" s="385">
        <v>40</v>
      </c>
      <c r="F444" s="300" t="s">
        <v>767</v>
      </c>
      <c r="G444" s="385" t="s">
        <v>25</v>
      </c>
      <c r="H444" s="385"/>
      <c r="I444" s="385"/>
      <c r="J444" s="385">
        <v>11</v>
      </c>
      <c r="K444" s="167">
        <v>85000</v>
      </c>
      <c r="L444" s="387">
        <v>0.19</v>
      </c>
      <c r="M444" s="388">
        <f t="shared" si="68"/>
        <v>935000</v>
      </c>
      <c r="N444" s="166">
        <v>89250</v>
      </c>
      <c r="O444" s="387">
        <v>0.19</v>
      </c>
      <c r="P444" s="389">
        <f t="shared" si="69"/>
        <v>981750</v>
      </c>
      <c r="Q444" s="390">
        <f t="shared" si="70"/>
        <v>87125</v>
      </c>
      <c r="R444" s="387">
        <v>0.19</v>
      </c>
      <c r="S444" s="390">
        <f t="shared" si="71"/>
        <v>958375</v>
      </c>
      <c r="T444" s="92">
        <v>10</v>
      </c>
      <c r="U444" s="92">
        <f t="shared" si="72"/>
        <v>21</v>
      </c>
    </row>
    <row r="445" spans="1:21" ht="27.75" customHeight="1" x14ac:dyDescent="0.3">
      <c r="A445" s="385">
        <v>5</v>
      </c>
      <c r="B445" s="386">
        <v>249333</v>
      </c>
      <c r="C445" s="386">
        <v>110171607</v>
      </c>
      <c r="D445" s="385">
        <v>11121703</v>
      </c>
      <c r="E445" s="385">
        <v>41</v>
      </c>
      <c r="F445" s="300" t="s">
        <v>768</v>
      </c>
      <c r="G445" s="385" t="s">
        <v>753</v>
      </c>
      <c r="H445" s="385"/>
      <c r="I445" s="385"/>
      <c r="J445" s="385">
        <v>13</v>
      </c>
      <c r="K445" s="167">
        <v>72000</v>
      </c>
      <c r="L445" s="387">
        <v>0.19</v>
      </c>
      <c r="M445" s="388">
        <f t="shared" si="68"/>
        <v>936000</v>
      </c>
      <c r="N445" s="166">
        <v>75600</v>
      </c>
      <c r="O445" s="387">
        <v>0.19</v>
      </c>
      <c r="P445" s="389">
        <f t="shared" si="69"/>
        <v>982800</v>
      </c>
      <c r="Q445" s="390">
        <f t="shared" si="70"/>
        <v>73800</v>
      </c>
      <c r="R445" s="387">
        <v>0.19</v>
      </c>
      <c r="S445" s="390">
        <f t="shared" si="71"/>
        <v>959400</v>
      </c>
      <c r="T445" s="92">
        <v>10</v>
      </c>
      <c r="U445" s="92">
        <f t="shared" si="72"/>
        <v>23</v>
      </c>
    </row>
    <row r="446" spans="1:21" ht="27.6" x14ac:dyDescent="0.3">
      <c r="A446" s="385">
        <v>5</v>
      </c>
      <c r="B446" s="385">
        <v>249314</v>
      </c>
      <c r="C446" s="385">
        <v>121102501</v>
      </c>
      <c r="D446" s="385">
        <v>21101608</v>
      </c>
      <c r="E446" s="385">
        <v>42</v>
      </c>
      <c r="F446" s="300" t="s">
        <v>769</v>
      </c>
      <c r="G446" s="386" t="s">
        <v>25</v>
      </c>
      <c r="H446" s="386"/>
      <c r="I446" s="386"/>
      <c r="J446" s="385">
        <v>11</v>
      </c>
      <c r="K446" s="167">
        <v>32000</v>
      </c>
      <c r="L446" s="387">
        <v>0.19</v>
      </c>
      <c r="M446" s="388">
        <f t="shared" si="68"/>
        <v>352000</v>
      </c>
      <c r="N446" s="166">
        <v>33600</v>
      </c>
      <c r="O446" s="387">
        <v>0.19</v>
      </c>
      <c r="P446" s="389">
        <f t="shared" si="69"/>
        <v>369600</v>
      </c>
      <c r="Q446" s="390">
        <f t="shared" si="70"/>
        <v>32800</v>
      </c>
      <c r="R446" s="387">
        <v>0.19</v>
      </c>
      <c r="S446" s="390">
        <f t="shared" si="71"/>
        <v>360800</v>
      </c>
      <c r="T446" s="92">
        <v>10</v>
      </c>
      <c r="U446" s="92">
        <f t="shared" si="72"/>
        <v>21</v>
      </c>
    </row>
    <row r="447" spans="1:21" ht="27.6" x14ac:dyDescent="0.3">
      <c r="A447" s="385">
        <v>5</v>
      </c>
      <c r="B447" s="385">
        <v>249314</v>
      </c>
      <c r="C447" s="385">
        <v>121102501</v>
      </c>
      <c r="D447" s="385">
        <v>21101608</v>
      </c>
      <c r="E447" s="385">
        <v>43</v>
      </c>
      <c r="F447" s="300" t="s">
        <v>770</v>
      </c>
      <c r="G447" s="386" t="s">
        <v>25</v>
      </c>
      <c r="H447" s="386"/>
      <c r="I447" s="386"/>
      <c r="J447" s="385">
        <v>11</v>
      </c>
      <c r="K447" s="167">
        <v>32000</v>
      </c>
      <c r="L447" s="387">
        <v>0.19</v>
      </c>
      <c r="M447" s="388">
        <f t="shared" si="68"/>
        <v>352000</v>
      </c>
      <c r="N447" s="166">
        <v>33600</v>
      </c>
      <c r="O447" s="387">
        <v>0.19</v>
      </c>
      <c r="P447" s="389">
        <f t="shared" si="69"/>
        <v>369600</v>
      </c>
      <c r="Q447" s="390">
        <f t="shared" si="70"/>
        <v>32800</v>
      </c>
      <c r="R447" s="387">
        <v>0.19</v>
      </c>
      <c r="S447" s="390">
        <f t="shared" si="71"/>
        <v>360800</v>
      </c>
      <c r="T447" s="92">
        <v>10</v>
      </c>
      <c r="U447" s="92">
        <f t="shared" si="72"/>
        <v>21</v>
      </c>
    </row>
    <row r="448" spans="1:21" ht="15" x14ac:dyDescent="0.3">
      <c r="A448" s="385">
        <v>5</v>
      </c>
      <c r="B448" s="386">
        <v>280246</v>
      </c>
      <c r="C448" s="386">
        <v>127111917</v>
      </c>
      <c r="D448" s="385">
        <v>27111921</v>
      </c>
      <c r="E448" s="385">
        <v>44</v>
      </c>
      <c r="F448" s="300" t="s">
        <v>771</v>
      </c>
      <c r="G448" s="385" t="s">
        <v>25</v>
      </c>
      <c r="H448" s="385"/>
      <c r="I448" s="385"/>
      <c r="J448" s="385">
        <v>13</v>
      </c>
      <c r="K448" s="167">
        <v>15000</v>
      </c>
      <c r="L448" s="387">
        <v>0.19</v>
      </c>
      <c r="M448" s="388">
        <f t="shared" si="68"/>
        <v>195000</v>
      </c>
      <c r="N448" s="166">
        <v>15750</v>
      </c>
      <c r="O448" s="387">
        <v>0.19</v>
      </c>
      <c r="P448" s="389">
        <f t="shared" si="69"/>
        <v>204750</v>
      </c>
      <c r="Q448" s="390">
        <f t="shared" si="70"/>
        <v>15375</v>
      </c>
      <c r="R448" s="387">
        <v>0.19</v>
      </c>
      <c r="S448" s="390">
        <f t="shared" si="71"/>
        <v>199875</v>
      </c>
      <c r="T448" s="92">
        <v>10</v>
      </c>
      <c r="U448" s="92">
        <f t="shared" si="72"/>
        <v>23</v>
      </c>
    </row>
    <row r="449" spans="1:21" ht="27.75" customHeight="1" x14ac:dyDescent="0.3">
      <c r="A449" s="386">
        <v>5</v>
      </c>
      <c r="B449" s="386">
        <v>230641</v>
      </c>
      <c r="C449" s="386">
        <v>110171607</v>
      </c>
      <c r="D449" s="395">
        <v>10171702</v>
      </c>
      <c r="E449" s="385">
        <v>45</v>
      </c>
      <c r="F449" s="300" t="s">
        <v>772</v>
      </c>
      <c r="G449" s="386" t="s">
        <v>646</v>
      </c>
      <c r="H449" s="386"/>
      <c r="I449" s="386"/>
      <c r="J449" s="385">
        <v>11</v>
      </c>
      <c r="K449" s="167">
        <v>52000</v>
      </c>
      <c r="L449" s="387">
        <v>0.19</v>
      </c>
      <c r="M449" s="388">
        <f t="shared" si="68"/>
        <v>572000</v>
      </c>
      <c r="N449" s="166">
        <v>54600</v>
      </c>
      <c r="O449" s="387">
        <v>0.19</v>
      </c>
      <c r="P449" s="389">
        <f t="shared" si="69"/>
        <v>600600</v>
      </c>
      <c r="Q449" s="390">
        <f t="shared" si="70"/>
        <v>53300</v>
      </c>
      <c r="R449" s="387">
        <v>0.19</v>
      </c>
      <c r="S449" s="390">
        <f t="shared" si="71"/>
        <v>586300</v>
      </c>
      <c r="T449" s="92">
        <v>10</v>
      </c>
      <c r="U449" s="92">
        <f t="shared" si="72"/>
        <v>21</v>
      </c>
    </row>
    <row r="450" spans="1:21" ht="15" x14ac:dyDescent="0.3">
      <c r="A450" s="386">
        <v>5</v>
      </c>
      <c r="B450" s="386">
        <v>230937</v>
      </c>
      <c r="C450" s="386">
        <v>110171607</v>
      </c>
      <c r="D450" s="386">
        <v>11101505</v>
      </c>
      <c r="E450" s="385">
        <v>46</v>
      </c>
      <c r="F450" s="300" t="s">
        <v>773</v>
      </c>
      <c r="G450" s="386" t="s">
        <v>261</v>
      </c>
      <c r="H450" s="386"/>
      <c r="I450" s="386"/>
      <c r="J450" s="385">
        <v>11</v>
      </c>
      <c r="K450" s="167">
        <v>15700</v>
      </c>
      <c r="L450" s="387">
        <v>0.19</v>
      </c>
      <c r="M450" s="388">
        <f t="shared" si="68"/>
        <v>172700</v>
      </c>
      <c r="N450" s="166">
        <v>16485</v>
      </c>
      <c r="O450" s="387">
        <v>0.19</v>
      </c>
      <c r="P450" s="389">
        <f t="shared" si="69"/>
        <v>181335</v>
      </c>
      <c r="Q450" s="390">
        <f t="shared" si="70"/>
        <v>16092.5</v>
      </c>
      <c r="R450" s="387">
        <v>0.19</v>
      </c>
      <c r="S450" s="390">
        <f t="shared" si="71"/>
        <v>177017.5</v>
      </c>
      <c r="T450" s="92">
        <v>10</v>
      </c>
      <c r="U450" s="92">
        <f t="shared" si="72"/>
        <v>21</v>
      </c>
    </row>
    <row r="451" spans="1:21" ht="21" customHeight="1" x14ac:dyDescent="0.3">
      <c r="A451" s="386">
        <v>5</v>
      </c>
      <c r="B451" s="386">
        <v>233313</v>
      </c>
      <c r="C451" s="386">
        <v>110171607</v>
      </c>
      <c r="D451" s="395">
        <v>10171802</v>
      </c>
      <c r="E451" s="385">
        <v>47</v>
      </c>
      <c r="F451" s="300" t="s">
        <v>774</v>
      </c>
      <c r="G451" s="386" t="s">
        <v>753</v>
      </c>
      <c r="H451" s="386"/>
      <c r="I451" s="386"/>
      <c r="J451" s="385">
        <v>11</v>
      </c>
      <c r="K451" s="167">
        <v>25000</v>
      </c>
      <c r="L451" s="387">
        <v>0.19</v>
      </c>
      <c r="M451" s="388">
        <f t="shared" si="68"/>
        <v>275000</v>
      </c>
      <c r="N451" s="166">
        <v>26250</v>
      </c>
      <c r="O451" s="387">
        <v>0.19</v>
      </c>
      <c r="P451" s="389">
        <f t="shared" si="69"/>
        <v>288750</v>
      </c>
      <c r="Q451" s="390">
        <f t="shared" si="70"/>
        <v>25625</v>
      </c>
      <c r="R451" s="387">
        <v>0.19</v>
      </c>
      <c r="S451" s="390">
        <f t="shared" si="71"/>
        <v>281875</v>
      </c>
      <c r="T451" s="92">
        <v>10</v>
      </c>
      <c r="U451" s="92">
        <f t="shared" si="72"/>
        <v>21</v>
      </c>
    </row>
    <row r="452" spans="1:21" ht="27.6" x14ac:dyDescent="0.3">
      <c r="A452" s="386">
        <v>5</v>
      </c>
      <c r="B452" s="386">
        <v>233322</v>
      </c>
      <c r="C452" s="386">
        <v>110171607</v>
      </c>
      <c r="D452" s="386">
        <v>10171500</v>
      </c>
      <c r="E452" s="385">
        <v>48</v>
      </c>
      <c r="F452" s="300" t="s">
        <v>775</v>
      </c>
      <c r="G452" s="386" t="s">
        <v>753</v>
      </c>
      <c r="H452" s="386"/>
      <c r="I452" s="386"/>
      <c r="J452" s="385">
        <v>10</v>
      </c>
      <c r="K452" s="167">
        <v>25000</v>
      </c>
      <c r="L452" s="387">
        <v>0.19</v>
      </c>
      <c r="M452" s="388">
        <f t="shared" si="68"/>
        <v>250000</v>
      </c>
      <c r="N452" s="166"/>
      <c r="O452" s="387">
        <v>0.19</v>
      </c>
      <c r="P452" s="389">
        <f t="shared" si="69"/>
        <v>0</v>
      </c>
      <c r="Q452" s="390">
        <f t="shared" si="70"/>
        <v>12500</v>
      </c>
      <c r="R452" s="387">
        <v>0.19</v>
      </c>
      <c r="S452" s="390">
        <f t="shared" si="71"/>
        <v>125000</v>
      </c>
      <c r="T452" s="92">
        <v>10</v>
      </c>
      <c r="U452" s="92">
        <f t="shared" si="72"/>
        <v>20</v>
      </c>
    </row>
    <row r="453" spans="1:21" ht="39" customHeight="1" x14ac:dyDescent="0.3">
      <c r="A453" s="386">
        <v>5</v>
      </c>
      <c r="B453" s="386">
        <v>234155</v>
      </c>
      <c r="C453" s="386">
        <v>110171607</v>
      </c>
      <c r="D453" s="395">
        <v>10171802</v>
      </c>
      <c r="E453" s="385">
        <v>49</v>
      </c>
      <c r="F453" s="300" t="s">
        <v>776</v>
      </c>
      <c r="G453" s="386" t="s">
        <v>753</v>
      </c>
      <c r="H453" s="386"/>
      <c r="I453" s="386"/>
      <c r="J453" s="385">
        <v>11</v>
      </c>
      <c r="K453" s="167">
        <v>25000</v>
      </c>
      <c r="L453" s="387">
        <v>0.19</v>
      </c>
      <c r="M453" s="388">
        <f t="shared" si="68"/>
        <v>275000</v>
      </c>
      <c r="N453" s="166">
        <v>26250</v>
      </c>
      <c r="O453" s="387">
        <v>0.19</v>
      </c>
      <c r="P453" s="389">
        <f t="shared" si="69"/>
        <v>288750</v>
      </c>
      <c r="Q453" s="390">
        <f t="shared" si="70"/>
        <v>25625</v>
      </c>
      <c r="R453" s="387">
        <v>0.19</v>
      </c>
      <c r="S453" s="390">
        <f t="shared" si="71"/>
        <v>281875</v>
      </c>
      <c r="T453" s="92">
        <v>10</v>
      </c>
      <c r="U453" s="92">
        <f t="shared" si="72"/>
        <v>21</v>
      </c>
    </row>
    <row r="454" spans="1:21" ht="36" customHeight="1" x14ac:dyDescent="0.3">
      <c r="A454" s="386">
        <v>5</v>
      </c>
      <c r="B454" s="386">
        <v>238514</v>
      </c>
      <c r="C454" s="386">
        <v>110171607</v>
      </c>
      <c r="D454" s="395">
        <v>10171802</v>
      </c>
      <c r="E454" s="385">
        <v>50</v>
      </c>
      <c r="F454" s="300" t="s">
        <v>777</v>
      </c>
      <c r="G454" s="386" t="s">
        <v>753</v>
      </c>
      <c r="H454" s="386"/>
      <c r="I454" s="386"/>
      <c r="J454" s="385">
        <v>11</v>
      </c>
      <c r="K454" s="167">
        <v>65000</v>
      </c>
      <c r="L454" s="387">
        <v>0.19</v>
      </c>
      <c r="M454" s="388">
        <f t="shared" si="68"/>
        <v>715000</v>
      </c>
      <c r="N454" s="166">
        <v>68250</v>
      </c>
      <c r="O454" s="387">
        <v>0.19</v>
      </c>
      <c r="P454" s="389">
        <f t="shared" si="69"/>
        <v>750750</v>
      </c>
      <c r="Q454" s="390">
        <f t="shared" si="70"/>
        <v>66625</v>
      </c>
      <c r="R454" s="387">
        <v>0.19</v>
      </c>
      <c r="S454" s="390">
        <f t="shared" si="71"/>
        <v>732875</v>
      </c>
      <c r="T454" s="92">
        <v>10</v>
      </c>
      <c r="U454" s="92">
        <f t="shared" si="72"/>
        <v>21</v>
      </c>
    </row>
    <row r="455" spans="1:21" ht="27.6" x14ac:dyDescent="0.3">
      <c r="A455" s="386">
        <v>5</v>
      </c>
      <c r="B455" s="386">
        <v>239473</v>
      </c>
      <c r="C455" s="386">
        <v>110171607</v>
      </c>
      <c r="D455" s="386">
        <v>10171801</v>
      </c>
      <c r="E455" s="385">
        <v>51</v>
      </c>
      <c r="F455" s="300" t="s">
        <v>778</v>
      </c>
      <c r="G455" s="386" t="s">
        <v>78</v>
      </c>
      <c r="H455" s="386"/>
      <c r="I455" s="386"/>
      <c r="J455" s="385">
        <v>12</v>
      </c>
      <c r="K455" s="167">
        <v>95000</v>
      </c>
      <c r="L455" s="387">
        <v>0.19</v>
      </c>
      <c r="M455" s="388">
        <f t="shared" si="68"/>
        <v>1140000</v>
      </c>
      <c r="N455" s="166">
        <v>99750</v>
      </c>
      <c r="O455" s="387">
        <v>0.19</v>
      </c>
      <c r="P455" s="389">
        <f t="shared" si="69"/>
        <v>1197000</v>
      </c>
      <c r="Q455" s="390">
        <f t="shared" si="70"/>
        <v>97375</v>
      </c>
      <c r="R455" s="387">
        <v>0.19</v>
      </c>
      <c r="S455" s="390">
        <f t="shared" si="71"/>
        <v>1168500</v>
      </c>
      <c r="T455" s="92">
        <v>10</v>
      </c>
      <c r="U455" s="92">
        <f t="shared" si="72"/>
        <v>22</v>
      </c>
    </row>
    <row r="456" spans="1:21" ht="15" x14ac:dyDescent="0.3">
      <c r="A456" s="386">
        <v>5</v>
      </c>
      <c r="B456" s="386">
        <v>239548</v>
      </c>
      <c r="C456" s="386">
        <v>110171607</v>
      </c>
      <c r="D456" s="386">
        <v>51211624</v>
      </c>
      <c r="E456" s="385">
        <v>52</v>
      </c>
      <c r="F456" s="300" t="s">
        <v>779</v>
      </c>
      <c r="G456" s="386" t="s">
        <v>594</v>
      </c>
      <c r="H456" s="386"/>
      <c r="I456" s="386"/>
      <c r="J456" s="385">
        <v>12</v>
      </c>
      <c r="K456" s="167">
        <v>21500</v>
      </c>
      <c r="L456" s="387">
        <v>0.19</v>
      </c>
      <c r="M456" s="388">
        <f t="shared" si="68"/>
        <v>258000</v>
      </c>
      <c r="N456" s="166">
        <v>22575</v>
      </c>
      <c r="O456" s="387">
        <v>0.19</v>
      </c>
      <c r="P456" s="389">
        <f t="shared" si="69"/>
        <v>270900</v>
      </c>
      <c r="Q456" s="390">
        <f t="shared" si="70"/>
        <v>22037.5</v>
      </c>
      <c r="R456" s="387">
        <v>0.19</v>
      </c>
      <c r="S456" s="390">
        <f t="shared" si="71"/>
        <v>264450</v>
      </c>
      <c r="T456" s="92">
        <v>10</v>
      </c>
      <c r="U456" s="92">
        <f t="shared" si="72"/>
        <v>22</v>
      </c>
    </row>
    <row r="457" spans="1:21" ht="15" x14ac:dyDescent="0.3">
      <c r="A457" s="386">
        <v>5</v>
      </c>
      <c r="B457" s="386">
        <v>239549</v>
      </c>
      <c r="C457" s="386">
        <v>110171607</v>
      </c>
      <c r="D457" s="386">
        <v>51171606</v>
      </c>
      <c r="E457" s="385">
        <v>53</v>
      </c>
      <c r="F457" s="300" t="s">
        <v>780</v>
      </c>
      <c r="G457" s="386" t="s">
        <v>594</v>
      </c>
      <c r="H457" s="386"/>
      <c r="I457" s="386"/>
      <c r="J457" s="385">
        <v>12</v>
      </c>
      <c r="K457" s="167">
        <v>21950</v>
      </c>
      <c r="L457" s="387">
        <v>0.19</v>
      </c>
      <c r="M457" s="388">
        <f t="shared" si="68"/>
        <v>263400</v>
      </c>
      <c r="N457" s="166">
        <v>23048</v>
      </c>
      <c r="O457" s="387">
        <v>0.19</v>
      </c>
      <c r="P457" s="389">
        <f t="shared" si="69"/>
        <v>276576</v>
      </c>
      <c r="Q457" s="390">
        <f t="shared" si="70"/>
        <v>22499</v>
      </c>
      <c r="R457" s="387">
        <v>0.19</v>
      </c>
      <c r="S457" s="390">
        <f t="shared" si="71"/>
        <v>269988</v>
      </c>
      <c r="T457" s="92">
        <v>10</v>
      </c>
      <c r="U457" s="92">
        <f t="shared" si="72"/>
        <v>22</v>
      </c>
    </row>
    <row r="458" spans="1:21" ht="15" x14ac:dyDescent="0.3">
      <c r="A458" s="386">
        <v>5</v>
      </c>
      <c r="B458" s="386">
        <v>242743</v>
      </c>
      <c r="C458" s="386">
        <v>110171607</v>
      </c>
      <c r="D458" s="395">
        <v>10171802</v>
      </c>
      <c r="E458" s="385">
        <v>54</v>
      </c>
      <c r="F458" s="300" t="s">
        <v>781</v>
      </c>
      <c r="G458" s="386" t="s">
        <v>261</v>
      </c>
      <c r="H458" s="386"/>
      <c r="I458" s="386"/>
      <c r="J458" s="385">
        <v>11</v>
      </c>
      <c r="K458" s="167">
        <v>21500</v>
      </c>
      <c r="L458" s="387">
        <v>0.19</v>
      </c>
      <c r="M458" s="388">
        <f t="shared" si="68"/>
        <v>236500</v>
      </c>
      <c r="N458" s="166">
        <v>22575</v>
      </c>
      <c r="O458" s="387">
        <v>0.19</v>
      </c>
      <c r="P458" s="389">
        <f t="shared" si="69"/>
        <v>248325</v>
      </c>
      <c r="Q458" s="390">
        <f t="shared" si="70"/>
        <v>22037.5</v>
      </c>
      <c r="R458" s="387">
        <v>0.19</v>
      </c>
      <c r="S458" s="390">
        <f t="shared" si="71"/>
        <v>242412.5</v>
      </c>
      <c r="T458" s="92">
        <v>10</v>
      </c>
      <c r="U458" s="92">
        <f t="shared" si="72"/>
        <v>21</v>
      </c>
    </row>
    <row r="459" spans="1:21" ht="15" x14ac:dyDescent="0.3">
      <c r="A459" s="386">
        <v>5</v>
      </c>
      <c r="B459" s="386">
        <v>274202</v>
      </c>
      <c r="C459" s="386">
        <v>110171607</v>
      </c>
      <c r="D459" s="395">
        <v>10171802</v>
      </c>
      <c r="E459" s="385">
        <v>55</v>
      </c>
      <c r="F459" s="300" t="s">
        <v>782</v>
      </c>
      <c r="G459" s="386" t="s">
        <v>594</v>
      </c>
      <c r="H459" s="386"/>
      <c r="I459" s="386"/>
      <c r="J459" s="385">
        <v>11</v>
      </c>
      <c r="K459" s="167">
        <v>3750</v>
      </c>
      <c r="L459" s="387">
        <v>0.19</v>
      </c>
      <c r="M459" s="388">
        <f t="shared" si="68"/>
        <v>41250</v>
      </c>
      <c r="N459" s="166">
        <v>3938</v>
      </c>
      <c r="O459" s="387">
        <v>0.19</v>
      </c>
      <c r="P459" s="389">
        <f t="shared" si="69"/>
        <v>43318</v>
      </c>
      <c r="Q459" s="390">
        <f t="shared" si="70"/>
        <v>3844</v>
      </c>
      <c r="R459" s="387">
        <v>0.19</v>
      </c>
      <c r="S459" s="390">
        <f t="shared" si="71"/>
        <v>42284</v>
      </c>
      <c r="T459" s="92">
        <v>10</v>
      </c>
      <c r="U459" s="92">
        <f t="shared" si="72"/>
        <v>21</v>
      </c>
    </row>
    <row r="460" spans="1:21" ht="15" x14ac:dyDescent="0.3">
      <c r="A460" s="386">
        <v>5</v>
      </c>
      <c r="B460" s="386">
        <v>239550</v>
      </c>
      <c r="C460" s="386">
        <v>110171607</v>
      </c>
      <c r="D460" s="395">
        <v>10171802</v>
      </c>
      <c r="E460" s="385">
        <v>56</v>
      </c>
      <c r="F460" s="300" t="s">
        <v>783</v>
      </c>
      <c r="G460" s="386" t="s">
        <v>594</v>
      </c>
      <c r="H460" s="386"/>
      <c r="I460" s="386"/>
      <c r="J460" s="385">
        <v>11</v>
      </c>
      <c r="K460" s="167">
        <v>4500</v>
      </c>
      <c r="L460" s="387">
        <v>0.19</v>
      </c>
      <c r="M460" s="388">
        <f t="shared" si="68"/>
        <v>49500</v>
      </c>
      <c r="N460" s="166">
        <v>4725</v>
      </c>
      <c r="O460" s="387">
        <v>0.19</v>
      </c>
      <c r="P460" s="389">
        <f t="shared" si="69"/>
        <v>51975</v>
      </c>
      <c r="Q460" s="390">
        <f t="shared" si="70"/>
        <v>4612.5</v>
      </c>
      <c r="R460" s="387">
        <v>0.19</v>
      </c>
      <c r="S460" s="390">
        <f t="shared" si="71"/>
        <v>50737.5</v>
      </c>
      <c r="T460" s="92">
        <v>10</v>
      </c>
      <c r="U460" s="92">
        <f t="shared" si="72"/>
        <v>21</v>
      </c>
    </row>
    <row r="461" spans="1:21" ht="28.5" customHeight="1" x14ac:dyDescent="0.3">
      <c r="A461" s="162">
        <v>5</v>
      </c>
      <c r="B461" s="162">
        <v>234159</v>
      </c>
      <c r="C461" s="162">
        <v>110171607</v>
      </c>
      <c r="D461" s="162">
        <v>10171505</v>
      </c>
      <c r="E461" s="385">
        <v>57</v>
      </c>
      <c r="F461" s="396" t="s">
        <v>784</v>
      </c>
      <c r="G461" s="169" t="s">
        <v>134</v>
      </c>
      <c r="H461" s="169"/>
      <c r="I461" s="169"/>
      <c r="J461" s="170">
        <v>11</v>
      </c>
      <c r="K461" s="167">
        <v>45800</v>
      </c>
      <c r="L461" s="387">
        <v>0.19</v>
      </c>
      <c r="M461" s="388">
        <f t="shared" si="68"/>
        <v>503800</v>
      </c>
      <c r="N461" s="166">
        <v>48090</v>
      </c>
      <c r="O461" s="387">
        <v>0.19</v>
      </c>
      <c r="P461" s="389">
        <f t="shared" si="69"/>
        <v>528990</v>
      </c>
      <c r="Q461" s="390">
        <f t="shared" si="70"/>
        <v>46945</v>
      </c>
      <c r="R461" s="387">
        <v>0.19</v>
      </c>
      <c r="S461" s="390">
        <f t="shared" si="71"/>
        <v>516395</v>
      </c>
      <c r="T461" s="92">
        <v>10</v>
      </c>
      <c r="U461" s="92">
        <f t="shared" si="72"/>
        <v>21</v>
      </c>
    </row>
    <row r="462" spans="1:21" ht="124.2" x14ac:dyDescent="0.3">
      <c r="A462" s="162">
        <v>5</v>
      </c>
      <c r="B462" s="162">
        <v>234159</v>
      </c>
      <c r="C462" s="162">
        <v>110171607</v>
      </c>
      <c r="D462" s="162">
        <v>10171505</v>
      </c>
      <c r="E462" s="385">
        <v>58</v>
      </c>
      <c r="F462" s="164" t="s">
        <v>785</v>
      </c>
      <c r="G462" s="171" t="s">
        <v>134</v>
      </c>
      <c r="H462" s="171"/>
      <c r="I462" s="171"/>
      <c r="J462" s="170">
        <v>11</v>
      </c>
      <c r="K462" s="167">
        <v>36800</v>
      </c>
      <c r="L462" s="387">
        <v>0.19</v>
      </c>
      <c r="M462" s="388">
        <f t="shared" si="68"/>
        <v>404800</v>
      </c>
      <c r="N462" s="166">
        <v>38640</v>
      </c>
      <c r="O462" s="387">
        <v>0.19</v>
      </c>
      <c r="P462" s="389">
        <f t="shared" si="69"/>
        <v>425040</v>
      </c>
      <c r="Q462" s="390">
        <f t="shared" si="70"/>
        <v>37720</v>
      </c>
      <c r="R462" s="387">
        <v>0.19</v>
      </c>
      <c r="S462" s="390">
        <f t="shared" si="71"/>
        <v>414920</v>
      </c>
      <c r="T462" s="92">
        <v>10</v>
      </c>
      <c r="U462" s="92">
        <f t="shared" si="72"/>
        <v>21</v>
      </c>
    </row>
    <row r="463" spans="1:21" ht="15" x14ac:dyDescent="0.3">
      <c r="A463" s="162">
        <v>5</v>
      </c>
      <c r="B463" s="162">
        <v>249332</v>
      </c>
      <c r="C463" s="162">
        <v>110171607</v>
      </c>
      <c r="D463" s="162">
        <v>11111501</v>
      </c>
      <c r="E463" s="385">
        <v>59</v>
      </c>
      <c r="F463" s="396" t="s">
        <v>786</v>
      </c>
      <c r="G463" s="169" t="s">
        <v>753</v>
      </c>
      <c r="H463" s="169"/>
      <c r="I463" s="169"/>
      <c r="J463" s="170">
        <v>13</v>
      </c>
      <c r="K463" s="167">
        <v>35000</v>
      </c>
      <c r="L463" s="387">
        <v>0.19</v>
      </c>
      <c r="M463" s="388">
        <f t="shared" si="68"/>
        <v>455000</v>
      </c>
      <c r="N463" s="166">
        <v>36750</v>
      </c>
      <c r="O463" s="387">
        <v>0.19</v>
      </c>
      <c r="P463" s="389">
        <f t="shared" si="69"/>
        <v>477750</v>
      </c>
      <c r="Q463" s="390">
        <f t="shared" si="70"/>
        <v>35875</v>
      </c>
      <c r="R463" s="387">
        <v>0.19</v>
      </c>
      <c r="S463" s="390">
        <f t="shared" si="71"/>
        <v>466375</v>
      </c>
      <c r="T463" s="92">
        <v>10</v>
      </c>
      <c r="U463" s="92">
        <f t="shared" si="72"/>
        <v>23</v>
      </c>
    </row>
    <row r="464" spans="1:21" ht="31.5" customHeight="1" x14ac:dyDescent="0.3">
      <c r="A464" s="162">
        <v>5</v>
      </c>
      <c r="B464" s="162">
        <v>274818</v>
      </c>
      <c r="C464" s="162">
        <v>141102033</v>
      </c>
      <c r="D464" s="162">
        <v>12161706</v>
      </c>
      <c r="E464" s="385">
        <v>60</v>
      </c>
      <c r="F464" s="396" t="s">
        <v>787</v>
      </c>
      <c r="G464" s="169" t="s">
        <v>788</v>
      </c>
      <c r="H464" s="169"/>
      <c r="I464" s="169"/>
      <c r="J464" s="170">
        <v>12</v>
      </c>
      <c r="K464" s="167">
        <v>35000</v>
      </c>
      <c r="L464" s="387">
        <v>0.19</v>
      </c>
      <c r="M464" s="388">
        <f t="shared" si="68"/>
        <v>420000</v>
      </c>
      <c r="N464" s="166">
        <v>36750</v>
      </c>
      <c r="O464" s="387">
        <v>0.19</v>
      </c>
      <c r="P464" s="389">
        <f t="shared" si="69"/>
        <v>441000</v>
      </c>
      <c r="Q464" s="390">
        <f t="shared" si="70"/>
        <v>35875</v>
      </c>
      <c r="R464" s="387">
        <v>0.19</v>
      </c>
      <c r="S464" s="390">
        <f t="shared" si="71"/>
        <v>430500</v>
      </c>
      <c r="T464" s="92">
        <v>10</v>
      </c>
      <c r="U464" s="92">
        <f t="shared" si="72"/>
        <v>22</v>
      </c>
    </row>
    <row r="465" spans="1:21" ht="73.5" customHeight="1" x14ac:dyDescent="0.3">
      <c r="A465" s="162">
        <v>5</v>
      </c>
      <c r="B465" s="162">
        <v>241175</v>
      </c>
      <c r="C465" s="162">
        <v>110171607</v>
      </c>
      <c r="D465" s="162">
        <v>10171505</v>
      </c>
      <c r="E465" s="385">
        <v>61</v>
      </c>
      <c r="F465" s="396" t="s">
        <v>789</v>
      </c>
      <c r="G465" s="169" t="s">
        <v>134</v>
      </c>
      <c r="H465" s="169"/>
      <c r="I465" s="169"/>
      <c r="J465" s="170">
        <v>11</v>
      </c>
      <c r="K465" s="167">
        <v>96000</v>
      </c>
      <c r="L465" s="387">
        <v>0.19</v>
      </c>
      <c r="M465" s="388">
        <f t="shared" si="68"/>
        <v>1056000</v>
      </c>
      <c r="N465" s="166">
        <v>100800</v>
      </c>
      <c r="O465" s="387">
        <v>0.19</v>
      </c>
      <c r="P465" s="389">
        <f t="shared" si="69"/>
        <v>1108800</v>
      </c>
      <c r="Q465" s="390">
        <f t="shared" si="70"/>
        <v>98400</v>
      </c>
      <c r="R465" s="387">
        <v>0.19</v>
      </c>
      <c r="S465" s="390">
        <f t="shared" si="71"/>
        <v>1082400</v>
      </c>
      <c r="T465" s="92">
        <v>10</v>
      </c>
      <c r="U465" s="92">
        <f t="shared" si="72"/>
        <v>21</v>
      </c>
    </row>
    <row r="466" spans="1:21" ht="27.6" x14ac:dyDescent="0.3">
      <c r="A466" s="386">
        <v>5</v>
      </c>
      <c r="B466" s="385">
        <v>275401</v>
      </c>
      <c r="C466" s="385">
        <v>151211822</v>
      </c>
      <c r="D466" s="385">
        <v>42132203</v>
      </c>
      <c r="E466" s="385">
        <v>62</v>
      </c>
      <c r="F466" s="391" t="s">
        <v>790</v>
      </c>
      <c r="G466" s="385" t="s">
        <v>791</v>
      </c>
      <c r="H466" s="385"/>
      <c r="I466" s="385"/>
      <c r="J466" s="385">
        <v>11</v>
      </c>
      <c r="K466" s="172">
        <v>45000</v>
      </c>
      <c r="L466" s="387">
        <v>0.19</v>
      </c>
      <c r="M466" s="388">
        <f>K466*J466</f>
        <v>495000</v>
      </c>
      <c r="N466" s="397">
        <v>47250</v>
      </c>
      <c r="O466" s="387">
        <v>0.19</v>
      </c>
      <c r="P466" s="389">
        <f>N466*J466</f>
        <v>519750</v>
      </c>
      <c r="Q466" s="398">
        <f>(N466+K466)/2</f>
        <v>46125</v>
      </c>
      <c r="R466" s="387">
        <v>0.19</v>
      </c>
      <c r="S466" s="390">
        <f t="shared" si="71"/>
        <v>507375</v>
      </c>
      <c r="T466" s="92">
        <v>10</v>
      </c>
      <c r="U466" s="92">
        <f t="shared" si="72"/>
        <v>21</v>
      </c>
    </row>
    <row r="467" spans="1:21" ht="28.5" customHeight="1" x14ac:dyDescent="0.3">
      <c r="A467" s="386">
        <v>5</v>
      </c>
      <c r="B467" s="386">
        <v>252508</v>
      </c>
      <c r="C467" s="385">
        <v>142121611</v>
      </c>
      <c r="D467" s="385">
        <v>51182403</v>
      </c>
      <c r="E467" s="385">
        <v>63</v>
      </c>
      <c r="F467" s="300" t="s">
        <v>792</v>
      </c>
      <c r="G467" s="386" t="s">
        <v>793</v>
      </c>
      <c r="H467" s="386"/>
      <c r="I467" s="386"/>
      <c r="J467" s="386">
        <v>11</v>
      </c>
      <c r="K467" s="172">
        <v>32500</v>
      </c>
      <c r="L467" s="387">
        <v>0.19</v>
      </c>
      <c r="M467" s="388">
        <f t="shared" ref="M467:M485" si="73">K467*J467</f>
        <v>357500</v>
      </c>
      <c r="N467" s="397">
        <v>34125</v>
      </c>
      <c r="O467" s="387">
        <v>0.19</v>
      </c>
      <c r="P467" s="389">
        <f t="shared" ref="P467:P485" si="74">N467*J467</f>
        <v>375375</v>
      </c>
      <c r="Q467" s="398">
        <f t="shared" ref="Q467:Q485" si="75">(N467+K467)/2</f>
        <v>33312.5</v>
      </c>
      <c r="R467" s="387">
        <v>0.19</v>
      </c>
      <c r="S467" s="390">
        <f t="shared" si="71"/>
        <v>366437.5</v>
      </c>
      <c r="T467" s="92">
        <v>10</v>
      </c>
      <c r="U467" s="92">
        <f t="shared" si="72"/>
        <v>21</v>
      </c>
    </row>
    <row r="468" spans="1:21" ht="15" x14ac:dyDescent="0.3">
      <c r="A468" s="386">
        <v>5</v>
      </c>
      <c r="B468" s="386">
        <v>235077</v>
      </c>
      <c r="C468" s="385">
        <v>142121611</v>
      </c>
      <c r="D468" s="385">
        <v>51102710</v>
      </c>
      <c r="E468" s="385">
        <v>64</v>
      </c>
      <c r="F468" s="300" t="s">
        <v>794</v>
      </c>
      <c r="G468" s="386" t="s">
        <v>793</v>
      </c>
      <c r="H468" s="386"/>
      <c r="I468" s="386"/>
      <c r="J468" s="386">
        <v>11</v>
      </c>
      <c r="K468" s="172">
        <v>15200</v>
      </c>
      <c r="L468" s="387">
        <v>0.19</v>
      </c>
      <c r="M468" s="388">
        <f t="shared" si="73"/>
        <v>167200</v>
      </c>
      <c r="N468" s="397">
        <v>15960</v>
      </c>
      <c r="O468" s="387">
        <v>0.19</v>
      </c>
      <c r="P468" s="389">
        <f t="shared" si="74"/>
        <v>175560</v>
      </c>
      <c r="Q468" s="398">
        <f t="shared" si="75"/>
        <v>15580</v>
      </c>
      <c r="R468" s="387">
        <v>0.19</v>
      </c>
      <c r="S468" s="390">
        <f t="shared" si="71"/>
        <v>171380</v>
      </c>
      <c r="T468" s="92">
        <v>10</v>
      </c>
      <c r="U468" s="92">
        <f t="shared" si="72"/>
        <v>21</v>
      </c>
    </row>
    <row r="469" spans="1:21" ht="15" x14ac:dyDescent="0.3">
      <c r="A469" s="386">
        <v>5</v>
      </c>
      <c r="B469" s="386">
        <v>236105</v>
      </c>
      <c r="C469" s="385">
        <v>142121611</v>
      </c>
      <c r="D469" s="385">
        <v>51142904</v>
      </c>
      <c r="E469" s="385">
        <v>65</v>
      </c>
      <c r="F469" s="300" t="s">
        <v>795</v>
      </c>
      <c r="G469" s="386" t="s">
        <v>793</v>
      </c>
      <c r="H469" s="386"/>
      <c r="I469" s="386"/>
      <c r="J469" s="386">
        <v>11</v>
      </c>
      <c r="K469" s="172">
        <v>42700</v>
      </c>
      <c r="L469" s="387">
        <v>0.19</v>
      </c>
      <c r="M469" s="388">
        <f t="shared" si="73"/>
        <v>469700</v>
      </c>
      <c r="N469" s="397">
        <v>44835</v>
      </c>
      <c r="O469" s="387">
        <v>0.19</v>
      </c>
      <c r="P469" s="389">
        <f t="shared" si="74"/>
        <v>493185</v>
      </c>
      <c r="Q469" s="398">
        <f t="shared" si="75"/>
        <v>43767.5</v>
      </c>
      <c r="R469" s="387">
        <v>0.19</v>
      </c>
      <c r="S469" s="390">
        <f t="shared" si="71"/>
        <v>481442.5</v>
      </c>
      <c r="T469" s="92">
        <v>10</v>
      </c>
      <c r="U469" s="92">
        <f t="shared" si="72"/>
        <v>21</v>
      </c>
    </row>
    <row r="470" spans="1:21" ht="15" x14ac:dyDescent="0.3">
      <c r="A470" s="386">
        <v>5</v>
      </c>
      <c r="B470" s="386">
        <v>280195</v>
      </c>
      <c r="C470" s="385">
        <v>142121611</v>
      </c>
      <c r="D470" s="385">
        <v>42121600</v>
      </c>
      <c r="E470" s="385">
        <v>66</v>
      </c>
      <c r="F470" s="300" t="s">
        <v>796</v>
      </c>
      <c r="G470" s="386" t="s">
        <v>134</v>
      </c>
      <c r="H470" s="386"/>
      <c r="I470" s="386"/>
      <c r="J470" s="386">
        <v>11</v>
      </c>
      <c r="K470" s="172">
        <v>47950</v>
      </c>
      <c r="L470" s="387">
        <v>0.19</v>
      </c>
      <c r="M470" s="388">
        <f t="shared" si="73"/>
        <v>527450</v>
      </c>
      <c r="N470" s="397">
        <v>50348</v>
      </c>
      <c r="O470" s="387">
        <v>0.19</v>
      </c>
      <c r="P470" s="389">
        <f t="shared" si="74"/>
        <v>553828</v>
      </c>
      <c r="Q470" s="398">
        <f t="shared" si="75"/>
        <v>49149</v>
      </c>
      <c r="R470" s="387">
        <v>0.19</v>
      </c>
      <c r="S470" s="390">
        <f t="shared" ref="S470:S485" si="76">Q470*J470</f>
        <v>540639</v>
      </c>
      <c r="T470" s="92">
        <v>10</v>
      </c>
      <c r="U470" s="92">
        <f t="shared" ref="U470:U486" si="77">J470+T470</f>
        <v>21</v>
      </c>
    </row>
    <row r="471" spans="1:21" ht="15" x14ac:dyDescent="0.3">
      <c r="A471" s="386">
        <v>5</v>
      </c>
      <c r="B471" s="386">
        <v>254360</v>
      </c>
      <c r="C471" s="385">
        <v>142121611</v>
      </c>
      <c r="D471" s="385">
        <v>42121600</v>
      </c>
      <c r="E471" s="385">
        <v>67</v>
      </c>
      <c r="F471" s="300" t="s">
        <v>797</v>
      </c>
      <c r="G471" s="386" t="s">
        <v>798</v>
      </c>
      <c r="H471" s="386"/>
      <c r="I471" s="386"/>
      <c r="J471" s="386">
        <v>11</v>
      </c>
      <c r="K471" s="172">
        <v>76000</v>
      </c>
      <c r="L471" s="387">
        <v>0.19</v>
      </c>
      <c r="M471" s="388">
        <f t="shared" si="73"/>
        <v>836000</v>
      </c>
      <c r="N471" s="397">
        <v>79800</v>
      </c>
      <c r="O471" s="387">
        <v>0.19</v>
      </c>
      <c r="P471" s="389">
        <f t="shared" si="74"/>
        <v>877800</v>
      </c>
      <c r="Q471" s="398">
        <f t="shared" si="75"/>
        <v>77900</v>
      </c>
      <c r="R471" s="387">
        <v>0.19</v>
      </c>
      <c r="S471" s="390">
        <f t="shared" si="76"/>
        <v>856900</v>
      </c>
      <c r="T471" s="92">
        <v>10</v>
      </c>
      <c r="U471" s="92">
        <f t="shared" si="77"/>
        <v>21</v>
      </c>
    </row>
    <row r="472" spans="1:21" ht="27.6" x14ac:dyDescent="0.3">
      <c r="A472" s="385">
        <v>5</v>
      </c>
      <c r="B472" s="385">
        <v>235073</v>
      </c>
      <c r="C472" s="385">
        <v>142121611</v>
      </c>
      <c r="D472" s="385">
        <v>51101507</v>
      </c>
      <c r="E472" s="385">
        <v>68</v>
      </c>
      <c r="F472" s="391" t="s">
        <v>799</v>
      </c>
      <c r="G472" s="385" t="s">
        <v>800</v>
      </c>
      <c r="H472" s="385"/>
      <c r="I472" s="385"/>
      <c r="J472" s="385">
        <v>11</v>
      </c>
      <c r="K472" s="172">
        <v>96000</v>
      </c>
      <c r="L472" s="387">
        <v>0.19</v>
      </c>
      <c r="M472" s="388">
        <f t="shared" si="73"/>
        <v>1056000</v>
      </c>
      <c r="N472" s="397">
        <v>100800</v>
      </c>
      <c r="O472" s="387">
        <v>0.19</v>
      </c>
      <c r="P472" s="389">
        <f t="shared" si="74"/>
        <v>1108800</v>
      </c>
      <c r="Q472" s="398">
        <f t="shared" si="75"/>
        <v>98400</v>
      </c>
      <c r="R472" s="387">
        <v>0.19</v>
      </c>
      <c r="S472" s="390">
        <f t="shared" si="76"/>
        <v>1082400</v>
      </c>
      <c r="T472" s="92">
        <v>10</v>
      </c>
      <c r="U472" s="92">
        <f t="shared" si="77"/>
        <v>21</v>
      </c>
    </row>
    <row r="473" spans="1:21" ht="27.6" x14ac:dyDescent="0.3">
      <c r="A473" s="385">
        <v>5</v>
      </c>
      <c r="B473" s="385">
        <v>235074</v>
      </c>
      <c r="C473" s="385">
        <v>142121611</v>
      </c>
      <c r="D473" s="385">
        <v>51191704</v>
      </c>
      <c r="E473" s="385">
        <v>69</v>
      </c>
      <c r="F473" s="391" t="s">
        <v>801</v>
      </c>
      <c r="G473" s="385" t="s">
        <v>800</v>
      </c>
      <c r="H473" s="385"/>
      <c r="I473" s="385"/>
      <c r="J473" s="385">
        <v>11</v>
      </c>
      <c r="K473" s="172">
        <v>87550</v>
      </c>
      <c r="L473" s="387">
        <v>0.19</v>
      </c>
      <c r="M473" s="388">
        <f t="shared" si="73"/>
        <v>963050</v>
      </c>
      <c r="N473" s="397">
        <v>91928</v>
      </c>
      <c r="O473" s="387">
        <v>0.19</v>
      </c>
      <c r="P473" s="389">
        <f t="shared" si="74"/>
        <v>1011208</v>
      </c>
      <c r="Q473" s="398">
        <f t="shared" si="75"/>
        <v>89739</v>
      </c>
      <c r="R473" s="387">
        <v>0.19</v>
      </c>
      <c r="S473" s="390">
        <f t="shared" si="76"/>
        <v>987129</v>
      </c>
      <c r="T473" s="92">
        <v>10</v>
      </c>
      <c r="U473" s="92">
        <f t="shared" si="77"/>
        <v>21</v>
      </c>
    </row>
    <row r="474" spans="1:21" ht="27.6" x14ac:dyDescent="0.3">
      <c r="A474" s="385">
        <v>5</v>
      </c>
      <c r="B474" s="385">
        <v>235077</v>
      </c>
      <c r="C474" s="385">
        <v>142121611</v>
      </c>
      <c r="D474" s="385">
        <v>42312313</v>
      </c>
      <c r="E474" s="385">
        <v>70</v>
      </c>
      <c r="F474" s="391" t="s">
        <v>802</v>
      </c>
      <c r="G474" s="385" t="s">
        <v>803</v>
      </c>
      <c r="H474" s="385"/>
      <c r="I474" s="385"/>
      <c r="J474" s="385">
        <v>11</v>
      </c>
      <c r="K474" s="172">
        <v>78000</v>
      </c>
      <c r="L474" s="387">
        <v>0.19</v>
      </c>
      <c r="M474" s="388">
        <f t="shared" si="73"/>
        <v>858000</v>
      </c>
      <c r="N474" s="397">
        <v>81900</v>
      </c>
      <c r="O474" s="387">
        <v>0.19</v>
      </c>
      <c r="P474" s="389">
        <f t="shared" si="74"/>
        <v>900900</v>
      </c>
      <c r="Q474" s="398">
        <f t="shared" si="75"/>
        <v>79950</v>
      </c>
      <c r="R474" s="387">
        <v>0.19</v>
      </c>
      <c r="S474" s="390">
        <f t="shared" si="76"/>
        <v>879450</v>
      </c>
      <c r="T474" s="92">
        <v>10</v>
      </c>
      <c r="U474" s="92">
        <f t="shared" si="77"/>
        <v>21</v>
      </c>
    </row>
    <row r="475" spans="1:21" ht="27.6" x14ac:dyDescent="0.3">
      <c r="A475" s="385">
        <v>5</v>
      </c>
      <c r="B475" s="385">
        <v>235079</v>
      </c>
      <c r="C475" s="385">
        <v>142121611</v>
      </c>
      <c r="D475" s="385">
        <v>51142902</v>
      </c>
      <c r="E475" s="385">
        <v>71</v>
      </c>
      <c r="F475" s="391" t="s">
        <v>804</v>
      </c>
      <c r="G475" s="385" t="s">
        <v>803</v>
      </c>
      <c r="H475" s="385"/>
      <c r="I475" s="385"/>
      <c r="J475" s="385">
        <v>11</v>
      </c>
      <c r="K475" s="172">
        <v>47800</v>
      </c>
      <c r="L475" s="387">
        <v>0.19</v>
      </c>
      <c r="M475" s="388">
        <f t="shared" si="73"/>
        <v>525800</v>
      </c>
      <c r="N475" s="397">
        <v>50190</v>
      </c>
      <c r="O475" s="387">
        <v>0.19</v>
      </c>
      <c r="P475" s="389">
        <f t="shared" si="74"/>
        <v>552090</v>
      </c>
      <c r="Q475" s="398">
        <f t="shared" si="75"/>
        <v>48995</v>
      </c>
      <c r="R475" s="387">
        <v>0.19</v>
      </c>
      <c r="S475" s="390">
        <f t="shared" si="76"/>
        <v>538945</v>
      </c>
      <c r="T475" s="92">
        <v>10</v>
      </c>
      <c r="U475" s="92">
        <f t="shared" si="77"/>
        <v>21</v>
      </c>
    </row>
    <row r="476" spans="1:21" ht="27.75" customHeight="1" x14ac:dyDescent="0.3">
      <c r="A476" s="385">
        <v>5</v>
      </c>
      <c r="B476" s="385">
        <v>236116</v>
      </c>
      <c r="C476" s="385">
        <v>142121611</v>
      </c>
      <c r="D476" s="385">
        <v>51191704</v>
      </c>
      <c r="E476" s="385">
        <v>72</v>
      </c>
      <c r="F476" s="391" t="s">
        <v>805</v>
      </c>
      <c r="G476" s="385" t="s">
        <v>803</v>
      </c>
      <c r="H476" s="385"/>
      <c r="I476" s="385"/>
      <c r="J476" s="385">
        <v>11</v>
      </c>
      <c r="K476" s="172">
        <v>79500</v>
      </c>
      <c r="L476" s="387">
        <v>0.19</v>
      </c>
      <c r="M476" s="388">
        <f t="shared" si="73"/>
        <v>874500</v>
      </c>
      <c r="N476" s="397">
        <v>83475</v>
      </c>
      <c r="O476" s="387">
        <v>0.19</v>
      </c>
      <c r="P476" s="389">
        <f t="shared" si="74"/>
        <v>918225</v>
      </c>
      <c r="Q476" s="398">
        <f t="shared" si="75"/>
        <v>81487.5</v>
      </c>
      <c r="R476" s="387">
        <v>0.19</v>
      </c>
      <c r="S476" s="390">
        <f t="shared" si="76"/>
        <v>896362.5</v>
      </c>
      <c r="T476" s="92">
        <v>10</v>
      </c>
      <c r="U476" s="92">
        <f t="shared" si="77"/>
        <v>21</v>
      </c>
    </row>
    <row r="477" spans="1:21" ht="15" x14ac:dyDescent="0.3">
      <c r="A477" s="385">
        <v>5</v>
      </c>
      <c r="B477" s="385">
        <v>236117</v>
      </c>
      <c r="C477" s="385">
        <v>142121611</v>
      </c>
      <c r="D477" s="385">
        <v>41104213</v>
      </c>
      <c r="E477" s="385">
        <v>73</v>
      </c>
      <c r="F477" s="391" t="s">
        <v>806</v>
      </c>
      <c r="G477" s="385" t="s">
        <v>803</v>
      </c>
      <c r="H477" s="385"/>
      <c r="I477" s="385"/>
      <c r="J477" s="385">
        <v>11</v>
      </c>
      <c r="K477" s="172">
        <v>7500</v>
      </c>
      <c r="L477" s="387">
        <v>0.19</v>
      </c>
      <c r="M477" s="388">
        <f t="shared" si="73"/>
        <v>82500</v>
      </c>
      <c r="N477" s="397">
        <v>7875</v>
      </c>
      <c r="O477" s="387">
        <v>0.19</v>
      </c>
      <c r="P477" s="389">
        <f t="shared" si="74"/>
        <v>86625</v>
      </c>
      <c r="Q477" s="398">
        <f t="shared" si="75"/>
        <v>7687.5</v>
      </c>
      <c r="R477" s="387">
        <v>0.19</v>
      </c>
      <c r="S477" s="390">
        <f t="shared" si="76"/>
        <v>84562.5</v>
      </c>
      <c r="T477" s="92">
        <v>10</v>
      </c>
      <c r="U477" s="92">
        <f t="shared" si="77"/>
        <v>21</v>
      </c>
    </row>
    <row r="478" spans="1:21" ht="27.6" x14ac:dyDescent="0.3">
      <c r="A478" s="385">
        <v>5</v>
      </c>
      <c r="B478" s="385">
        <v>236251</v>
      </c>
      <c r="C478" s="385">
        <v>142121612</v>
      </c>
      <c r="D478" s="385">
        <v>42143203</v>
      </c>
      <c r="E478" s="385">
        <v>74</v>
      </c>
      <c r="F478" s="391" t="s">
        <v>807</v>
      </c>
      <c r="G478" s="385" t="s">
        <v>25</v>
      </c>
      <c r="H478" s="385"/>
      <c r="I478" s="385"/>
      <c r="J478" s="385">
        <v>11</v>
      </c>
      <c r="K478" s="172">
        <v>78950</v>
      </c>
      <c r="L478" s="387">
        <v>0.19</v>
      </c>
      <c r="M478" s="388">
        <f t="shared" si="73"/>
        <v>868450</v>
      </c>
      <c r="N478" s="397">
        <v>82898</v>
      </c>
      <c r="O478" s="387">
        <v>0.19</v>
      </c>
      <c r="P478" s="389">
        <f t="shared" si="74"/>
        <v>911878</v>
      </c>
      <c r="Q478" s="398">
        <f t="shared" si="75"/>
        <v>80924</v>
      </c>
      <c r="R478" s="387">
        <v>0.19</v>
      </c>
      <c r="S478" s="390">
        <f t="shared" si="76"/>
        <v>890164</v>
      </c>
      <c r="T478" s="92">
        <v>10</v>
      </c>
      <c r="U478" s="92">
        <f t="shared" si="77"/>
        <v>21</v>
      </c>
    </row>
    <row r="479" spans="1:21" ht="27.75" customHeight="1" x14ac:dyDescent="0.3">
      <c r="A479" s="385">
        <v>5</v>
      </c>
      <c r="B479" s="385">
        <v>236253</v>
      </c>
      <c r="C479" s="385">
        <v>142121612</v>
      </c>
      <c r="D479" s="385">
        <v>31161618</v>
      </c>
      <c r="E479" s="385">
        <v>75</v>
      </c>
      <c r="F479" s="391" t="s">
        <v>808</v>
      </c>
      <c r="G479" s="385" t="s">
        <v>25</v>
      </c>
      <c r="H479" s="385"/>
      <c r="I479" s="385"/>
      <c r="J479" s="385">
        <v>11</v>
      </c>
      <c r="K479" s="172">
        <v>3000</v>
      </c>
      <c r="L479" s="387">
        <v>0.19</v>
      </c>
      <c r="M479" s="388">
        <f t="shared" si="73"/>
        <v>33000</v>
      </c>
      <c r="N479" s="397">
        <v>3150</v>
      </c>
      <c r="O479" s="387">
        <v>0.19</v>
      </c>
      <c r="P479" s="389">
        <f t="shared" si="74"/>
        <v>34650</v>
      </c>
      <c r="Q479" s="398">
        <f t="shared" si="75"/>
        <v>3075</v>
      </c>
      <c r="R479" s="387">
        <v>0.19</v>
      </c>
      <c r="S479" s="390">
        <f t="shared" si="76"/>
        <v>33825</v>
      </c>
      <c r="T479" s="92">
        <v>10</v>
      </c>
      <c r="U479" s="92">
        <f t="shared" si="77"/>
        <v>21</v>
      </c>
    </row>
    <row r="480" spans="1:21" ht="27.6" x14ac:dyDescent="0.3">
      <c r="A480" s="385">
        <v>5</v>
      </c>
      <c r="B480" s="385">
        <v>236259</v>
      </c>
      <c r="C480" s="385">
        <v>142121612</v>
      </c>
      <c r="D480" s="385">
        <v>42121607</v>
      </c>
      <c r="E480" s="385">
        <v>76</v>
      </c>
      <c r="F480" s="391" t="s">
        <v>809</v>
      </c>
      <c r="G480" s="385" t="s">
        <v>791</v>
      </c>
      <c r="H480" s="385"/>
      <c r="I480" s="385"/>
      <c r="J480" s="385">
        <v>13</v>
      </c>
      <c r="K480" s="172">
        <v>63000</v>
      </c>
      <c r="L480" s="387">
        <v>0.19</v>
      </c>
      <c r="M480" s="388">
        <f t="shared" si="73"/>
        <v>819000</v>
      </c>
      <c r="N480" s="397">
        <v>66150</v>
      </c>
      <c r="O480" s="387">
        <v>0.19</v>
      </c>
      <c r="P480" s="389">
        <f t="shared" si="74"/>
        <v>859950</v>
      </c>
      <c r="Q480" s="398">
        <f t="shared" si="75"/>
        <v>64575</v>
      </c>
      <c r="R480" s="387">
        <v>0.19</v>
      </c>
      <c r="S480" s="390">
        <f t="shared" si="76"/>
        <v>839475</v>
      </c>
      <c r="T480" s="92">
        <v>10</v>
      </c>
      <c r="U480" s="92">
        <f t="shared" si="77"/>
        <v>23</v>
      </c>
    </row>
    <row r="481" spans="1:21" ht="27.6" x14ac:dyDescent="0.3">
      <c r="A481" s="385">
        <v>5</v>
      </c>
      <c r="B481" s="385">
        <v>252519</v>
      </c>
      <c r="C481" s="385">
        <v>142121612</v>
      </c>
      <c r="D481" s="385">
        <v>42142523</v>
      </c>
      <c r="E481" s="385">
        <v>77</v>
      </c>
      <c r="F481" s="391" t="s">
        <v>810</v>
      </c>
      <c r="G481" s="385" t="s">
        <v>791</v>
      </c>
      <c r="H481" s="385"/>
      <c r="I481" s="385"/>
      <c r="J481" s="385">
        <v>11</v>
      </c>
      <c r="K481" s="172">
        <v>12500</v>
      </c>
      <c r="L481" s="387">
        <v>0.19</v>
      </c>
      <c r="M481" s="388">
        <f t="shared" si="73"/>
        <v>137500</v>
      </c>
      <c r="N481" s="397">
        <v>13125</v>
      </c>
      <c r="O481" s="387">
        <v>0.19</v>
      </c>
      <c r="P481" s="389">
        <f t="shared" si="74"/>
        <v>144375</v>
      </c>
      <c r="Q481" s="398">
        <f t="shared" si="75"/>
        <v>12812.5</v>
      </c>
      <c r="R481" s="387">
        <v>0.19</v>
      </c>
      <c r="S481" s="390">
        <f t="shared" si="76"/>
        <v>140937.5</v>
      </c>
      <c r="T481" s="92">
        <v>10</v>
      </c>
      <c r="U481" s="92">
        <f t="shared" si="77"/>
        <v>21</v>
      </c>
    </row>
    <row r="482" spans="1:21" ht="15" x14ac:dyDescent="0.3">
      <c r="A482" s="385">
        <v>5</v>
      </c>
      <c r="B482" s="385">
        <v>234300</v>
      </c>
      <c r="C482" s="385">
        <v>142121612</v>
      </c>
      <c r="D482" s="385">
        <v>42121506</v>
      </c>
      <c r="E482" s="385">
        <v>78</v>
      </c>
      <c r="F482" s="391" t="s">
        <v>811</v>
      </c>
      <c r="G482" s="385" t="s">
        <v>25</v>
      </c>
      <c r="H482" s="385"/>
      <c r="I482" s="385"/>
      <c r="J482" s="385">
        <v>12</v>
      </c>
      <c r="K482" s="172">
        <v>35000</v>
      </c>
      <c r="L482" s="387">
        <v>0.19</v>
      </c>
      <c r="M482" s="388">
        <f t="shared" si="73"/>
        <v>420000</v>
      </c>
      <c r="N482" s="397">
        <v>36750</v>
      </c>
      <c r="O482" s="387">
        <v>0.19</v>
      </c>
      <c r="P482" s="389">
        <f t="shared" si="74"/>
        <v>441000</v>
      </c>
      <c r="Q482" s="398">
        <f t="shared" si="75"/>
        <v>35875</v>
      </c>
      <c r="R482" s="387">
        <v>0.19</v>
      </c>
      <c r="S482" s="390">
        <f t="shared" si="76"/>
        <v>430500</v>
      </c>
      <c r="T482" s="92">
        <v>10</v>
      </c>
      <c r="U482" s="92">
        <f t="shared" si="77"/>
        <v>22</v>
      </c>
    </row>
    <row r="483" spans="1:21" ht="96.6" x14ac:dyDescent="0.3">
      <c r="A483" s="385">
        <v>5</v>
      </c>
      <c r="B483" s="385">
        <v>236275</v>
      </c>
      <c r="C483" s="385">
        <v>142121612</v>
      </c>
      <c r="D483" s="385">
        <v>42121506</v>
      </c>
      <c r="E483" s="385">
        <v>79</v>
      </c>
      <c r="F483" s="391" t="s">
        <v>812</v>
      </c>
      <c r="G483" s="169" t="s">
        <v>813</v>
      </c>
      <c r="H483" s="169"/>
      <c r="I483" s="169"/>
      <c r="J483" s="169">
        <v>11</v>
      </c>
      <c r="K483" s="172">
        <v>758000</v>
      </c>
      <c r="L483" s="387">
        <v>0.19</v>
      </c>
      <c r="M483" s="388">
        <f t="shared" si="73"/>
        <v>8338000</v>
      </c>
      <c r="N483" s="397">
        <v>795900</v>
      </c>
      <c r="O483" s="387">
        <v>0.19</v>
      </c>
      <c r="P483" s="389">
        <f t="shared" si="74"/>
        <v>8754900</v>
      </c>
      <c r="Q483" s="398">
        <f t="shared" si="75"/>
        <v>776950</v>
      </c>
      <c r="R483" s="387">
        <v>0.19</v>
      </c>
      <c r="S483" s="390">
        <f t="shared" si="76"/>
        <v>8546450</v>
      </c>
      <c r="T483" s="92">
        <v>10</v>
      </c>
      <c r="U483" s="92">
        <f t="shared" si="77"/>
        <v>21</v>
      </c>
    </row>
    <row r="484" spans="1:21" ht="27.6" x14ac:dyDescent="0.3">
      <c r="A484" s="385">
        <v>5</v>
      </c>
      <c r="B484" s="385">
        <v>230638</v>
      </c>
      <c r="C484" s="385">
        <v>142121612</v>
      </c>
      <c r="D484" s="385">
        <v>42121506</v>
      </c>
      <c r="E484" s="385">
        <v>80</v>
      </c>
      <c r="F484" s="391" t="s">
        <v>814</v>
      </c>
      <c r="G484" s="385" t="s">
        <v>815</v>
      </c>
      <c r="H484" s="385"/>
      <c r="I484" s="385"/>
      <c r="J484" s="385">
        <v>11</v>
      </c>
      <c r="K484" s="172">
        <v>65800</v>
      </c>
      <c r="L484" s="387">
        <v>0.19</v>
      </c>
      <c r="M484" s="388">
        <f t="shared" si="73"/>
        <v>723800</v>
      </c>
      <c r="N484" s="397">
        <v>69090</v>
      </c>
      <c r="O484" s="387">
        <v>0.19</v>
      </c>
      <c r="P484" s="389">
        <f t="shared" si="74"/>
        <v>759990</v>
      </c>
      <c r="Q484" s="398">
        <f t="shared" si="75"/>
        <v>67445</v>
      </c>
      <c r="R484" s="387">
        <v>0.19</v>
      </c>
      <c r="S484" s="390">
        <f t="shared" si="76"/>
        <v>741895</v>
      </c>
      <c r="T484" s="92">
        <v>10</v>
      </c>
      <c r="U484" s="92">
        <f t="shared" si="77"/>
        <v>21</v>
      </c>
    </row>
    <row r="485" spans="1:21" ht="15" x14ac:dyDescent="0.3">
      <c r="A485" s="385">
        <v>5</v>
      </c>
      <c r="B485" s="385">
        <v>243464</v>
      </c>
      <c r="C485" s="385">
        <v>142121612</v>
      </c>
      <c r="D485" s="385">
        <v>42121506</v>
      </c>
      <c r="E485" s="385">
        <v>81</v>
      </c>
      <c r="F485" s="391" t="s">
        <v>816</v>
      </c>
      <c r="G485" s="385" t="s">
        <v>25</v>
      </c>
      <c r="H485" s="385"/>
      <c r="I485" s="385"/>
      <c r="J485" s="385">
        <v>11</v>
      </c>
      <c r="K485" s="172">
        <v>327000</v>
      </c>
      <c r="L485" s="387">
        <v>0.19</v>
      </c>
      <c r="M485" s="388">
        <f t="shared" si="73"/>
        <v>3597000</v>
      </c>
      <c r="N485" s="397">
        <v>343350</v>
      </c>
      <c r="O485" s="387">
        <v>0.19</v>
      </c>
      <c r="P485" s="389">
        <f t="shared" si="74"/>
        <v>3776850</v>
      </c>
      <c r="Q485" s="398">
        <f t="shared" si="75"/>
        <v>335175</v>
      </c>
      <c r="R485" s="387">
        <v>0.19</v>
      </c>
      <c r="S485" s="390">
        <f t="shared" si="76"/>
        <v>3686925</v>
      </c>
      <c r="T485" s="92">
        <v>10</v>
      </c>
      <c r="U485" s="92">
        <f t="shared" si="77"/>
        <v>21</v>
      </c>
    </row>
    <row r="486" spans="1:21" ht="15" x14ac:dyDescent="0.3">
      <c r="A486" s="724"/>
      <c r="B486" s="724"/>
      <c r="C486" s="724"/>
      <c r="D486" s="724"/>
      <c r="E486" s="724"/>
      <c r="F486" s="724"/>
      <c r="G486" s="724"/>
      <c r="H486" s="724"/>
      <c r="I486" s="724"/>
      <c r="J486" s="724"/>
      <c r="K486" s="724"/>
      <c r="L486" s="724"/>
      <c r="M486" s="399">
        <f>SUM(M405:M485)</f>
        <v>50131600</v>
      </c>
      <c r="N486" s="400"/>
      <c r="O486" s="400"/>
      <c r="P486" s="401">
        <f>SUM(P405:P485)</f>
        <v>52372760</v>
      </c>
      <c r="Q486" s="402"/>
      <c r="R486" s="402"/>
      <c r="S486" s="403">
        <f>SUM(S405:S485)</f>
        <v>51252180</v>
      </c>
      <c r="T486" s="92">
        <v>10</v>
      </c>
      <c r="U486" s="92">
        <f t="shared" si="77"/>
        <v>10</v>
      </c>
    </row>
    <row r="487" spans="1:21" ht="15" x14ac:dyDescent="0.3">
      <c r="T487" s="92">
        <v>10</v>
      </c>
    </row>
    <row r="488" spans="1:21" ht="21" x14ac:dyDescent="0.3">
      <c r="A488" s="608" t="s">
        <v>817</v>
      </c>
      <c r="B488" s="608"/>
      <c r="C488" s="608"/>
      <c r="D488" s="608"/>
      <c r="E488" s="726" t="s">
        <v>817</v>
      </c>
      <c r="F488" s="727"/>
      <c r="G488" s="727"/>
      <c r="H488" s="727"/>
      <c r="I488" s="727"/>
      <c r="J488" s="728"/>
      <c r="K488" s="608"/>
      <c r="L488" s="608"/>
      <c r="M488" s="608"/>
      <c r="N488" s="608"/>
      <c r="O488" s="608"/>
      <c r="P488" s="608"/>
      <c r="Q488" s="608"/>
      <c r="R488" s="608"/>
      <c r="S488" s="608"/>
      <c r="T488" s="92">
        <v>10</v>
      </c>
    </row>
    <row r="489" spans="1:21" ht="15.6" x14ac:dyDescent="0.3">
      <c r="A489" s="709" t="s">
        <v>83</v>
      </c>
      <c r="B489" s="709" t="s">
        <v>84</v>
      </c>
      <c r="C489" s="709" t="s">
        <v>85</v>
      </c>
      <c r="D489" s="711" t="s">
        <v>86</v>
      </c>
      <c r="E489" s="709" t="s">
        <v>6</v>
      </c>
      <c r="F489" s="709" t="s">
        <v>87</v>
      </c>
      <c r="G489" s="709" t="s">
        <v>88</v>
      </c>
      <c r="H489" s="124"/>
      <c r="I489" s="124"/>
      <c r="J489" s="705" t="s">
        <v>89</v>
      </c>
      <c r="K489" s="733" t="s">
        <v>818</v>
      </c>
      <c r="L489" s="734"/>
      <c r="M489" s="735"/>
      <c r="N489" s="723" t="s">
        <v>819</v>
      </c>
      <c r="O489" s="723"/>
      <c r="P489" s="723"/>
      <c r="Q489" s="705" t="s">
        <v>15</v>
      </c>
      <c r="R489" s="705"/>
      <c r="S489" s="705"/>
      <c r="T489" s="92">
        <v>10</v>
      </c>
    </row>
    <row r="490" spans="1:21" ht="46.8" x14ac:dyDescent="0.3">
      <c r="A490" s="709"/>
      <c r="B490" s="709"/>
      <c r="C490" s="709"/>
      <c r="D490" s="711"/>
      <c r="E490" s="709"/>
      <c r="F490" s="709"/>
      <c r="G490" s="709"/>
      <c r="H490" s="124"/>
      <c r="I490" s="124"/>
      <c r="J490" s="705"/>
      <c r="K490" s="25" t="s">
        <v>382</v>
      </c>
      <c r="L490" s="25" t="s">
        <v>17</v>
      </c>
      <c r="M490" s="25" t="s">
        <v>18</v>
      </c>
      <c r="N490" s="25" t="s">
        <v>367</v>
      </c>
      <c r="O490" s="25" t="s">
        <v>17</v>
      </c>
      <c r="P490" s="248" t="s">
        <v>18</v>
      </c>
      <c r="Q490" s="25" t="s">
        <v>367</v>
      </c>
      <c r="R490" s="25" t="s">
        <v>17</v>
      </c>
      <c r="S490" s="25" t="s">
        <v>18</v>
      </c>
      <c r="T490" s="92">
        <v>10</v>
      </c>
    </row>
    <row r="491" spans="1:21" ht="33.75" customHeight="1" x14ac:dyDescent="0.3">
      <c r="A491" s="170">
        <v>5</v>
      </c>
      <c r="B491" s="173" t="s">
        <v>820</v>
      </c>
      <c r="C491" s="173" t="s">
        <v>821</v>
      </c>
      <c r="D491" s="170">
        <v>11161702</v>
      </c>
      <c r="E491" s="170">
        <v>1</v>
      </c>
      <c r="F491" s="219" t="s">
        <v>822</v>
      </c>
      <c r="G491" s="162" t="s">
        <v>823</v>
      </c>
      <c r="H491" s="162"/>
      <c r="I491" s="162"/>
      <c r="J491" s="162">
        <v>28</v>
      </c>
      <c r="K491" s="167">
        <v>9500</v>
      </c>
      <c r="L491" s="387">
        <v>0.19</v>
      </c>
      <c r="M491" s="399">
        <f>K491*J491</f>
        <v>266000</v>
      </c>
      <c r="N491" s="166">
        <v>14000</v>
      </c>
      <c r="O491" s="387">
        <v>0.19</v>
      </c>
      <c r="P491" s="401">
        <f>N491*J491</f>
        <v>392000</v>
      </c>
      <c r="Q491" s="420">
        <f>SUM(K491+N491)/2</f>
        <v>11750</v>
      </c>
      <c r="R491" s="387">
        <v>0.19</v>
      </c>
      <c r="S491" s="420">
        <f>Q491*J491</f>
        <v>329000</v>
      </c>
      <c r="T491" s="92">
        <v>10</v>
      </c>
      <c r="U491">
        <f>J491+T491</f>
        <v>38</v>
      </c>
    </row>
    <row r="492" spans="1:21" ht="27.6" x14ac:dyDescent="0.3">
      <c r="A492" s="170">
        <v>5</v>
      </c>
      <c r="B492" s="173" t="s">
        <v>824</v>
      </c>
      <c r="C492" s="173" t="s">
        <v>825</v>
      </c>
      <c r="D492" s="170">
        <v>60105803</v>
      </c>
      <c r="E492" s="170">
        <v>2</v>
      </c>
      <c r="F492" s="219" t="s">
        <v>826</v>
      </c>
      <c r="G492" s="162" t="s">
        <v>823</v>
      </c>
      <c r="H492" s="162"/>
      <c r="I492" s="162"/>
      <c r="J492" s="162">
        <v>28</v>
      </c>
      <c r="K492" s="167">
        <v>5500</v>
      </c>
      <c r="L492" s="387">
        <v>0.19</v>
      </c>
      <c r="M492" s="399">
        <f t="shared" ref="M492:M515" si="78">K492*J492</f>
        <v>154000</v>
      </c>
      <c r="N492" s="166">
        <v>6090</v>
      </c>
      <c r="O492" s="387">
        <v>0.19</v>
      </c>
      <c r="P492" s="401">
        <f t="shared" ref="P492:P515" si="79">N492*J492</f>
        <v>170520</v>
      </c>
      <c r="Q492" s="420">
        <f t="shared" ref="Q492:Q515" si="80">SUM(K492+N492)/2</f>
        <v>5795</v>
      </c>
      <c r="R492" s="387">
        <v>0.19</v>
      </c>
      <c r="S492" s="420">
        <f t="shared" ref="S492:S515" si="81">Q492*J492</f>
        <v>162260</v>
      </c>
      <c r="T492" s="92">
        <v>10</v>
      </c>
      <c r="U492">
        <f t="shared" ref="U492:U516" si="82">J492+T492</f>
        <v>38</v>
      </c>
    </row>
    <row r="493" spans="1:21" ht="27.6" x14ac:dyDescent="0.3">
      <c r="A493" s="170">
        <v>5</v>
      </c>
      <c r="B493" s="173" t="s">
        <v>824</v>
      </c>
      <c r="C493" s="173" t="s">
        <v>825</v>
      </c>
      <c r="D493" s="170">
        <v>60105803</v>
      </c>
      <c r="E493" s="170">
        <v>3</v>
      </c>
      <c r="F493" s="219" t="s">
        <v>827</v>
      </c>
      <c r="G493" s="162" t="s">
        <v>823</v>
      </c>
      <c r="H493" s="162"/>
      <c r="I493" s="162"/>
      <c r="J493" s="162">
        <v>28</v>
      </c>
      <c r="K493" s="167">
        <v>8240</v>
      </c>
      <c r="L493" s="387">
        <v>0.19</v>
      </c>
      <c r="M493" s="399">
        <f t="shared" si="78"/>
        <v>230720</v>
      </c>
      <c r="N493" s="166">
        <v>5800</v>
      </c>
      <c r="O493" s="387">
        <v>0.19</v>
      </c>
      <c r="P493" s="401">
        <f t="shared" si="79"/>
        <v>162400</v>
      </c>
      <c r="Q493" s="420">
        <f t="shared" si="80"/>
        <v>7020</v>
      </c>
      <c r="R493" s="387">
        <v>0.19</v>
      </c>
      <c r="S493" s="420">
        <f t="shared" si="81"/>
        <v>196560</v>
      </c>
      <c r="T493" s="92">
        <v>10</v>
      </c>
      <c r="U493">
        <f t="shared" si="82"/>
        <v>38</v>
      </c>
    </row>
    <row r="494" spans="1:21" ht="27.75" customHeight="1" x14ac:dyDescent="0.3">
      <c r="A494" s="170">
        <v>5</v>
      </c>
      <c r="B494" s="173" t="s">
        <v>828</v>
      </c>
      <c r="C494" s="173" t="s">
        <v>825</v>
      </c>
      <c r="D494" s="170">
        <v>11161703</v>
      </c>
      <c r="E494" s="170">
        <v>4</v>
      </c>
      <c r="F494" s="219" t="s">
        <v>829</v>
      </c>
      <c r="G494" s="162" t="s">
        <v>823</v>
      </c>
      <c r="H494" s="162"/>
      <c r="I494" s="162"/>
      <c r="J494" s="162">
        <v>28</v>
      </c>
      <c r="K494" s="167">
        <v>9500</v>
      </c>
      <c r="L494" s="387">
        <v>0.19</v>
      </c>
      <c r="M494" s="399">
        <f t="shared" si="78"/>
        <v>266000</v>
      </c>
      <c r="N494" s="166">
        <v>11200</v>
      </c>
      <c r="O494" s="387">
        <v>0.19</v>
      </c>
      <c r="P494" s="401">
        <f t="shared" si="79"/>
        <v>313600</v>
      </c>
      <c r="Q494" s="420">
        <f t="shared" si="80"/>
        <v>10350</v>
      </c>
      <c r="R494" s="387">
        <v>0.19</v>
      </c>
      <c r="S494" s="420">
        <f t="shared" si="81"/>
        <v>289800</v>
      </c>
      <c r="T494" s="92">
        <v>10</v>
      </c>
      <c r="U494">
        <f t="shared" si="82"/>
        <v>38</v>
      </c>
    </row>
    <row r="495" spans="1:21" ht="15" x14ac:dyDescent="0.3">
      <c r="A495" s="170">
        <v>5</v>
      </c>
      <c r="B495" s="173" t="s">
        <v>828</v>
      </c>
      <c r="C495" s="173" t="s">
        <v>825</v>
      </c>
      <c r="D495" s="170">
        <v>11161703</v>
      </c>
      <c r="E495" s="170">
        <v>5</v>
      </c>
      <c r="F495" s="219" t="s">
        <v>830</v>
      </c>
      <c r="G495" s="162" t="s">
        <v>823</v>
      </c>
      <c r="H495" s="162"/>
      <c r="I495" s="162"/>
      <c r="J495" s="162">
        <v>28</v>
      </c>
      <c r="K495" s="167">
        <v>11300</v>
      </c>
      <c r="L495" s="387">
        <v>0.19</v>
      </c>
      <c r="M495" s="399">
        <f t="shared" si="78"/>
        <v>316400</v>
      </c>
      <c r="N495" s="166">
        <v>12390</v>
      </c>
      <c r="O495" s="387">
        <v>0.19</v>
      </c>
      <c r="P495" s="401">
        <f t="shared" si="79"/>
        <v>346920</v>
      </c>
      <c r="Q495" s="420">
        <f t="shared" si="80"/>
        <v>11845</v>
      </c>
      <c r="R495" s="387">
        <v>0.19</v>
      </c>
      <c r="S495" s="420">
        <f t="shared" si="81"/>
        <v>331660</v>
      </c>
      <c r="T495" s="92">
        <v>10</v>
      </c>
      <c r="U495">
        <f t="shared" si="82"/>
        <v>38</v>
      </c>
    </row>
    <row r="496" spans="1:21" ht="27.6" x14ac:dyDescent="0.3">
      <c r="A496" s="170">
        <v>5</v>
      </c>
      <c r="B496" s="173" t="s">
        <v>831</v>
      </c>
      <c r="C496" s="173" t="s">
        <v>825</v>
      </c>
      <c r="D496" s="170">
        <v>11161702</v>
      </c>
      <c r="E496" s="170">
        <v>6</v>
      </c>
      <c r="F496" s="219" t="s">
        <v>832</v>
      </c>
      <c r="G496" s="162" t="s">
        <v>823</v>
      </c>
      <c r="H496" s="162"/>
      <c r="I496" s="162"/>
      <c r="J496" s="162">
        <v>28</v>
      </c>
      <c r="K496" s="167">
        <v>10800</v>
      </c>
      <c r="L496" s="387">
        <v>0.19</v>
      </c>
      <c r="M496" s="399">
        <f t="shared" si="78"/>
        <v>302400</v>
      </c>
      <c r="N496" s="166">
        <v>10950</v>
      </c>
      <c r="O496" s="387">
        <v>0.19</v>
      </c>
      <c r="P496" s="401">
        <f t="shared" si="79"/>
        <v>306600</v>
      </c>
      <c r="Q496" s="420">
        <f t="shared" si="80"/>
        <v>10875</v>
      </c>
      <c r="R496" s="387">
        <v>0.19</v>
      </c>
      <c r="S496" s="420">
        <f t="shared" si="81"/>
        <v>304500</v>
      </c>
      <c r="T496" s="92">
        <v>10</v>
      </c>
      <c r="U496">
        <f t="shared" si="82"/>
        <v>38</v>
      </c>
    </row>
    <row r="497" spans="1:21" ht="28.5" customHeight="1" x14ac:dyDescent="0.3">
      <c r="A497" s="170">
        <v>5</v>
      </c>
      <c r="B497" s="173" t="s">
        <v>833</v>
      </c>
      <c r="C497" s="173" t="s">
        <v>825</v>
      </c>
      <c r="D497" s="170">
        <v>11161800</v>
      </c>
      <c r="E497" s="170">
        <v>7</v>
      </c>
      <c r="F497" s="219" t="s">
        <v>834</v>
      </c>
      <c r="G497" s="162" t="s">
        <v>823</v>
      </c>
      <c r="H497" s="162"/>
      <c r="I497" s="162"/>
      <c r="J497" s="162">
        <v>28</v>
      </c>
      <c r="K497" s="167">
        <v>8640</v>
      </c>
      <c r="L497" s="387">
        <v>0.19</v>
      </c>
      <c r="M497" s="399">
        <f t="shared" si="78"/>
        <v>241920</v>
      </c>
      <c r="N497" s="166">
        <v>8000</v>
      </c>
      <c r="O497" s="387">
        <v>0.19</v>
      </c>
      <c r="P497" s="401">
        <f t="shared" si="79"/>
        <v>224000</v>
      </c>
      <c r="Q497" s="420">
        <f t="shared" si="80"/>
        <v>8320</v>
      </c>
      <c r="R497" s="387">
        <v>0.19</v>
      </c>
      <c r="S497" s="420">
        <f t="shared" si="81"/>
        <v>232960</v>
      </c>
      <c r="T497" s="92">
        <v>10</v>
      </c>
      <c r="U497">
        <f t="shared" si="82"/>
        <v>38</v>
      </c>
    </row>
    <row r="498" spans="1:21" ht="32.25" customHeight="1" x14ac:dyDescent="0.3">
      <c r="A498" s="170">
        <v>5</v>
      </c>
      <c r="B498" s="173" t="s">
        <v>835</v>
      </c>
      <c r="C498" s="173" t="s">
        <v>825</v>
      </c>
      <c r="D498" s="170">
        <v>11161532</v>
      </c>
      <c r="E498" s="170">
        <v>8</v>
      </c>
      <c r="F498" s="219" t="s">
        <v>836</v>
      </c>
      <c r="G498" s="162" t="s">
        <v>823</v>
      </c>
      <c r="H498" s="162"/>
      <c r="I498" s="162"/>
      <c r="J498" s="162">
        <v>28</v>
      </c>
      <c r="K498" s="167">
        <v>10025</v>
      </c>
      <c r="L498" s="387">
        <v>0.19</v>
      </c>
      <c r="M498" s="399">
        <f t="shared" si="78"/>
        <v>280700</v>
      </c>
      <c r="N498" s="166">
        <v>14000</v>
      </c>
      <c r="O498" s="387">
        <v>0.19</v>
      </c>
      <c r="P498" s="401">
        <f t="shared" si="79"/>
        <v>392000</v>
      </c>
      <c r="Q498" s="420">
        <f t="shared" si="80"/>
        <v>12012.5</v>
      </c>
      <c r="R498" s="387">
        <v>0.19</v>
      </c>
      <c r="S498" s="420">
        <f t="shared" si="81"/>
        <v>336350</v>
      </c>
      <c r="T498" s="92">
        <v>10</v>
      </c>
      <c r="U498">
        <f t="shared" si="82"/>
        <v>38</v>
      </c>
    </row>
    <row r="499" spans="1:21" ht="15" x14ac:dyDescent="0.3">
      <c r="A499" s="170">
        <v>5</v>
      </c>
      <c r="B499" s="173" t="s">
        <v>837</v>
      </c>
      <c r="C499" s="173" t="s">
        <v>825</v>
      </c>
      <c r="D499" s="170">
        <v>11161704</v>
      </c>
      <c r="E499" s="170">
        <v>9</v>
      </c>
      <c r="F499" s="219" t="s">
        <v>838</v>
      </c>
      <c r="G499" s="162" t="s">
        <v>823</v>
      </c>
      <c r="H499" s="162"/>
      <c r="I499" s="162"/>
      <c r="J499" s="162">
        <v>28</v>
      </c>
      <c r="K499" s="167">
        <v>14890</v>
      </c>
      <c r="L499" s="387">
        <v>0.19</v>
      </c>
      <c r="M499" s="399">
        <f t="shared" si="78"/>
        <v>416920</v>
      </c>
      <c r="N499" s="166">
        <v>8900</v>
      </c>
      <c r="O499" s="387">
        <v>0.19</v>
      </c>
      <c r="P499" s="401">
        <f t="shared" si="79"/>
        <v>249200</v>
      </c>
      <c r="Q499" s="420">
        <f t="shared" si="80"/>
        <v>11895</v>
      </c>
      <c r="R499" s="387">
        <v>0.19</v>
      </c>
      <c r="S499" s="420">
        <f t="shared" si="81"/>
        <v>333060</v>
      </c>
      <c r="T499" s="92">
        <v>10</v>
      </c>
      <c r="U499">
        <f t="shared" si="82"/>
        <v>38</v>
      </c>
    </row>
    <row r="500" spans="1:21" ht="27.6" x14ac:dyDescent="0.3">
      <c r="A500" s="170">
        <v>5</v>
      </c>
      <c r="B500" s="173" t="s">
        <v>839</v>
      </c>
      <c r="C500" s="173" t="s">
        <v>840</v>
      </c>
      <c r="D500" s="170">
        <v>53141605</v>
      </c>
      <c r="E500" s="170">
        <v>10</v>
      </c>
      <c r="F500" s="219" t="s">
        <v>841</v>
      </c>
      <c r="G500" s="162" t="s">
        <v>842</v>
      </c>
      <c r="H500" s="162"/>
      <c r="I500" s="162"/>
      <c r="J500" s="162">
        <v>30</v>
      </c>
      <c r="K500" s="167">
        <v>6000</v>
      </c>
      <c r="L500" s="387">
        <v>0.19</v>
      </c>
      <c r="M500" s="399">
        <f t="shared" si="78"/>
        <v>180000</v>
      </c>
      <c r="N500" s="166">
        <v>5800</v>
      </c>
      <c r="O500" s="387">
        <v>0.19</v>
      </c>
      <c r="P500" s="401">
        <f t="shared" si="79"/>
        <v>174000</v>
      </c>
      <c r="Q500" s="420">
        <f t="shared" si="80"/>
        <v>5900</v>
      </c>
      <c r="R500" s="387">
        <v>0.19</v>
      </c>
      <c r="S500" s="420">
        <f t="shared" si="81"/>
        <v>177000</v>
      </c>
      <c r="T500" s="92">
        <v>10</v>
      </c>
      <c r="U500">
        <f t="shared" si="82"/>
        <v>40</v>
      </c>
    </row>
    <row r="501" spans="1:21" ht="27.6" x14ac:dyDescent="0.3">
      <c r="A501" s="170">
        <v>5</v>
      </c>
      <c r="B501" s="173" t="s">
        <v>843</v>
      </c>
      <c r="C501" s="173" t="s">
        <v>840</v>
      </c>
      <c r="D501" s="170">
        <v>53141605</v>
      </c>
      <c r="E501" s="170">
        <v>11</v>
      </c>
      <c r="F501" s="219" t="s">
        <v>844</v>
      </c>
      <c r="G501" s="162" t="s">
        <v>842</v>
      </c>
      <c r="H501" s="162"/>
      <c r="I501" s="162"/>
      <c r="J501" s="162">
        <v>30</v>
      </c>
      <c r="K501" s="167">
        <v>8250</v>
      </c>
      <c r="L501" s="387">
        <v>0.19</v>
      </c>
      <c r="M501" s="399">
        <f t="shared" si="78"/>
        <v>247500</v>
      </c>
      <c r="N501" s="166">
        <v>8400</v>
      </c>
      <c r="O501" s="387">
        <v>0.19</v>
      </c>
      <c r="P501" s="401">
        <f t="shared" si="79"/>
        <v>252000</v>
      </c>
      <c r="Q501" s="420">
        <f t="shared" si="80"/>
        <v>8325</v>
      </c>
      <c r="R501" s="387">
        <v>0.19</v>
      </c>
      <c r="S501" s="420">
        <f t="shared" si="81"/>
        <v>249750</v>
      </c>
      <c r="T501" s="92">
        <v>10</v>
      </c>
      <c r="U501">
        <f t="shared" si="82"/>
        <v>40</v>
      </c>
    </row>
    <row r="502" spans="1:21" ht="27.6" x14ac:dyDescent="0.3">
      <c r="A502" s="170">
        <v>5</v>
      </c>
      <c r="B502" s="173" t="s">
        <v>843</v>
      </c>
      <c r="C502" s="173" t="s">
        <v>840</v>
      </c>
      <c r="D502" s="170">
        <v>23121612</v>
      </c>
      <c r="E502" s="170">
        <v>12</v>
      </c>
      <c r="F502" s="219" t="s">
        <v>845</v>
      </c>
      <c r="G502" s="162" t="s">
        <v>842</v>
      </c>
      <c r="H502" s="162"/>
      <c r="I502" s="162"/>
      <c r="J502" s="162">
        <v>30</v>
      </c>
      <c r="K502" s="167">
        <v>8050</v>
      </c>
      <c r="L502" s="387">
        <v>0.19</v>
      </c>
      <c r="M502" s="399">
        <f t="shared" si="78"/>
        <v>241500</v>
      </c>
      <c r="N502" s="166">
        <v>8400</v>
      </c>
      <c r="O502" s="387">
        <v>0.19</v>
      </c>
      <c r="P502" s="401">
        <f t="shared" si="79"/>
        <v>252000</v>
      </c>
      <c r="Q502" s="420">
        <f t="shared" si="80"/>
        <v>8225</v>
      </c>
      <c r="R502" s="387">
        <v>0.19</v>
      </c>
      <c r="S502" s="420">
        <f t="shared" si="81"/>
        <v>246750</v>
      </c>
      <c r="T502" s="92">
        <v>10</v>
      </c>
      <c r="U502">
        <f t="shared" si="82"/>
        <v>40</v>
      </c>
    </row>
    <row r="503" spans="1:21" ht="27.6" x14ac:dyDescent="0.3">
      <c r="A503" s="170">
        <v>5</v>
      </c>
      <c r="B503" s="173" t="s">
        <v>843</v>
      </c>
      <c r="C503" s="173" t="s">
        <v>840</v>
      </c>
      <c r="D503" s="170">
        <v>23121612</v>
      </c>
      <c r="E503" s="170">
        <v>13</v>
      </c>
      <c r="F503" s="219" t="s">
        <v>846</v>
      </c>
      <c r="G503" s="162" t="s">
        <v>842</v>
      </c>
      <c r="H503" s="162"/>
      <c r="I503" s="162"/>
      <c r="J503" s="162">
        <v>30</v>
      </c>
      <c r="K503" s="167">
        <v>8050</v>
      </c>
      <c r="L503" s="387">
        <v>0.19</v>
      </c>
      <c r="M503" s="399">
        <f t="shared" si="78"/>
        <v>241500</v>
      </c>
      <c r="N503" s="166">
        <v>8400</v>
      </c>
      <c r="O503" s="387">
        <v>0.19</v>
      </c>
      <c r="P503" s="401">
        <f t="shared" si="79"/>
        <v>252000</v>
      </c>
      <c r="Q503" s="420">
        <f t="shared" si="80"/>
        <v>8225</v>
      </c>
      <c r="R503" s="387">
        <v>0.19</v>
      </c>
      <c r="S503" s="420">
        <f t="shared" si="81"/>
        <v>246750</v>
      </c>
      <c r="T503" s="92">
        <v>10</v>
      </c>
      <c r="U503">
        <f t="shared" si="82"/>
        <v>40</v>
      </c>
    </row>
    <row r="504" spans="1:21" ht="15" x14ac:dyDescent="0.3">
      <c r="A504" s="170">
        <v>5</v>
      </c>
      <c r="B504" s="173" t="s">
        <v>847</v>
      </c>
      <c r="C504" s="173" t="s">
        <v>848</v>
      </c>
      <c r="D504" s="170">
        <v>11151509</v>
      </c>
      <c r="E504" s="170">
        <v>14</v>
      </c>
      <c r="F504" s="219" t="s">
        <v>849</v>
      </c>
      <c r="G504" s="162" t="s">
        <v>850</v>
      </c>
      <c r="H504" s="162"/>
      <c r="I504" s="162"/>
      <c r="J504" s="162">
        <v>40</v>
      </c>
      <c r="K504" s="167">
        <v>5000</v>
      </c>
      <c r="L504" s="387">
        <v>0.19</v>
      </c>
      <c r="M504" s="399">
        <f t="shared" si="78"/>
        <v>200000</v>
      </c>
      <c r="N504" s="166">
        <v>4850</v>
      </c>
      <c r="O504" s="387">
        <v>0.19</v>
      </c>
      <c r="P504" s="401">
        <f t="shared" si="79"/>
        <v>194000</v>
      </c>
      <c r="Q504" s="420">
        <f t="shared" si="80"/>
        <v>4925</v>
      </c>
      <c r="R504" s="387">
        <v>0.19</v>
      </c>
      <c r="S504" s="420">
        <f t="shared" si="81"/>
        <v>197000</v>
      </c>
      <c r="T504" s="92">
        <v>10</v>
      </c>
      <c r="U504">
        <f t="shared" si="82"/>
        <v>50</v>
      </c>
    </row>
    <row r="505" spans="1:21" ht="15" x14ac:dyDescent="0.3">
      <c r="A505" s="170">
        <v>5</v>
      </c>
      <c r="B505" s="173" t="s">
        <v>851</v>
      </c>
      <c r="C505" s="173" t="s">
        <v>848</v>
      </c>
      <c r="D505" s="170">
        <v>11151509</v>
      </c>
      <c r="E505" s="170">
        <v>15</v>
      </c>
      <c r="F505" s="219" t="s">
        <v>852</v>
      </c>
      <c r="G505" s="162" t="s">
        <v>850</v>
      </c>
      <c r="H505" s="162"/>
      <c r="I505" s="162"/>
      <c r="J505" s="162">
        <v>40</v>
      </c>
      <c r="K505" s="167">
        <v>5900</v>
      </c>
      <c r="L505" s="387">
        <v>0.19</v>
      </c>
      <c r="M505" s="399">
        <f t="shared" si="78"/>
        <v>236000</v>
      </c>
      <c r="N505" s="166">
        <v>5750</v>
      </c>
      <c r="O505" s="387">
        <v>0.19</v>
      </c>
      <c r="P505" s="401">
        <f t="shared" si="79"/>
        <v>230000</v>
      </c>
      <c r="Q505" s="420">
        <f t="shared" si="80"/>
        <v>5825</v>
      </c>
      <c r="R505" s="387">
        <v>0.19</v>
      </c>
      <c r="S505" s="420">
        <f t="shared" si="81"/>
        <v>233000</v>
      </c>
      <c r="T505" s="92">
        <v>10</v>
      </c>
      <c r="U505">
        <f t="shared" si="82"/>
        <v>50</v>
      </c>
    </row>
    <row r="506" spans="1:21" ht="15" x14ac:dyDescent="0.3">
      <c r="A506" s="170">
        <v>5</v>
      </c>
      <c r="B506" s="173" t="s">
        <v>853</v>
      </c>
      <c r="C506" s="173" t="s">
        <v>848</v>
      </c>
      <c r="D506" s="170">
        <v>11151509</v>
      </c>
      <c r="E506" s="170">
        <v>16</v>
      </c>
      <c r="F506" s="219" t="s">
        <v>854</v>
      </c>
      <c r="G506" s="162" t="s">
        <v>850</v>
      </c>
      <c r="H506" s="162"/>
      <c r="I506" s="162"/>
      <c r="J506" s="162">
        <v>40</v>
      </c>
      <c r="K506" s="167">
        <v>7620</v>
      </c>
      <c r="L506" s="387">
        <v>0.19</v>
      </c>
      <c r="M506" s="399">
        <f t="shared" si="78"/>
        <v>304800</v>
      </c>
      <c r="N506" s="166">
        <v>5010</v>
      </c>
      <c r="O506" s="387">
        <v>0.19</v>
      </c>
      <c r="P506" s="401">
        <f t="shared" si="79"/>
        <v>200400</v>
      </c>
      <c r="Q506" s="420">
        <f t="shared" si="80"/>
        <v>6315</v>
      </c>
      <c r="R506" s="387">
        <v>0.19</v>
      </c>
      <c r="S506" s="420">
        <f t="shared" si="81"/>
        <v>252600</v>
      </c>
      <c r="T506" s="92">
        <v>10</v>
      </c>
      <c r="U506">
        <f t="shared" si="82"/>
        <v>50</v>
      </c>
    </row>
    <row r="507" spans="1:21" ht="15" x14ac:dyDescent="0.3">
      <c r="A507" s="170">
        <v>5</v>
      </c>
      <c r="B507" s="173" t="s">
        <v>855</v>
      </c>
      <c r="C507" s="173" t="s">
        <v>856</v>
      </c>
      <c r="D507" s="170">
        <v>11151508</v>
      </c>
      <c r="E507" s="170">
        <v>17</v>
      </c>
      <c r="F507" s="219" t="s">
        <v>857</v>
      </c>
      <c r="G507" s="162" t="s">
        <v>594</v>
      </c>
      <c r="H507" s="162"/>
      <c r="I507" s="162"/>
      <c r="J507" s="162">
        <v>20</v>
      </c>
      <c r="K507" s="167">
        <v>22200</v>
      </c>
      <c r="L507" s="387">
        <v>0.19</v>
      </c>
      <c r="M507" s="399">
        <f t="shared" si="78"/>
        <v>444000</v>
      </c>
      <c r="N507" s="166">
        <v>19800</v>
      </c>
      <c r="O507" s="387">
        <v>0.19</v>
      </c>
      <c r="P507" s="401">
        <f t="shared" si="79"/>
        <v>396000</v>
      </c>
      <c r="Q507" s="420">
        <f t="shared" si="80"/>
        <v>21000</v>
      </c>
      <c r="R507" s="387">
        <v>0.19</v>
      </c>
      <c r="S507" s="420">
        <f t="shared" si="81"/>
        <v>420000</v>
      </c>
      <c r="T507" s="92">
        <v>10</v>
      </c>
      <c r="U507">
        <f t="shared" si="82"/>
        <v>30</v>
      </c>
    </row>
    <row r="508" spans="1:21" ht="15" x14ac:dyDescent="0.3">
      <c r="A508" s="170">
        <v>5</v>
      </c>
      <c r="B508" s="173" t="s">
        <v>855</v>
      </c>
      <c r="C508" s="173" t="s">
        <v>858</v>
      </c>
      <c r="D508" s="170">
        <v>11151508</v>
      </c>
      <c r="E508" s="170">
        <v>18</v>
      </c>
      <c r="F508" s="219" t="s">
        <v>859</v>
      </c>
      <c r="G508" s="162" t="s">
        <v>594</v>
      </c>
      <c r="H508" s="162"/>
      <c r="I508" s="162"/>
      <c r="J508" s="162">
        <v>20</v>
      </c>
      <c r="K508" s="167">
        <v>27900</v>
      </c>
      <c r="L508" s="387">
        <v>0.19</v>
      </c>
      <c r="M508" s="399">
        <f t="shared" si="78"/>
        <v>558000</v>
      </c>
      <c r="N508" s="166">
        <v>23100</v>
      </c>
      <c r="O508" s="387">
        <v>0.19</v>
      </c>
      <c r="P508" s="401">
        <f t="shared" si="79"/>
        <v>462000</v>
      </c>
      <c r="Q508" s="420">
        <f t="shared" si="80"/>
        <v>25500</v>
      </c>
      <c r="R508" s="387">
        <v>0.19</v>
      </c>
      <c r="S508" s="420">
        <f t="shared" si="81"/>
        <v>510000</v>
      </c>
      <c r="T508" s="92">
        <v>10</v>
      </c>
      <c r="U508">
        <f t="shared" si="82"/>
        <v>30</v>
      </c>
    </row>
    <row r="509" spans="1:21" ht="15" x14ac:dyDescent="0.3">
      <c r="A509" s="170">
        <v>5</v>
      </c>
      <c r="B509" s="173" t="s">
        <v>860</v>
      </c>
      <c r="C509" s="173" t="s">
        <v>856</v>
      </c>
      <c r="D509" s="170">
        <v>111515088</v>
      </c>
      <c r="E509" s="170">
        <v>19</v>
      </c>
      <c r="F509" s="219" t="s">
        <v>861</v>
      </c>
      <c r="G509" s="162" t="s">
        <v>823</v>
      </c>
      <c r="H509" s="162"/>
      <c r="I509" s="162"/>
      <c r="J509" s="162">
        <v>210</v>
      </c>
      <c r="K509" s="167">
        <v>770</v>
      </c>
      <c r="L509" s="387">
        <v>0.19</v>
      </c>
      <c r="M509" s="399">
        <f t="shared" si="78"/>
        <v>161700</v>
      </c>
      <c r="N509" s="166">
        <v>878</v>
      </c>
      <c r="O509" s="387">
        <v>0.19</v>
      </c>
      <c r="P509" s="401">
        <f t="shared" si="79"/>
        <v>184380</v>
      </c>
      <c r="Q509" s="420">
        <f t="shared" si="80"/>
        <v>824</v>
      </c>
      <c r="R509" s="387">
        <v>0.19</v>
      </c>
      <c r="S509" s="420">
        <f t="shared" si="81"/>
        <v>173040</v>
      </c>
      <c r="T509" s="92">
        <v>10</v>
      </c>
      <c r="U509">
        <f t="shared" si="82"/>
        <v>220</v>
      </c>
    </row>
    <row r="510" spans="1:21" ht="15" x14ac:dyDescent="0.3">
      <c r="A510" s="170">
        <v>5</v>
      </c>
      <c r="B510" s="173" t="s">
        <v>843</v>
      </c>
      <c r="C510" s="173" t="s">
        <v>848</v>
      </c>
      <c r="D510" s="170">
        <v>11151509</v>
      </c>
      <c r="E510" s="170">
        <v>20</v>
      </c>
      <c r="F510" s="219" t="s">
        <v>862</v>
      </c>
      <c r="G510" s="162" t="s">
        <v>25</v>
      </c>
      <c r="H510" s="162"/>
      <c r="I510" s="162"/>
      <c r="J510" s="162">
        <v>80</v>
      </c>
      <c r="K510" s="167">
        <v>300</v>
      </c>
      <c r="L510" s="387">
        <v>0.19</v>
      </c>
      <c r="M510" s="399">
        <f t="shared" si="78"/>
        <v>24000</v>
      </c>
      <c r="N510" s="166">
        <v>310</v>
      </c>
      <c r="O510" s="387">
        <v>0.19</v>
      </c>
      <c r="P510" s="401">
        <f t="shared" si="79"/>
        <v>24800</v>
      </c>
      <c r="Q510" s="420">
        <f t="shared" si="80"/>
        <v>305</v>
      </c>
      <c r="R510" s="387">
        <v>0.19</v>
      </c>
      <c r="S510" s="420">
        <f t="shared" si="81"/>
        <v>24400</v>
      </c>
      <c r="T510" s="92">
        <v>10</v>
      </c>
      <c r="U510">
        <f t="shared" si="82"/>
        <v>90</v>
      </c>
    </row>
    <row r="511" spans="1:21" ht="15" x14ac:dyDescent="0.3">
      <c r="A511" s="170">
        <v>5</v>
      </c>
      <c r="B511" s="173" t="s">
        <v>843</v>
      </c>
      <c r="C511" s="173" t="s">
        <v>848</v>
      </c>
      <c r="D511" s="170">
        <v>11151509</v>
      </c>
      <c r="E511" s="170">
        <v>21</v>
      </c>
      <c r="F511" s="219" t="s">
        <v>863</v>
      </c>
      <c r="G511" s="162" t="s">
        <v>25</v>
      </c>
      <c r="H511" s="162"/>
      <c r="I511" s="162"/>
      <c r="J511" s="162">
        <v>80</v>
      </c>
      <c r="K511" s="167">
        <v>250</v>
      </c>
      <c r="L511" s="387">
        <v>0.19</v>
      </c>
      <c r="M511" s="399">
        <f t="shared" si="78"/>
        <v>20000</v>
      </c>
      <c r="N511" s="166">
        <v>220</v>
      </c>
      <c r="O511" s="387">
        <v>0.19</v>
      </c>
      <c r="P511" s="401">
        <f t="shared" si="79"/>
        <v>17600</v>
      </c>
      <c r="Q511" s="420">
        <f t="shared" si="80"/>
        <v>235</v>
      </c>
      <c r="R511" s="387">
        <v>0.19</v>
      </c>
      <c r="S511" s="420">
        <f t="shared" si="81"/>
        <v>18800</v>
      </c>
      <c r="T511" s="92">
        <v>10</v>
      </c>
      <c r="U511">
        <f t="shared" si="82"/>
        <v>90</v>
      </c>
    </row>
    <row r="512" spans="1:21" ht="15" x14ac:dyDescent="0.3">
      <c r="A512" s="170">
        <v>5</v>
      </c>
      <c r="B512" s="173" t="s">
        <v>843</v>
      </c>
      <c r="C512" s="173" t="s">
        <v>848</v>
      </c>
      <c r="D512" s="170">
        <v>11151509</v>
      </c>
      <c r="E512" s="170">
        <v>22</v>
      </c>
      <c r="F512" s="219" t="s">
        <v>864</v>
      </c>
      <c r="G512" s="162" t="s">
        <v>25</v>
      </c>
      <c r="H512" s="162"/>
      <c r="I512" s="162"/>
      <c r="J512" s="162">
        <v>80</v>
      </c>
      <c r="K512" s="167">
        <v>850</v>
      </c>
      <c r="L512" s="387">
        <v>0.19</v>
      </c>
      <c r="M512" s="399">
        <f t="shared" si="78"/>
        <v>68000</v>
      </c>
      <c r="N512" s="166">
        <v>855</v>
      </c>
      <c r="O512" s="387">
        <v>0.19</v>
      </c>
      <c r="P512" s="401">
        <f t="shared" si="79"/>
        <v>68400</v>
      </c>
      <c r="Q512" s="420">
        <f t="shared" si="80"/>
        <v>852.5</v>
      </c>
      <c r="R512" s="387">
        <v>0.19</v>
      </c>
      <c r="S512" s="420">
        <f t="shared" si="81"/>
        <v>68200</v>
      </c>
      <c r="T512" s="92">
        <v>10</v>
      </c>
      <c r="U512">
        <f t="shared" si="82"/>
        <v>90</v>
      </c>
    </row>
    <row r="513" spans="1:21" ht="15" x14ac:dyDescent="0.3">
      <c r="A513" s="170">
        <v>5</v>
      </c>
      <c r="B513" s="173" t="s">
        <v>843</v>
      </c>
      <c r="C513" s="173" t="s">
        <v>848</v>
      </c>
      <c r="D513" s="170">
        <v>11151509</v>
      </c>
      <c r="E513" s="170">
        <v>23</v>
      </c>
      <c r="F513" s="219" t="s">
        <v>865</v>
      </c>
      <c r="G513" s="162" t="s">
        <v>25</v>
      </c>
      <c r="H513" s="162"/>
      <c r="I513" s="162"/>
      <c r="J513" s="162">
        <v>210</v>
      </c>
      <c r="K513" s="167">
        <v>47</v>
      </c>
      <c r="L513" s="387">
        <v>0.19</v>
      </c>
      <c r="M513" s="399">
        <f t="shared" si="78"/>
        <v>9870</v>
      </c>
      <c r="N513" s="166">
        <v>57</v>
      </c>
      <c r="O513" s="387">
        <v>0.19</v>
      </c>
      <c r="P513" s="401">
        <f t="shared" si="79"/>
        <v>11970</v>
      </c>
      <c r="Q513" s="420">
        <f t="shared" si="80"/>
        <v>52</v>
      </c>
      <c r="R513" s="387">
        <v>0.19</v>
      </c>
      <c r="S513" s="420">
        <f t="shared" si="81"/>
        <v>10920</v>
      </c>
      <c r="T513" s="92">
        <v>10</v>
      </c>
      <c r="U513">
        <f t="shared" si="82"/>
        <v>220</v>
      </c>
    </row>
    <row r="514" spans="1:21" ht="15" x14ac:dyDescent="0.3">
      <c r="A514" s="170">
        <v>5</v>
      </c>
      <c r="B514" s="173" t="s">
        <v>843</v>
      </c>
      <c r="C514" s="173" t="s">
        <v>848</v>
      </c>
      <c r="D514" s="170">
        <v>11151509</v>
      </c>
      <c r="E514" s="170">
        <v>24</v>
      </c>
      <c r="F514" s="219" t="s">
        <v>866</v>
      </c>
      <c r="G514" s="162" t="s">
        <v>867</v>
      </c>
      <c r="H514" s="162"/>
      <c r="I514" s="162"/>
      <c r="J514" s="162">
        <v>160</v>
      </c>
      <c r="K514" s="167">
        <v>2800</v>
      </c>
      <c r="L514" s="387">
        <v>0.19</v>
      </c>
      <c r="M514" s="399">
        <f t="shared" si="78"/>
        <v>448000</v>
      </c>
      <c r="N514" s="166">
        <v>2950</v>
      </c>
      <c r="O514" s="387">
        <v>0.19</v>
      </c>
      <c r="P514" s="401">
        <f t="shared" si="79"/>
        <v>472000</v>
      </c>
      <c r="Q514" s="420">
        <f t="shared" si="80"/>
        <v>2875</v>
      </c>
      <c r="R514" s="387">
        <v>0.19</v>
      </c>
      <c r="S514" s="420">
        <f t="shared" si="81"/>
        <v>460000</v>
      </c>
      <c r="T514" s="92">
        <v>10</v>
      </c>
      <c r="U514">
        <f t="shared" si="82"/>
        <v>170</v>
      </c>
    </row>
    <row r="515" spans="1:21" ht="15" x14ac:dyDescent="0.3">
      <c r="A515" s="170">
        <v>5</v>
      </c>
      <c r="B515" s="173" t="s">
        <v>843</v>
      </c>
      <c r="C515" s="173" t="s">
        <v>848</v>
      </c>
      <c r="D515" s="170">
        <v>11151509</v>
      </c>
      <c r="E515" s="170">
        <v>25</v>
      </c>
      <c r="F515" s="219" t="s">
        <v>868</v>
      </c>
      <c r="G515" s="162" t="s">
        <v>867</v>
      </c>
      <c r="H515" s="162"/>
      <c r="I515" s="162"/>
      <c r="J515" s="162">
        <v>35</v>
      </c>
      <c r="K515" s="167">
        <v>8150</v>
      </c>
      <c r="L515" s="387">
        <v>0.19</v>
      </c>
      <c r="M515" s="399">
        <f t="shared" si="78"/>
        <v>285250</v>
      </c>
      <c r="N515" s="166">
        <v>8500</v>
      </c>
      <c r="O515" s="387">
        <v>0.19</v>
      </c>
      <c r="P515" s="401">
        <f t="shared" si="79"/>
        <v>297500</v>
      </c>
      <c r="Q515" s="420">
        <f t="shared" si="80"/>
        <v>8325</v>
      </c>
      <c r="R515" s="387">
        <v>0.19</v>
      </c>
      <c r="S515" s="420">
        <f t="shared" si="81"/>
        <v>291375</v>
      </c>
      <c r="T515" s="92">
        <v>10</v>
      </c>
      <c r="U515">
        <f t="shared" si="82"/>
        <v>45</v>
      </c>
    </row>
    <row r="516" spans="1:21" ht="15" x14ac:dyDescent="0.3">
      <c r="A516" s="724"/>
      <c r="B516" s="724"/>
      <c r="C516" s="724"/>
      <c r="D516" s="724"/>
      <c r="E516" s="724"/>
      <c r="F516" s="724"/>
      <c r="G516" s="724"/>
      <c r="H516" s="724"/>
      <c r="I516" s="724"/>
      <c r="J516" s="724"/>
      <c r="K516" s="724"/>
      <c r="L516" s="724"/>
      <c r="M516" s="399">
        <f>SUM(M491:M515)</f>
        <v>6145180</v>
      </c>
      <c r="N516" s="400"/>
      <c r="O516" s="400"/>
      <c r="P516" s="401">
        <f>SUM(P491:P515)</f>
        <v>6046290</v>
      </c>
      <c r="Q516" s="402"/>
      <c r="R516" s="402"/>
      <c r="S516" s="420">
        <f>SUM(S491:S515)</f>
        <v>6095735</v>
      </c>
      <c r="T516" s="92">
        <v>10</v>
      </c>
      <c r="U516">
        <f t="shared" si="82"/>
        <v>10</v>
      </c>
    </row>
    <row r="517" spans="1:21" ht="15" x14ac:dyDescent="0.3">
      <c r="T517" s="92">
        <v>10</v>
      </c>
    </row>
    <row r="519" spans="1:21" ht="21" x14ac:dyDescent="0.3">
      <c r="A519" s="608" t="s">
        <v>869</v>
      </c>
      <c r="B519" s="608"/>
      <c r="C519" s="608"/>
      <c r="D519" s="608"/>
      <c r="E519" s="726" t="s">
        <v>869</v>
      </c>
      <c r="F519" s="727"/>
      <c r="G519" s="727"/>
      <c r="H519" s="727"/>
      <c r="I519" s="727"/>
      <c r="J519" s="728"/>
      <c r="K519" s="608"/>
      <c r="L519" s="608"/>
      <c r="M519" s="608"/>
      <c r="N519" s="608"/>
      <c r="O519" s="608"/>
      <c r="P519" s="608"/>
      <c r="Q519" s="608"/>
      <c r="R519" s="608"/>
      <c r="S519" s="608"/>
    </row>
    <row r="520" spans="1:21" ht="15.6" x14ac:dyDescent="0.3">
      <c r="A520" s="709" t="s">
        <v>83</v>
      </c>
      <c r="B520" s="709" t="s">
        <v>84</v>
      </c>
      <c r="C520" s="709" t="s">
        <v>85</v>
      </c>
      <c r="D520" s="711" t="s">
        <v>86</v>
      </c>
      <c r="E520" s="709" t="s">
        <v>6</v>
      </c>
      <c r="F520" s="709" t="s">
        <v>87</v>
      </c>
      <c r="G520" s="709" t="s">
        <v>88</v>
      </c>
      <c r="H520" s="124"/>
      <c r="I520" s="124"/>
      <c r="J520" s="705" t="s">
        <v>89</v>
      </c>
      <c r="K520" s="729" t="s">
        <v>818</v>
      </c>
      <c r="L520" s="729"/>
      <c r="M520" s="729"/>
      <c r="N520" s="723" t="s">
        <v>819</v>
      </c>
      <c r="O520" s="723"/>
      <c r="P520" s="723"/>
      <c r="Q520" s="705" t="s">
        <v>15</v>
      </c>
      <c r="R520" s="705"/>
      <c r="S520" s="705"/>
    </row>
    <row r="521" spans="1:21" ht="46.8" x14ac:dyDescent="0.3">
      <c r="A521" s="709"/>
      <c r="B521" s="709"/>
      <c r="C521" s="709"/>
      <c r="D521" s="711"/>
      <c r="E521" s="709"/>
      <c r="F521" s="709"/>
      <c r="G521" s="709"/>
      <c r="H521" s="124"/>
      <c r="I521" s="124"/>
      <c r="J521" s="705"/>
      <c r="K521" s="25" t="s">
        <v>382</v>
      </c>
      <c r="L521" s="25" t="s">
        <v>17</v>
      </c>
      <c r="M521" s="25" t="s">
        <v>18</v>
      </c>
      <c r="N521" s="25" t="s">
        <v>367</v>
      </c>
      <c r="O521" s="25" t="s">
        <v>17</v>
      </c>
      <c r="P521" s="248" t="s">
        <v>18</v>
      </c>
      <c r="Q521" s="25" t="s">
        <v>367</v>
      </c>
      <c r="R521" s="25" t="s">
        <v>17</v>
      </c>
      <c r="S521" s="25" t="s">
        <v>18</v>
      </c>
    </row>
    <row r="522" spans="1:21" ht="55.2" x14ac:dyDescent="0.3">
      <c r="A522" s="162">
        <v>5</v>
      </c>
      <c r="B522" s="411" t="s">
        <v>870</v>
      </c>
      <c r="C522" s="411" t="s">
        <v>871</v>
      </c>
      <c r="D522" s="162">
        <v>46182306</v>
      </c>
      <c r="E522" s="162">
        <v>1</v>
      </c>
      <c r="F522" s="408" t="s">
        <v>872</v>
      </c>
      <c r="G522" s="162" t="s">
        <v>25</v>
      </c>
      <c r="H522" s="162"/>
      <c r="I522" s="162"/>
      <c r="J522" s="162">
        <v>12</v>
      </c>
      <c r="K522" s="196">
        <v>1309000</v>
      </c>
      <c r="L522" s="421">
        <v>0.19</v>
      </c>
      <c r="M522" s="399">
        <f>K522*J522</f>
        <v>15708000</v>
      </c>
      <c r="N522" s="422">
        <v>775999</v>
      </c>
      <c r="O522" s="421">
        <v>0.19</v>
      </c>
      <c r="P522" s="401">
        <f>N522*J522</f>
        <v>9311988</v>
      </c>
      <c r="Q522" s="423">
        <f>SUM(K522+N522)/2</f>
        <v>1042499.5</v>
      </c>
      <c r="R522" s="424">
        <v>0.19</v>
      </c>
      <c r="S522" s="423">
        <f>Q522*J522</f>
        <v>12509994</v>
      </c>
      <c r="T522" s="92">
        <v>10</v>
      </c>
      <c r="U522">
        <f>J522+T522</f>
        <v>22</v>
      </c>
    </row>
    <row r="523" spans="1:21" ht="27.6" x14ac:dyDescent="0.3">
      <c r="A523" s="162">
        <v>5</v>
      </c>
      <c r="B523" s="162">
        <v>286445</v>
      </c>
      <c r="C523" s="162">
        <v>146182326</v>
      </c>
      <c r="D523" s="162">
        <v>46182311</v>
      </c>
      <c r="E523" s="162">
        <v>2</v>
      </c>
      <c r="F523" s="408" t="s">
        <v>873</v>
      </c>
      <c r="G523" s="162" t="s">
        <v>25</v>
      </c>
      <c r="H523" s="162"/>
      <c r="I523" s="162"/>
      <c r="J523" s="162">
        <v>12</v>
      </c>
      <c r="K523" s="196">
        <v>238000</v>
      </c>
      <c r="L523" s="421">
        <v>0.19</v>
      </c>
      <c r="M523" s="399">
        <f t="shared" ref="M523:M526" si="83">K523*J523</f>
        <v>2856000</v>
      </c>
      <c r="N523" s="422">
        <v>178999.8</v>
      </c>
      <c r="O523" s="421">
        <v>0.19</v>
      </c>
      <c r="P523" s="401">
        <f t="shared" ref="P523:P526" si="84">N523*J523</f>
        <v>2147997.5999999996</v>
      </c>
      <c r="Q523" s="423">
        <f t="shared" ref="Q523:Q526" si="85">SUM(K523+N523)/2</f>
        <v>208499.9</v>
      </c>
      <c r="R523" s="424">
        <v>0.19</v>
      </c>
      <c r="S523" s="423">
        <f t="shared" ref="S523:S526" si="86">Q523*J523</f>
        <v>2501998.7999999998</v>
      </c>
      <c r="T523" s="92">
        <v>10</v>
      </c>
      <c r="U523">
        <f t="shared" ref="U523:U526" si="87">J523+T523</f>
        <v>22</v>
      </c>
    </row>
    <row r="524" spans="1:21" ht="55.2" x14ac:dyDescent="0.3">
      <c r="A524" s="162">
        <v>5</v>
      </c>
      <c r="B524" s="411" t="s">
        <v>874</v>
      </c>
      <c r="C524" s="411" t="s">
        <v>875</v>
      </c>
      <c r="D524" s="285">
        <v>46182304</v>
      </c>
      <c r="E524" s="162">
        <v>3</v>
      </c>
      <c r="F524" s="425" t="s">
        <v>876</v>
      </c>
      <c r="G524" s="162" t="s">
        <v>25</v>
      </c>
      <c r="H524" s="162"/>
      <c r="I524" s="162"/>
      <c r="J524" s="162">
        <v>14</v>
      </c>
      <c r="K524" s="196">
        <v>401268</v>
      </c>
      <c r="L524" s="421">
        <v>0.19</v>
      </c>
      <c r="M524" s="399">
        <f t="shared" si="83"/>
        <v>5617752</v>
      </c>
      <c r="N524" s="422">
        <v>211000.09</v>
      </c>
      <c r="O524" s="421">
        <v>0.19</v>
      </c>
      <c r="P524" s="401">
        <f t="shared" si="84"/>
        <v>2954001.26</v>
      </c>
      <c r="Q524" s="423">
        <f t="shared" si="85"/>
        <v>306134.04499999998</v>
      </c>
      <c r="R524" s="424">
        <v>0.19</v>
      </c>
      <c r="S524" s="423">
        <f t="shared" si="86"/>
        <v>4285876.63</v>
      </c>
      <c r="T524" s="92">
        <v>10</v>
      </c>
      <c r="U524">
        <f t="shared" si="87"/>
        <v>24</v>
      </c>
    </row>
    <row r="525" spans="1:21" ht="41.4" x14ac:dyDescent="0.3">
      <c r="A525" s="162">
        <v>5</v>
      </c>
      <c r="B525" s="411" t="s">
        <v>877</v>
      </c>
      <c r="C525" s="411" t="s">
        <v>878</v>
      </c>
      <c r="D525" s="162">
        <v>46182308</v>
      </c>
      <c r="E525" s="162">
        <v>4</v>
      </c>
      <c r="F525" s="425" t="s">
        <v>879</v>
      </c>
      <c r="G525" s="162" t="s">
        <v>25</v>
      </c>
      <c r="H525" s="162"/>
      <c r="I525" s="162"/>
      <c r="J525" s="162">
        <v>12</v>
      </c>
      <c r="K525" s="196">
        <v>418404</v>
      </c>
      <c r="L525" s="421">
        <v>0.19</v>
      </c>
      <c r="M525" s="399">
        <f t="shared" si="83"/>
        <v>5020848</v>
      </c>
      <c r="N525" s="422">
        <v>0</v>
      </c>
      <c r="O525" s="421">
        <v>0.19</v>
      </c>
      <c r="P525" s="401">
        <f t="shared" si="84"/>
        <v>0</v>
      </c>
      <c r="Q525" s="423">
        <f>SUM(K525+N525)</f>
        <v>418404</v>
      </c>
      <c r="R525" s="424">
        <v>0.19</v>
      </c>
      <c r="S525" s="423">
        <f t="shared" si="86"/>
        <v>5020848</v>
      </c>
      <c r="T525" s="92">
        <v>10</v>
      </c>
      <c r="U525">
        <f t="shared" si="87"/>
        <v>22</v>
      </c>
    </row>
    <row r="526" spans="1:21" ht="27.6" x14ac:dyDescent="0.3">
      <c r="A526" s="162">
        <v>5</v>
      </c>
      <c r="B526" s="285">
        <v>284086</v>
      </c>
      <c r="C526" s="285">
        <v>149221527</v>
      </c>
      <c r="D526" s="285">
        <v>22101906</v>
      </c>
      <c r="E526" s="162">
        <v>5</v>
      </c>
      <c r="F526" s="237" t="s">
        <v>880</v>
      </c>
      <c r="G526" s="162" t="s">
        <v>25</v>
      </c>
      <c r="H526" s="162"/>
      <c r="I526" s="162"/>
      <c r="J526" s="162">
        <v>11</v>
      </c>
      <c r="K526" s="196">
        <v>545496</v>
      </c>
      <c r="L526" s="421">
        <v>0.19</v>
      </c>
      <c r="M526" s="399">
        <f t="shared" si="83"/>
        <v>6000456</v>
      </c>
      <c r="N526" s="422">
        <v>217999.66999999998</v>
      </c>
      <c r="O526" s="421">
        <v>0.19</v>
      </c>
      <c r="P526" s="401">
        <f t="shared" si="84"/>
        <v>2397996.3699999996</v>
      </c>
      <c r="Q526" s="423">
        <f t="shared" si="85"/>
        <v>381747.83499999996</v>
      </c>
      <c r="R526" s="424">
        <v>0.19</v>
      </c>
      <c r="S526" s="423">
        <f t="shared" si="86"/>
        <v>4199226.1849999996</v>
      </c>
      <c r="T526" s="92">
        <v>10</v>
      </c>
      <c r="U526">
        <f t="shared" si="87"/>
        <v>21</v>
      </c>
    </row>
    <row r="527" spans="1:21" x14ac:dyDescent="0.3">
      <c r="A527" s="730"/>
      <c r="B527" s="731"/>
      <c r="C527" s="731"/>
      <c r="D527" s="731"/>
      <c r="E527" s="731"/>
      <c r="F527" s="731"/>
      <c r="G527" s="731"/>
      <c r="H527" s="731"/>
      <c r="I527" s="731"/>
      <c r="J527" s="731"/>
      <c r="K527" s="731"/>
      <c r="L527" s="732"/>
      <c r="M527" s="399">
        <f>SUM(M522:M526)</f>
        <v>35203056</v>
      </c>
      <c r="N527" s="400"/>
      <c r="O527" s="400"/>
      <c r="P527" s="401">
        <f>SUM(P522:P526)</f>
        <v>16811983.23</v>
      </c>
      <c r="Q527" s="402"/>
      <c r="R527" s="402"/>
      <c r="S527" s="423">
        <f>SUM(S522:S526)</f>
        <v>28517943.614999998</v>
      </c>
    </row>
    <row r="529" spans="1:50" ht="14.55" customHeight="1" x14ac:dyDescent="0.3">
      <c r="A529" s="541" t="s">
        <v>881</v>
      </c>
      <c r="B529" s="541"/>
      <c r="C529" s="541"/>
      <c r="D529" s="541"/>
      <c r="E529" s="541"/>
      <c r="F529" s="541"/>
      <c r="G529" s="541"/>
      <c r="H529" s="541"/>
      <c r="I529" s="541"/>
      <c r="J529" s="541"/>
      <c r="K529" s="541"/>
      <c r="L529" s="541"/>
      <c r="M529" s="541"/>
      <c r="N529" s="541"/>
      <c r="O529" s="541"/>
      <c r="P529" s="541"/>
      <c r="Q529" s="541"/>
      <c r="R529" s="541"/>
      <c r="S529" s="541"/>
      <c r="T529" s="541"/>
      <c r="U529" s="541"/>
      <c r="V529" s="541"/>
    </row>
    <row r="530" spans="1:50" ht="20.25" customHeight="1" x14ac:dyDescent="0.3">
      <c r="A530" s="541"/>
      <c r="B530" s="541"/>
      <c r="C530" s="541"/>
      <c r="D530" s="541"/>
      <c r="E530" s="699" t="s">
        <v>881</v>
      </c>
      <c r="F530" s="700"/>
      <c r="G530" s="700"/>
      <c r="H530" s="701"/>
      <c r="I530" s="541"/>
      <c r="J530" s="541"/>
      <c r="K530" s="541"/>
      <c r="L530" s="541"/>
      <c r="M530" s="541"/>
      <c r="N530" s="541"/>
      <c r="O530" s="541"/>
      <c r="P530" s="541"/>
      <c r="Q530" s="541"/>
      <c r="R530" s="541"/>
      <c r="S530" s="541"/>
      <c r="T530" s="541"/>
      <c r="U530" s="541"/>
      <c r="V530" s="541"/>
    </row>
    <row r="531" spans="1:50" ht="15.6" x14ac:dyDescent="0.3">
      <c r="A531" s="709" t="s">
        <v>83</v>
      </c>
      <c r="B531" s="709" t="s">
        <v>84</v>
      </c>
      <c r="C531" s="709" t="s">
        <v>85</v>
      </c>
      <c r="D531" s="711" t="s">
        <v>86</v>
      </c>
      <c r="E531" s="709" t="s">
        <v>6</v>
      </c>
      <c r="F531" s="709" t="s">
        <v>87</v>
      </c>
      <c r="G531" s="709" t="s">
        <v>88</v>
      </c>
      <c r="H531" s="702" t="s">
        <v>89</v>
      </c>
      <c r="I531" s="124"/>
      <c r="J531" s="705" t="s">
        <v>89</v>
      </c>
      <c r="K531" s="722" t="s">
        <v>818</v>
      </c>
      <c r="L531" s="722"/>
      <c r="M531" s="722"/>
      <c r="N531" s="723" t="s">
        <v>819</v>
      </c>
      <c r="O531" s="723"/>
      <c r="P531" s="723"/>
      <c r="Q531" s="705" t="s">
        <v>882</v>
      </c>
      <c r="R531" s="705"/>
      <c r="S531" s="705"/>
      <c r="T531" s="705" t="s">
        <v>15</v>
      </c>
      <c r="U531" s="705"/>
      <c r="V531" s="705"/>
    </row>
    <row r="532" spans="1:50" ht="46.8" x14ac:dyDescent="0.3">
      <c r="A532" s="709"/>
      <c r="B532" s="709"/>
      <c r="C532" s="709"/>
      <c r="D532" s="711"/>
      <c r="E532" s="709"/>
      <c r="F532" s="709"/>
      <c r="G532" s="709"/>
      <c r="H532" s="703"/>
      <c r="I532" s="124"/>
      <c r="J532" s="705"/>
      <c r="K532" s="25" t="s">
        <v>382</v>
      </c>
      <c r="L532" s="25" t="s">
        <v>17</v>
      </c>
      <c r="M532" s="25" t="s">
        <v>18</v>
      </c>
      <c r="N532" s="25" t="s">
        <v>367</v>
      </c>
      <c r="O532" s="25" t="s">
        <v>17</v>
      </c>
      <c r="P532" s="248" t="s">
        <v>18</v>
      </c>
      <c r="Q532" s="25" t="s">
        <v>367</v>
      </c>
      <c r="R532" s="25" t="s">
        <v>17</v>
      </c>
      <c r="S532" s="25" t="s">
        <v>18</v>
      </c>
      <c r="T532" s="25" t="s">
        <v>367</v>
      </c>
      <c r="U532" s="25" t="s">
        <v>17</v>
      </c>
      <c r="V532" s="25" t="s">
        <v>18</v>
      </c>
    </row>
    <row r="533" spans="1:50" ht="86.4" x14ac:dyDescent="0.3">
      <c r="A533" s="181">
        <v>5</v>
      </c>
      <c r="B533" s="123">
        <v>141103148</v>
      </c>
      <c r="C533" s="186" t="s">
        <v>883</v>
      </c>
      <c r="D533" s="187">
        <v>12352301</v>
      </c>
      <c r="E533" s="109">
        <v>1</v>
      </c>
      <c r="F533" s="188" t="s">
        <v>884</v>
      </c>
      <c r="G533" s="188" t="s">
        <v>885</v>
      </c>
      <c r="H533" s="188">
        <f>I533+J533</f>
        <v>11</v>
      </c>
      <c r="I533" s="188">
        <v>10</v>
      </c>
      <c r="J533" s="20">
        <v>1</v>
      </c>
      <c r="K533" s="195">
        <v>340102</v>
      </c>
      <c r="L533" s="194">
        <v>0.19</v>
      </c>
      <c r="M533" s="196">
        <f t="shared" ref="M533:M574" si="88">K533*J533</f>
        <v>340102</v>
      </c>
      <c r="N533" s="399"/>
      <c r="O533" s="194">
        <v>0.19</v>
      </c>
      <c r="P533" s="401">
        <f t="shared" ref="P533:P574" si="89">N533*J533</f>
        <v>0</v>
      </c>
      <c r="Q533" s="422">
        <v>1073125</v>
      </c>
      <c r="R533" s="194">
        <v>0.19</v>
      </c>
      <c r="S533" s="399">
        <f t="shared" ref="S533:S574" si="90">Q533*J533</f>
        <v>1073125</v>
      </c>
      <c r="T533" s="196">
        <f>SUM(K533+N533+Q533)/2</f>
        <v>706613.5</v>
      </c>
      <c r="U533" s="194">
        <v>0.19</v>
      </c>
      <c r="V533" s="196">
        <f t="shared" ref="V533:V574" si="91">T533*J533</f>
        <v>706613.5</v>
      </c>
      <c r="W533" s="197"/>
    </row>
    <row r="534" spans="1:50" ht="28.8" x14ac:dyDescent="0.3">
      <c r="A534" s="181">
        <v>5</v>
      </c>
      <c r="B534" s="182" t="s">
        <v>534</v>
      </c>
      <c r="C534" s="183" t="s">
        <v>886</v>
      </c>
      <c r="D534" s="184">
        <v>12352300</v>
      </c>
      <c r="E534" s="109">
        <v>2</v>
      </c>
      <c r="F534" s="188" t="s">
        <v>887</v>
      </c>
      <c r="G534" s="188" t="s">
        <v>25</v>
      </c>
      <c r="H534" s="188">
        <f t="shared" ref="H534:H574" si="92">I534+J534</f>
        <v>13</v>
      </c>
      <c r="I534" s="188">
        <v>10</v>
      </c>
      <c r="J534" s="109">
        <v>3</v>
      </c>
      <c r="K534" s="195">
        <v>16660</v>
      </c>
      <c r="L534" s="194">
        <v>0.19</v>
      </c>
      <c r="M534" s="196">
        <f t="shared" si="88"/>
        <v>49980</v>
      </c>
      <c r="N534" s="399">
        <v>18000</v>
      </c>
      <c r="O534" s="194">
        <v>0.19</v>
      </c>
      <c r="P534" s="401">
        <f t="shared" si="89"/>
        <v>54000</v>
      </c>
      <c r="Q534" s="422">
        <v>18088</v>
      </c>
      <c r="R534" s="194">
        <v>0.19</v>
      </c>
      <c r="S534" s="399">
        <f t="shared" si="90"/>
        <v>54264</v>
      </c>
      <c r="T534" s="196">
        <f t="shared" ref="T534:T572" si="93">SUM(K534+N534+Q534)/3</f>
        <v>17582.666666666668</v>
      </c>
      <c r="U534" s="194">
        <v>0.19</v>
      </c>
      <c r="V534" s="196">
        <f t="shared" si="91"/>
        <v>52748</v>
      </c>
      <c r="W534" s="197"/>
    </row>
    <row r="535" spans="1:50" ht="43.2" x14ac:dyDescent="0.3">
      <c r="A535" s="181">
        <v>5</v>
      </c>
      <c r="B535" s="182" t="s">
        <v>534</v>
      </c>
      <c r="C535" s="183" t="s">
        <v>886</v>
      </c>
      <c r="D535" s="184">
        <v>12352300</v>
      </c>
      <c r="E535" s="185">
        <v>3</v>
      </c>
      <c r="F535" s="188" t="s">
        <v>888</v>
      </c>
      <c r="G535" s="188" t="s">
        <v>176</v>
      </c>
      <c r="H535" s="188">
        <f t="shared" si="92"/>
        <v>12</v>
      </c>
      <c r="I535" s="188">
        <v>10</v>
      </c>
      <c r="J535" s="109">
        <v>2</v>
      </c>
      <c r="K535" s="195">
        <v>68068</v>
      </c>
      <c r="L535" s="194">
        <v>0.19</v>
      </c>
      <c r="M535" s="196">
        <f t="shared" si="88"/>
        <v>136136</v>
      </c>
      <c r="N535" s="399"/>
      <c r="O535" s="194">
        <v>0.19</v>
      </c>
      <c r="P535" s="401">
        <f t="shared" si="89"/>
        <v>0</v>
      </c>
      <c r="Q535" s="422">
        <v>104720</v>
      </c>
      <c r="R535" s="194">
        <v>0.19</v>
      </c>
      <c r="S535" s="399">
        <f t="shared" si="90"/>
        <v>209440</v>
      </c>
      <c r="T535" s="196">
        <f t="shared" ref="T535:T541" si="94">SUM(K535+N535+Q535)/2</f>
        <v>86394</v>
      </c>
      <c r="U535" s="194">
        <v>0.19</v>
      </c>
      <c r="V535" s="196">
        <f t="shared" si="91"/>
        <v>172788</v>
      </c>
      <c r="W535" s="197"/>
    </row>
    <row r="536" spans="1:50" ht="96.6" x14ac:dyDescent="0.3">
      <c r="A536" s="181">
        <v>5</v>
      </c>
      <c r="B536" s="183" t="s">
        <v>534</v>
      </c>
      <c r="C536" s="183" t="s">
        <v>889</v>
      </c>
      <c r="D536" s="184">
        <v>12352100</v>
      </c>
      <c r="E536" s="109">
        <v>4</v>
      </c>
      <c r="F536" s="429" t="s">
        <v>890</v>
      </c>
      <c r="G536" s="189" t="s">
        <v>891</v>
      </c>
      <c r="H536" s="188">
        <f t="shared" si="92"/>
        <v>13</v>
      </c>
      <c r="I536" s="188">
        <v>10</v>
      </c>
      <c r="J536" s="109">
        <v>3</v>
      </c>
      <c r="K536" s="195">
        <v>0</v>
      </c>
      <c r="L536" s="194">
        <v>0.19</v>
      </c>
      <c r="M536" s="196">
        <f t="shared" si="88"/>
        <v>0</v>
      </c>
      <c r="N536" s="399">
        <v>30000</v>
      </c>
      <c r="O536" s="194">
        <v>0.19</v>
      </c>
      <c r="P536" s="401">
        <f t="shared" si="89"/>
        <v>90000</v>
      </c>
      <c r="Q536" s="422">
        <v>808202</v>
      </c>
      <c r="R536" s="194">
        <v>0.19</v>
      </c>
      <c r="S536" s="399">
        <f t="shared" si="90"/>
        <v>2424606</v>
      </c>
      <c r="T536" s="196">
        <f t="shared" si="94"/>
        <v>419101</v>
      </c>
      <c r="U536" s="194">
        <v>0.19</v>
      </c>
      <c r="V536" s="196">
        <f t="shared" si="91"/>
        <v>1257303</v>
      </c>
      <c r="W536" s="197"/>
    </row>
    <row r="537" spans="1:50" s="180" customFormat="1" ht="86.4" x14ac:dyDescent="0.3">
      <c r="A537" s="181">
        <v>5</v>
      </c>
      <c r="B537" s="183" t="s">
        <v>534</v>
      </c>
      <c r="C537" s="183" t="s">
        <v>889</v>
      </c>
      <c r="D537" s="184">
        <v>12352100</v>
      </c>
      <c r="E537" s="109">
        <v>5</v>
      </c>
      <c r="F537" s="217" t="s">
        <v>892</v>
      </c>
      <c r="G537" s="217" t="s">
        <v>893</v>
      </c>
      <c r="H537" s="188">
        <f t="shared" si="92"/>
        <v>11</v>
      </c>
      <c r="I537" s="188">
        <v>10</v>
      </c>
      <c r="J537" s="109">
        <v>1</v>
      </c>
      <c r="K537" s="195">
        <v>776356</v>
      </c>
      <c r="L537" s="194">
        <v>0.19</v>
      </c>
      <c r="M537" s="196">
        <f t="shared" si="88"/>
        <v>776356</v>
      </c>
      <c r="N537" s="399">
        <v>0</v>
      </c>
      <c r="O537" s="194">
        <v>0.19</v>
      </c>
      <c r="P537" s="401">
        <f t="shared" si="89"/>
        <v>0</v>
      </c>
      <c r="Q537" s="422">
        <v>461125</v>
      </c>
      <c r="R537" s="194">
        <v>0.19</v>
      </c>
      <c r="S537" s="399">
        <f t="shared" si="90"/>
        <v>461125</v>
      </c>
      <c r="T537" s="196">
        <f t="shared" si="94"/>
        <v>618740.5</v>
      </c>
      <c r="U537" s="194">
        <v>0.19</v>
      </c>
      <c r="V537" s="196">
        <f t="shared" si="91"/>
        <v>618740.5</v>
      </c>
      <c r="W537" s="197"/>
      <c r="X537" s="197"/>
      <c r="Y537" s="197"/>
      <c r="Z537" s="197"/>
      <c r="AA537" s="197"/>
      <c r="AB537" s="197"/>
      <c r="AC537" s="197"/>
      <c r="AD537" s="197"/>
      <c r="AE537" s="197"/>
      <c r="AF537" s="197"/>
      <c r="AG537" s="197"/>
      <c r="AH537" s="197"/>
      <c r="AI537" s="197"/>
      <c r="AJ537" s="197"/>
      <c r="AK537" s="197"/>
      <c r="AL537" s="197"/>
      <c r="AM537" s="197"/>
      <c r="AN537" s="197"/>
      <c r="AO537" s="197"/>
      <c r="AP537" s="197"/>
      <c r="AQ537" s="197"/>
      <c r="AR537" s="197"/>
      <c r="AS537" s="197"/>
      <c r="AT537" s="197"/>
      <c r="AU537" s="197"/>
      <c r="AV537" s="197"/>
      <c r="AW537" s="197"/>
      <c r="AX537" s="197"/>
    </row>
    <row r="538" spans="1:50" ht="115.2" x14ac:dyDescent="0.3">
      <c r="A538" s="181">
        <v>5</v>
      </c>
      <c r="B538" s="182" t="s">
        <v>534</v>
      </c>
      <c r="C538" s="183" t="s">
        <v>886</v>
      </c>
      <c r="D538" s="184">
        <v>12352300</v>
      </c>
      <c r="E538" s="185">
        <v>6</v>
      </c>
      <c r="F538" s="426" t="s">
        <v>894</v>
      </c>
      <c r="G538" s="215" t="s">
        <v>895</v>
      </c>
      <c r="H538" s="188">
        <f t="shared" si="92"/>
        <v>11</v>
      </c>
      <c r="I538" s="188">
        <v>10</v>
      </c>
      <c r="J538" s="215">
        <v>1</v>
      </c>
      <c r="K538" s="195">
        <v>591430</v>
      </c>
      <c r="L538" s="194">
        <v>0.19</v>
      </c>
      <c r="M538" s="196">
        <f t="shared" si="88"/>
        <v>591430</v>
      </c>
      <c r="N538" s="399"/>
      <c r="O538" s="194">
        <v>0.19</v>
      </c>
      <c r="P538" s="401">
        <f t="shared" si="89"/>
        <v>0</v>
      </c>
      <c r="Q538" s="422">
        <v>754374</v>
      </c>
      <c r="R538" s="194">
        <v>0.19</v>
      </c>
      <c r="S538" s="399">
        <f t="shared" si="90"/>
        <v>754374</v>
      </c>
      <c r="T538" s="196">
        <f t="shared" si="94"/>
        <v>672902</v>
      </c>
      <c r="U538" s="194">
        <v>0.19</v>
      </c>
      <c r="V538" s="196">
        <f t="shared" si="91"/>
        <v>672902</v>
      </c>
      <c r="W538" s="197"/>
    </row>
    <row r="539" spans="1:50" ht="86.4" x14ac:dyDescent="0.3">
      <c r="A539" s="181">
        <v>5</v>
      </c>
      <c r="B539" s="183" t="s">
        <v>534</v>
      </c>
      <c r="C539" s="183" t="s">
        <v>889</v>
      </c>
      <c r="D539" s="184">
        <v>12352100</v>
      </c>
      <c r="E539" s="109">
        <v>7</v>
      </c>
      <c r="F539" s="217" t="s">
        <v>896</v>
      </c>
      <c r="G539" s="400" t="s">
        <v>897</v>
      </c>
      <c r="H539" s="188">
        <f t="shared" si="92"/>
        <v>11</v>
      </c>
      <c r="I539" s="188">
        <v>10</v>
      </c>
      <c r="J539" s="109">
        <v>1</v>
      </c>
      <c r="K539" s="195">
        <v>100555</v>
      </c>
      <c r="L539" s="194">
        <v>0.19</v>
      </c>
      <c r="M539" s="196">
        <f t="shared" si="88"/>
        <v>100555</v>
      </c>
      <c r="N539" s="399"/>
      <c r="O539" s="194">
        <v>0.19</v>
      </c>
      <c r="P539" s="401">
        <f t="shared" si="89"/>
        <v>0</v>
      </c>
      <c r="Q539" s="422">
        <v>274615</v>
      </c>
      <c r="R539" s="194">
        <v>0.19</v>
      </c>
      <c r="S539" s="399">
        <f t="shared" si="90"/>
        <v>274615</v>
      </c>
      <c r="T539" s="196">
        <f t="shared" si="94"/>
        <v>187585</v>
      </c>
      <c r="U539" s="194">
        <v>0.19</v>
      </c>
      <c r="V539" s="196">
        <f t="shared" si="91"/>
        <v>187585</v>
      </c>
      <c r="W539" s="197"/>
    </row>
    <row r="540" spans="1:50" ht="57.6" x14ac:dyDescent="0.3">
      <c r="A540" s="181">
        <v>5</v>
      </c>
      <c r="B540" s="182" t="s">
        <v>534</v>
      </c>
      <c r="C540" s="183" t="s">
        <v>886</v>
      </c>
      <c r="D540" s="184">
        <v>12352300</v>
      </c>
      <c r="E540" s="109">
        <v>8</v>
      </c>
      <c r="F540" s="217" t="s">
        <v>898</v>
      </c>
      <c r="G540" s="217" t="s">
        <v>899</v>
      </c>
      <c r="H540" s="188">
        <f t="shared" si="92"/>
        <v>11</v>
      </c>
      <c r="I540" s="188">
        <v>10</v>
      </c>
      <c r="J540" s="109">
        <v>1</v>
      </c>
      <c r="K540" s="195">
        <v>392700</v>
      </c>
      <c r="L540" s="194">
        <v>0.19</v>
      </c>
      <c r="M540" s="196">
        <f t="shared" si="88"/>
        <v>392700</v>
      </c>
      <c r="N540" s="399"/>
      <c r="O540" s="194">
        <v>0.19</v>
      </c>
      <c r="P540" s="401">
        <f t="shared" si="89"/>
        <v>0</v>
      </c>
      <c r="Q540" s="422">
        <v>431375</v>
      </c>
      <c r="R540" s="194">
        <v>0.19</v>
      </c>
      <c r="S540" s="399">
        <f t="shared" si="90"/>
        <v>431375</v>
      </c>
      <c r="T540" s="196">
        <f t="shared" si="94"/>
        <v>412037.5</v>
      </c>
      <c r="U540" s="194">
        <v>0.19</v>
      </c>
      <c r="V540" s="196">
        <f t="shared" si="91"/>
        <v>412037.5</v>
      </c>
      <c r="W540" s="197"/>
    </row>
    <row r="541" spans="1:50" ht="72" x14ac:dyDescent="0.3">
      <c r="A541" s="181">
        <v>5</v>
      </c>
      <c r="B541" s="182" t="s">
        <v>534</v>
      </c>
      <c r="C541" s="183" t="s">
        <v>886</v>
      </c>
      <c r="D541" s="184">
        <v>12352300</v>
      </c>
      <c r="E541" s="185">
        <v>9</v>
      </c>
      <c r="F541" s="217" t="s">
        <v>900</v>
      </c>
      <c r="G541" s="400" t="s">
        <v>901</v>
      </c>
      <c r="H541" s="188">
        <f t="shared" si="92"/>
        <v>11</v>
      </c>
      <c r="I541" s="188">
        <v>10</v>
      </c>
      <c r="J541" s="109">
        <v>1</v>
      </c>
      <c r="K541" s="195">
        <v>693889</v>
      </c>
      <c r="L541" s="194">
        <v>0.19</v>
      </c>
      <c r="M541" s="196">
        <f t="shared" si="88"/>
        <v>693889</v>
      </c>
      <c r="N541" s="399"/>
      <c r="O541" s="194">
        <v>0.19</v>
      </c>
      <c r="P541" s="401">
        <f t="shared" si="89"/>
        <v>0</v>
      </c>
      <c r="Q541" s="422">
        <v>868700</v>
      </c>
      <c r="R541" s="194">
        <v>0.19</v>
      </c>
      <c r="S541" s="399">
        <f t="shared" si="90"/>
        <v>868700</v>
      </c>
      <c r="T541" s="196">
        <f t="shared" si="94"/>
        <v>781294.5</v>
      </c>
      <c r="U541" s="194">
        <v>0.19</v>
      </c>
      <c r="V541" s="196">
        <f t="shared" si="91"/>
        <v>781294.5</v>
      </c>
      <c r="W541" s="197"/>
    </row>
    <row r="542" spans="1:50" ht="57.6" x14ac:dyDescent="0.3">
      <c r="A542" s="181">
        <v>5</v>
      </c>
      <c r="B542" s="183" t="s">
        <v>534</v>
      </c>
      <c r="C542" s="183" t="s">
        <v>902</v>
      </c>
      <c r="D542" s="184">
        <v>12352100</v>
      </c>
      <c r="E542" s="109">
        <v>10</v>
      </c>
      <c r="F542" s="217" t="s">
        <v>903</v>
      </c>
      <c r="G542" s="400" t="s">
        <v>893</v>
      </c>
      <c r="H542" s="188">
        <f t="shared" si="92"/>
        <v>11</v>
      </c>
      <c r="I542" s="188">
        <v>10</v>
      </c>
      <c r="J542" s="109">
        <v>1</v>
      </c>
      <c r="K542" s="195">
        <v>5712</v>
      </c>
      <c r="L542" s="194">
        <v>0.19</v>
      </c>
      <c r="M542" s="196">
        <f t="shared" si="88"/>
        <v>5712</v>
      </c>
      <c r="N542" s="399">
        <v>6200</v>
      </c>
      <c r="O542" s="194">
        <v>0.19</v>
      </c>
      <c r="P542" s="401">
        <f t="shared" si="89"/>
        <v>6200</v>
      </c>
      <c r="Q542" s="422">
        <v>4674</v>
      </c>
      <c r="R542" s="194">
        <v>0.19</v>
      </c>
      <c r="S542" s="399">
        <f t="shared" si="90"/>
        <v>4674</v>
      </c>
      <c r="T542" s="196">
        <f t="shared" si="93"/>
        <v>5528.666666666667</v>
      </c>
      <c r="U542" s="194">
        <v>0.19</v>
      </c>
      <c r="V542" s="196">
        <f t="shared" si="91"/>
        <v>5528.666666666667</v>
      </c>
      <c r="W542" s="197"/>
    </row>
    <row r="543" spans="1:50" ht="57.6" x14ac:dyDescent="0.3">
      <c r="A543" s="181">
        <v>5</v>
      </c>
      <c r="B543" s="190">
        <v>141103148</v>
      </c>
      <c r="C543" s="190">
        <v>282948</v>
      </c>
      <c r="D543" s="190">
        <v>41116105</v>
      </c>
      <c r="E543" s="109">
        <v>11</v>
      </c>
      <c r="F543" s="217" t="s">
        <v>904</v>
      </c>
      <c r="G543" s="189" t="s">
        <v>905</v>
      </c>
      <c r="H543" s="188">
        <f t="shared" si="92"/>
        <v>11</v>
      </c>
      <c r="I543" s="188">
        <v>10</v>
      </c>
      <c r="J543" s="109">
        <v>1</v>
      </c>
      <c r="K543" s="195">
        <v>1411935</v>
      </c>
      <c r="L543" s="194">
        <v>0.19</v>
      </c>
      <c r="M543" s="196">
        <f t="shared" si="88"/>
        <v>1411935</v>
      </c>
      <c r="N543" s="399"/>
      <c r="O543" s="194">
        <v>0.19</v>
      </c>
      <c r="P543" s="401">
        <f t="shared" si="89"/>
        <v>0</v>
      </c>
      <c r="Q543" s="422">
        <v>892500</v>
      </c>
      <c r="R543" s="194">
        <v>0.19</v>
      </c>
      <c r="S543" s="399">
        <f t="shared" si="90"/>
        <v>892500</v>
      </c>
      <c r="T543" s="196">
        <f>SUM(K543+N543+Q543)/2</f>
        <v>1152217.5</v>
      </c>
      <c r="U543" s="194">
        <v>0.19</v>
      </c>
      <c r="V543" s="196">
        <f t="shared" si="91"/>
        <v>1152217.5</v>
      </c>
      <c r="W543" s="197"/>
    </row>
    <row r="544" spans="1:50" s="180" customFormat="1" ht="69" x14ac:dyDescent="0.3">
      <c r="A544" s="190">
        <v>5</v>
      </c>
      <c r="B544" s="190">
        <v>141103148</v>
      </c>
      <c r="C544" s="190">
        <v>282948</v>
      </c>
      <c r="D544" s="190">
        <v>41116105</v>
      </c>
      <c r="E544" s="185">
        <v>12</v>
      </c>
      <c r="F544" s="430" t="s">
        <v>906</v>
      </c>
      <c r="G544" s="190" t="s">
        <v>71</v>
      </c>
      <c r="H544" s="188">
        <f t="shared" si="92"/>
        <v>11</v>
      </c>
      <c r="I544" s="188">
        <v>10</v>
      </c>
      <c r="J544" s="190">
        <v>1</v>
      </c>
      <c r="K544" s="195">
        <v>3935925</v>
      </c>
      <c r="L544" s="194">
        <v>0.19</v>
      </c>
      <c r="M544" s="196">
        <f t="shared" si="88"/>
        <v>3935925</v>
      </c>
      <c r="N544" s="399"/>
      <c r="O544" s="194">
        <v>0.19</v>
      </c>
      <c r="P544" s="401">
        <f t="shared" si="89"/>
        <v>0</v>
      </c>
      <c r="Q544" s="422">
        <v>4641000</v>
      </c>
      <c r="R544" s="194">
        <v>0.19</v>
      </c>
      <c r="S544" s="399">
        <f t="shared" si="90"/>
        <v>4641000</v>
      </c>
      <c r="T544" s="196">
        <f>SUM(K544+N544+Q544)/2</f>
        <v>4288462.5</v>
      </c>
      <c r="U544" s="194">
        <v>0.19</v>
      </c>
      <c r="V544" s="196">
        <f t="shared" si="91"/>
        <v>4288462.5</v>
      </c>
      <c r="W544" s="197"/>
      <c r="X544" s="197"/>
      <c r="Y544" s="197"/>
      <c r="Z544" s="197"/>
      <c r="AA544" s="197"/>
      <c r="AB544" s="197"/>
      <c r="AC544" s="197"/>
      <c r="AD544" s="197"/>
      <c r="AE544" s="197"/>
      <c r="AF544" s="197"/>
      <c r="AG544" s="197"/>
      <c r="AH544" s="197"/>
      <c r="AI544" s="197"/>
      <c r="AJ544" s="197"/>
      <c r="AK544" s="197"/>
      <c r="AL544" s="197"/>
      <c r="AM544" s="197"/>
      <c r="AN544" s="197"/>
      <c r="AO544" s="197"/>
      <c r="AP544" s="197"/>
      <c r="AQ544" s="197"/>
      <c r="AR544" s="197"/>
      <c r="AS544" s="197"/>
      <c r="AT544" s="197"/>
      <c r="AU544" s="197"/>
      <c r="AV544" s="197"/>
      <c r="AW544" s="197"/>
      <c r="AX544" s="197"/>
    </row>
    <row r="545" spans="1:50" s="345" customFormat="1" ht="115.2" x14ac:dyDescent="0.3">
      <c r="A545" s="181">
        <v>5</v>
      </c>
      <c r="B545" s="190">
        <v>141103148</v>
      </c>
      <c r="C545" s="190">
        <v>282948</v>
      </c>
      <c r="D545" s="190">
        <v>41116105</v>
      </c>
      <c r="E545" s="109">
        <v>13</v>
      </c>
      <c r="F545" s="217" t="s">
        <v>907</v>
      </c>
      <c r="G545" s="400" t="s">
        <v>908</v>
      </c>
      <c r="H545" s="188">
        <f t="shared" si="92"/>
        <v>12</v>
      </c>
      <c r="I545" s="188">
        <v>10</v>
      </c>
      <c r="J545" s="109">
        <v>2</v>
      </c>
      <c r="K545" s="195"/>
      <c r="L545" s="194">
        <v>0.19</v>
      </c>
      <c r="M545" s="196">
        <f t="shared" si="88"/>
        <v>0</v>
      </c>
      <c r="N545" s="399">
        <v>34000</v>
      </c>
      <c r="O545" s="194">
        <v>0.19</v>
      </c>
      <c r="P545" s="401">
        <f t="shared" si="89"/>
        <v>68000</v>
      </c>
      <c r="Q545" s="422">
        <v>9009</v>
      </c>
      <c r="R545" s="194">
        <v>0.19</v>
      </c>
      <c r="S545" s="399">
        <f t="shared" si="90"/>
        <v>18018</v>
      </c>
      <c r="T545" s="196">
        <f>SUM(K545+N545+Q545)/2</f>
        <v>21504.5</v>
      </c>
      <c r="U545" s="194">
        <v>0.19</v>
      </c>
      <c r="V545" s="196">
        <f t="shared" si="91"/>
        <v>43009</v>
      </c>
      <c r="W545" s="197"/>
      <c r="X545" s="197"/>
      <c r="Y545" s="197"/>
      <c r="Z545" s="197"/>
      <c r="AA545" s="197"/>
      <c r="AB545" s="197"/>
      <c r="AC545" s="197"/>
      <c r="AD545" s="197"/>
      <c r="AE545" s="197"/>
      <c r="AF545" s="197"/>
      <c r="AG545" s="197"/>
      <c r="AH545" s="197"/>
      <c r="AI545" s="197"/>
      <c r="AJ545" s="197"/>
      <c r="AK545" s="197"/>
      <c r="AL545" s="197"/>
      <c r="AM545" s="197"/>
      <c r="AN545" s="197"/>
      <c r="AO545" s="197"/>
      <c r="AP545" s="197"/>
      <c r="AQ545" s="197"/>
      <c r="AR545" s="197"/>
      <c r="AS545" s="197"/>
      <c r="AT545" s="197"/>
      <c r="AU545" s="197"/>
      <c r="AV545" s="197"/>
      <c r="AW545" s="197"/>
      <c r="AX545" s="197"/>
    </row>
    <row r="546" spans="1:50" ht="57.6" x14ac:dyDescent="0.3">
      <c r="A546" s="181">
        <v>5</v>
      </c>
      <c r="B546" s="190">
        <v>141103148</v>
      </c>
      <c r="C546" s="190">
        <v>282948</v>
      </c>
      <c r="D546" s="190">
        <v>41116105</v>
      </c>
      <c r="E546" s="109">
        <v>14</v>
      </c>
      <c r="F546" s="217" t="s">
        <v>909</v>
      </c>
      <c r="G546" s="400" t="s">
        <v>905</v>
      </c>
      <c r="H546" s="188">
        <f t="shared" si="92"/>
        <v>11</v>
      </c>
      <c r="I546" s="188">
        <v>10</v>
      </c>
      <c r="J546" s="109">
        <v>1</v>
      </c>
      <c r="K546" s="195">
        <v>1000314</v>
      </c>
      <c r="L546" s="194">
        <v>0.19</v>
      </c>
      <c r="M546" s="196">
        <f t="shared" si="88"/>
        <v>1000314</v>
      </c>
      <c r="N546" s="399"/>
      <c r="O546" s="194">
        <v>0.19</v>
      </c>
      <c r="P546" s="401">
        <f t="shared" si="89"/>
        <v>0</v>
      </c>
      <c r="Q546" s="422">
        <v>773734</v>
      </c>
      <c r="R546" s="194">
        <v>0.19</v>
      </c>
      <c r="S546" s="399">
        <f t="shared" si="90"/>
        <v>773734</v>
      </c>
      <c r="T546" s="196">
        <f>SUM(K546+N546+Q546)/2</f>
        <v>887024</v>
      </c>
      <c r="U546" s="194">
        <v>0.19</v>
      </c>
      <c r="V546" s="196">
        <f t="shared" si="91"/>
        <v>887024</v>
      </c>
      <c r="W546" s="197"/>
    </row>
    <row r="547" spans="1:50" ht="115.2" x14ac:dyDescent="0.3">
      <c r="A547" s="181">
        <v>5</v>
      </c>
      <c r="B547" s="190">
        <v>141103148</v>
      </c>
      <c r="C547" s="190">
        <v>282948</v>
      </c>
      <c r="D547" s="190">
        <v>41116105</v>
      </c>
      <c r="E547" s="185">
        <v>15</v>
      </c>
      <c r="F547" s="217" t="s">
        <v>910</v>
      </c>
      <c r="G547" s="217" t="s">
        <v>911</v>
      </c>
      <c r="H547" s="188">
        <f t="shared" si="92"/>
        <v>11</v>
      </c>
      <c r="I547" s="188">
        <v>10</v>
      </c>
      <c r="J547" s="109">
        <v>1</v>
      </c>
      <c r="K547" s="195">
        <v>1301146</v>
      </c>
      <c r="L547" s="194">
        <v>0.19</v>
      </c>
      <c r="M547" s="196">
        <f t="shared" si="88"/>
        <v>1301146</v>
      </c>
      <c r="N547" s="399"/>
      <c r="O547" s="194">
        <v>0.19</v>
      </c>
      <c r="P547" s="401">
        <f t="shared" si="89"/>
        <v>0</v>
      </c>
      <c r="Q547" s="422">
        <v>1659624</v>
      </c>
      <c r="R547" s="194">
        <v>0.19</v>
      </c>
      <c r="S547" s="399">
        <f t="shared" si="90"/>
        <v>1659624</v>
      </c>
      <c r="T547" s="196">
        <f>SUM(K547+N547+Q547)/2</f>
        <v>1480385</v>
      </c>
      <c r="U547" s="194">
        <v>0.19</v>
      </c>
      <c r="V547" s="196">
        <f t="shared" si="91"/>
        <v>1480385</v>
      </c>
      <c r="W547" s="197"/>
    </row>
    <row r="548" spans="1:50" ht="72" x14ac:dyDescent="0.3">
      <c r="A548" s="181">
        <v>5</v>
      </c>
      <c r="B548" s="182" t="s">
        <v>534</v>
      </c>
      <c r="C548" s="183" t="s">
        <v>886</v>
      </c>
      <c r="D548" s="184">
        <v>12352300</v>
      </c>
      <c r="E548" s="109">
        <v>16</v>
      </c>
      <c r="F548" s="217" t="s">
        <v>912</v>
      </c>
      <c r="G548" s="215" t="s">
        <v>913</v>
      </c>
      <c r="H548" s="188">
        <f t="shared" si="92"/>
        <v>11</v>
      </c>
      <c r="I548" s="188">
        <v>10</v>
      </c>
      <c r="J548" s="109">
        <v>1</v>
      </c>
      <c r="K548" s="195">
        <v>866320</v>
      </c>
      <c r="L548" s="194">
        <v>0.19</v>
      </c>
      <c r="M548" s="196">
        <f t="shared" si="88"/>
        <v>866320</v>
      </c>
      <c r="N548" s="399"/>
      <c r="O548" s="194">
        <v>0.19</v>
      </c>
      <c r="P548" s="401">
        <f t="shared" si="89"/>
        <v>0</v>
      </c>
      <c r="Q548" s="422">
        <v>938186</v>
      </c>
      <c r="R548" s="194">
        <v>0.19</v>
      </c>
      <c r="S548" s="399">
        <f t="shared" si="90"/>
        <v>938186</v>
      </c>
      <c r="T548" s="196">
        <f t="shared" ref="T548:T553" si="95">SUM(K548+N548+Q548)/2</f>
        <v>902253</v>
      </c>
      <c r="U548" s="194">
        <v>0.19</v>
      </c>
      <c r="V548" s="196">
        <f t="shared" si="91"/>
        <v>902253</v>
      </c>
      <c r="W548" s="197"/>
    </row>
    <row r="549" spans="1:50" s="345" customFormat="1" ht="72" x14ac:dyDescent="0.3">
      <c r="A549" s="181">
        <v>5</v>
      </c>
      <c r="B549" s="182" t="s">
        <v>534</v>
      </c>
      <c r="C549" s="183" t="s">
        <v>886</v>
      </c>
      <c r="D549" s="184">
        <v>12352300</v>
      </c>
      <c r="E549" s="109">
        <v>17</v>
      </c>
      <c r="F549" s="217" t="s">
        <v>914</v>
      </c>
      <c r="G549" s="215" t="s">
        <v>186</v>
      </c>
      <c r="H549" s="188">
        <f t="shared" si="92"/>
        <v>11</v>
      </c>
      <c r="I549" s="188">
        <v>10</v>
      </c>
      <c r="J549" s="109">
        <v>1</v>
      </c>
      <c r="K549" s="195">
        <v>3100</v>
      </c>
      <c r="L549" s="194">
        <v>0.19</v>
      </c>
      <c r="M549" s="196">
        <f t="shared" si="88"/>
        <v>3100</v>
      </c>
      <c r="N549" s="399">
        <v>4200</v>
      </c>
      <c r="O549" s="194">
        <v>0.19</v>
      </c>
      <c r="P549" s="401">
        <f t="shared" si="89"/>
        <v>4200</v>
      </c>
      <c r="Q549" s="422"/>
      <c r="R549" s="194">
        <v>0.19</v>
      </c>
      <c r="S549" s="399">
        <f t="shared" si="90"/>
        <v>0</v>
      </c>
      <c r="T549" s="196">
        <f t="shared" si="95"/>
        <v>3650</v>
      </c>
      <c r="U549" s="194">
        <v>0.19</v>
      </c>
      <c r="V549" s="196">
        <f t="shared" si="91"/>
        <v>3650</v>
      </c>
      <c r="W549" s="197"/>
      <c r="X549" s="197"/>
      <c r="Y549" s="197"/>
      <c r="Z549" s="197"/>
      <c r="AA549" s="197"/>
      <c r="AB549" s="197"/>
      <c r="AC549" s="197"/>
      <c r="AD549" s="197"/>
      <c r="AE549" s="197"/>
      <c r="AF549" s="197"/>
      <c r="AG549" s="197"/>
      <c r="AH549" s="197"/>
      <c r="AI549" s="197"/>
      <c r="AJ549" s="197"/>
      <c r="AK549" s="197"/>
      <c r="AL549" s="197"/>
      <c r="AM549" s="197"/>
      <c r="AN549" s="197"/>
      <c r="AO549" s="197"/>
      <c r="AP549" s="197"/>
      <c r="AQ549" s="197"/>
      <c r="AR549" s="197"/>
      <c r="AS549" s="197"/>
      <c r="AT549" s="197"/>
      <c r="AU549" s="197"/>
      <c r="AV549" s="197"/>
      <c r="AW549" s="197"/>
      <c r="AX549" s="197"/>
    </row>
    <row r="550" spans="1:50" ht="57.6" x14ac:dyDescent="0.3">
      <c r="A550" s="181">
        <v>5</v>
      </c>
      <c r="B550" s="182" t="s">
        <v>534</v>
      </c>
      <c r="C550" s="183" t="s">
        <v>886</v>
      </c>
      <c r="D550" s="184">
        <v>12352300</v>
      </c>
      <c r="E550" s="185">
        <v>18</v>
      </c>
      <c r="F550" s="217" t="s">
        <v>915</v>
      </c>
      <c r="G550" s="215" t="s">
        <v>916</v>
      </c>
      <c r="H550" s="188">
        <f t="shared" si="92"/>
        <v>11</v>
      </c>
      <c r="I550" s="188">
        <v>10</v>
      </c>
      <c r="J550" s="109">
        <v>1</v>
      </c>
      <c r="K550" s="195">
        <v>573937</v>
      </c>
      <c r="L550" s="194">
        <v>0.19</v>
      </c>
      <c r="M550" s="196">
        <f t="shared" si="88"/>
        <v>573937</v>
      </c>
      <c r="N550" s="399"/>
      <c r="O550" s="194">
        <v>0.19</v>
      </c>
      <c r="P550" s="401">
        <f t="shared" si="89"/>
        <v>0</v>
      </c>
      <c r="Q550" s="422">
        <v>1059100</v>
      </c>
      <c r="R550" s="194">
        <v>0.19</v>
      </c>
      <c r="S550" s="399">
        <f t="shared" si="90"/>
        <v>1059100</v>
      </c>
      <c r="T550" s="196">
        <f t="shared" si="95"/>
        <v>816518.5</v>
      </c>
      <c r="U550" s="194">
        <v>0.19</v>
      </c>
      <c r="V550" s="196">
        <f t="shared" si="91"/>
        <v>816518.5</v>
      </c>
      <c r="W550" s="197"/>
    </row>
    <row r="551" spans="1:50" s="345" customFormat="1" ht="145.19999999999999" x14ac:dyDescent="0.3">
      <c r="A551" s="433">
        <v>5</v>
      </c>
      <c r="B551" s="434">
        <v>272513</v>
      </c>
      <c r="C551" s="434">
        <v>141103148</v>
      </c>
      <c r="D551" s="434">
        <v>12352115</v>
      </c>
      <c r="E551" s="109">
        <v>19</v>
      </c>
      <c r="F551" s="435" t="s">
        <v>917</v>
      </c>
      <c r="G551" s="400" t="s">
        <v>918</v>
      </c>
      <c r="H551" s="188">
        <f t="shared" si="92"/>
        <v>11</v>
      </c>
      <c r="I551" s="188">
        <v>10</v>
      </c>
      <c r="J551" s="109">
        <v>1</v>
      </c>
      <c r="K551" s="195">
        <v>166600</v>
      </c>
      <c r="L551" s="194">
        <v>0.19</v>
      </c>
      <c r="M551" s="196">
        <f t="shared" si="88"/>
        <v>166600</v>
      </c>
      <c r="N551" s="399"/>
      <c r="O551" s="194">
        <v>0.19</v>
      </c>
      <c r="P551" s="401">
        <f t="shared" si="89"/>
        <v>0</v>
      </c>
      <c r="Q551" s="422">
        <v>192780</v>
      </c>
      <c r="R551" s="194">
        <v>0.19</v>
      </c>
      <c r="S551" s="399">
        <f t="shared" si="90"/>
        <v>192780</v>
      </c>
      <c r="T551" s="196">
        <f t="shared" si="95"/>
        <v>179690</v>
      </c>
      <c r="U551" s="194">
        <v>0.19</v>
      </c>
      <c r="V551" s="196">
        <f t="shared" si="91"/>
        <v>179690</v>
      </c>
      <c r="W551" s="197"/>
      <c r="X551" s="197"/>
      <c r="Y551" s="197"/>
      <c r="Z551" s="197"/>
      <c r="AA551" s="197"/>
      <c r="AB551" s="197"/>
      <c r="AC551" s="197"/>
      <c r="AD551" s="197"/>
      <c r="AE551" s="197"/>
      <c r="AF551" s="197"/>
      <c r="AG551" s="197"/>
      <c r="AH551" s="197"/>
      <c r="AI551" s="197"/>
      <c r="AJ551" s="197"/>
      <c r="AK551" s="197"/>
      <c r="AL551" s="197"/>
      <c r="AM551" s="197"/>
      <c r="AN551" s="197"/>
      <c r="AO551" s="197"/>
      <c r="AP551" s="197"/>
      <c r="AQ551" s="197"/>
      <c r="AR551" s="197"/>
      <c r="AS551" s="197"/>
      <c r="AT551" s="197"/>
      <c r="AU551" s="197"/>
      <c r="AV551" s="197"/>
      <c r="AW551" s="197"/>
      <c r="AX551" s="197"/>
    </row>
    <row r="552" spans="1:50" s="345" customFormat="1" ht="86.4" x14ac:dyDescent="0.3">
      <c r="A552" s="181">
        <v>5</v>
      </c>
      <c r="B552" s="182" t="s">
        <v>534</v>
      </c>
      <c r="C552" s="183" t="s">
        <v>886</v>
      </c>
      <c r="D552" s="184">
        <v>12352300</v>
      </c>
      <c r="E552" s="109">
        <v>20</v>
      </c>
      <c r="F552" s="217" t="s">
        <v>919</v>
      </c>
      <c r="G552" s="400" t="s">
        <v>920</v>
      </c>
      <c r="H552" s="188">
        <f t="shared" si="92"/>
        <v>15</v>
      </c>
      <c r="I552" s="188">
        <v>10</v>
      </c>
      <c r="J552" s="109">
        <v>5</v>
      </c>
      <c r="K552" s="195"/>
      <c r="L552" s="194">
        <v>0.19</v>
      </c>
      <c r="M552" s="196">
        <f t="shared" si="88"/>
        <v>0</v>
      </c>
      <c r="N552" s="399">
        <v>7600</v>
      </c>
      <c r="O552" s="194">
        <v>0.19</v>
      </c>
      <c r="P552" s="401">
        <f t="shared" si="89"/>
        <v>38000</v>
      </c>
      <c r="Q552" s="422">
        <v>128615</v>
      </c>
      <c r="R552" s="194">
        <v>0.19</v>
      </c>
      <c r="S552" s="399">
        <f t="shared" si="90"/>
        <v>643075</v>
      </c>
      <c r="T552" s="196">
        <f t="shared" si="95"/>
        <v>68107.5</v>
      </c>
      <c r="U552" s="194">
        <v>0.19</v>
      </c>
      <c r="V552" s="196">
        <f t="shared" si="91"/>
        <v>340537.5</v>
      </c>
      <c r="W552" s="197"/>
      <c r="X552" s="197"/>
      <c r="Y552" s="197"/>
      <c r="Z552" s="197"/>
      <c r="AA552" s="197"/>
      <c r="AB552" s="197"/>
      <c r="AC552" s="197"/>
      <c r="AD552" s="197"/>
      <c r="AE552" s="197"/>
      <c r="AF552" s="197"/>
      <c r="AG552" s="197"/>
      <c r="AH552" s="197"/>
      <c r="AI552" s="197"/>
      <c r="AJ552" s="197"/>
      <c r="AK552" s="197"/>
      <c r="AL552" s="197"/>
      <c r="AM552" s="197"/>
      <c r="AN552" s="197"/>
      <c r="AO552" s="197"/>
      <c r="AP552" s="197"/>
      <c r="AQ552" s="197"/>
      <c r="AR552" s="197"/>
      <c r="AS552" s="197"/>
      <c r="AT552" s="197"/>
      <c r="AU552" s="197"/>
      <c r="AV552" s="197"/>
      <c r="AW552" s="197"/>
      <c r="AX552" s="197"/>
    </row>
    <row r="553" spans="1:50" s="345" customFormat="1" ht="86.4" x14ac:dyDescent="0.3">
      <c r="A553" s="181">
        <v>5</v>
      </c>
      <c r="B553" s="182" t="s">
        <v>534</v>
      </c>
      <c r="C553" s="183" t="s">
        <v>886</v>
      </c>
      <c r="D553" s="184">
        <v>12352300</v>
      </c>
      <c r="E553" s="185">
        <v>21</v>
      </c>
      <c r="F553" s="217" t="s">
        <v>921</v>
      </c>
      <c r="G553" s="400" t="s">
        <v>920</v>
      </c>
      <c r="H553" s="188">
        <f t="shared" si="92"/>
        <v>15</v>
      </c>
      <c r="I553" s="188">
        <v>10</v>
      </c>
      <c r="J553" s="109">
        <v>5</v>
      </c>
      <c r="K553" s="195"/>
      <c r="L553" s="194">
        <v>0.19</v>
      </c>
      <c r="M553" s="196">
        <f t="shared" si="88"/>
        <v>0</v>
      </c>
      <c r="N553" s="399">
        <v>12000</v>
      </c>
      <c r="O553" s="194">
        <v>0.19</v>
      </c>
      <c r="P553" s="401">
        <f t="shared" si="89"/>
        <v>60000</v>
      </c>
      <c r="Q553" s="422">
        <v>102768</v>
      </c>
      <c r="R553" s="194">
        <v>0.19</v>
      </c>
      <c r="S553" s="399">
        <f t="shared" si="90"/>
        <v>513840</v>
      </c>
      <c r="T553" s="196">
        <f t="shared" si="95"/>
        <v>57384</v>
      </c>
      <c r="U553" s="194">
        <v>0.19</v>
      </c>
      <c r="V553" s="196">
        <f t="shared" si="91"/>
        <v>286920</v>
      </c>
      <c r="W553" s="197"/>
      <c r="X553" s="197"/>
      <c r="Y553" s="197"/>
      <c r="Z553" s="197"/>
      <c r="AA553" s="197"/>
      <c r="AB553" s="197"/>
      <c r="AC553" s="197"/>
      <c r="AD553" s="197"/>
      <c r="AE553" s="197"/>
      <c r="AF553" s="197"/>
      <c r="AG553" s="197"/>
      <c r="AH553" s="197"/>
      <c r="AI553" s="197"/>
      <c r="AJ553" s="197"/>
      <c r="AK553" s="197"/>
      <c r="AL553" s="197"/>
      <c r="AM553" s="197"/>
      <c r="AN553" s="197"/>
      <c r="AO553" s="197"/>
      <c r="AP553" s="197"/>
      <c r="AQ553" s="197"/>
      <c r="AR553" s="197"/>
      <c r="AS553" s="197"/>
      <c r="AT553" s="197"/>
      <c r="AU553" s="197"/>
      <c r="AV553" s="197"/>
      <c r="AW553" s="197"/>
      <c r="AX553" s="197"/>
    </row>
    <row r="554" spans="1:50" ht="57.6" x14ac:dyDescent="0.3">
      <c r="A554" s="181">
        <v>5</v>
      </c>
      <c r="B554" s="182" t="s">
        <v>534</v>
      </c>
      <c r="C554" s="183" t="s">
        <v>886</v>
      </c>
      <c r="D554" s="184">
        <v>12352300</v>
      </c>
      <c r="E554" s="109">
        <v>22</v>
      </c>
      <c r="F554" s="217" t="s">
        <v>922</v>
      </c>
      <c r="G554" s="400" t="s">
        <v>920</v>
      </c>
      <c r="H554" s="188">
        <f t="shared" si="92"/>
        <v>13</v>
      </c>
      <c r="I554" s="188">
        <v>10</v>
      </c>
      <c r="J554" s="109">
        <v>3</v>
      </c>
      <c r="K554" s="195">
        <v>124950</v>
      </c>
      <c r="L554" s="194">
        <v>0.19</v>
      </c>
      <c r="M554" s="196">
        <f t="shared" si="88"/>
        <v>374850</v>
      </c>
      <c r="N554" s="399"/>
      <c r="O554" s="194">
        <v>0.19</v>
      </c>
      <c r="P554" s="401">
        <f t="shared" si="89"/>
        <v>0</v>
      </c>
      <c r="Q554" s="422">
        <v>162792</v>
      </c>
      <c r="R554" s="194">
        <v>0.19</v>
      </c>
      <c r="S554" s="399">
        <f t="shared" si="90"/>
        <v>488376</v>
      </c>
      <c r="T554" s="196">
        <f>SUM(K554+N554+Q554)/2</f>
        <v>143871</v>
      </c>
      <c r="U554" s="194">
        <v>0.19</v>
      </c>
      <c r="V554" s="196">
        <f t="shared" si="91"/>
        <v>431613</v>
      </c>
      <c r="W554" s="197"/>
    </row>
    <row r="555" spans="1:50" ht="28.8" x14ac:dyDescent="0.3">
      <c r="A555" s="181">
        <v>5</v>
      </c>
      <c r="B555" s="182" t="s">
        <v>534</v>
      </c>
      <c r="C555" s="183" t="s">
        <v>886</v>
      </c>
      <c r="D555" s="184">
        <v>12352300</v>
      </c>
      <c r="E555" s="109">
        <v>23</v>
      </c>
      <c r="F555" s="217" t="s">
        <v>923</v>
      </c>
      <c r="G555" s="400" t="s">
        <v>920</v>
      </c>
      <c r="H555" s="188">
        <f t="shared" si="92"/>
        <v>13</v>
      </c>
      <c r="I555" s="188">
        <v>10</v>
      </c>
      <c r="J555" s="109">
        <v>3</v>
      </c>
      <c r="K555" s="195">
        <v>78540</v>
      </c>
      <c r="L555" s="194">
        <v>0.19</v>
      </c>
      <c r="M555" s="196">
        <f t="shared" si="88"/>
        <v>235620</v>
      </c>
      <c r="N555" s="399"/>
      <c r="O555" s="194">
        <v>0.19</v>
      </c>
      <c r="P555" s="401">
        <f t="shared" si="89"/>
        <v>0</v>
      </c>
      <c r="Q555" s="422">
        <v>701624</v>
      </c>
      <c r="R555" s="194">
        <v>0.19</v>
      </c>
      <c r="S555" s="399">
        <f t="shared" si="90"/>
        <v>2104872</v>
      </c>
      <c r="T555" s="196">
        <f>SUM(K555+N555+Q555)/2</f>
        <v>390082</v>
      </c>
      <c r="U555" s="194">
        <v>0.19</v>
      </c>
      <c r="V555" s="196">
        <f t="shared" si="91"/>
        <v>1170246</v>
      </c>
      <c r="W555" s="197"/>
    </row>
    <row r="556" spans="1:50" s="345" customFormat="1" ht="82.8" x14ac:dyDescent="0.3">
      <c r="A556" s="181">
        <v>5</v>
      </c>
      <c r="B556" s="436">
        <v>288343</v>
      </c>
      <c r="C556" s="436">
        <v>141103147</v>
      </c>
      <c r="D556" s="437">
        <v>41122605</v>
      </c>
      <c r="E556" s="185">
        <v>24</v>
      </c>
      <c r="F556" s="438" t="s">
        <v>924</v>
      </c>
      <c r="G556" s="436" t="s">
        <v>925</v>
      </c>
      <c r="H556" s="188">
        <f t="shared" si="92"/>
        <v>12</v>
      </c>
      <c r="I556" s="188">
        <v>10</v>
      </c>
      <c r="J556" s="437">
        <v>2</v>
      </c>
      <c r="K556" s="195">
        <v>205751</v>
      </c>
      <c r="L556" s="194">
        <v>0.19</v>
      </c>
      <c r="M556" s="196">
        <f t="shared" si="88"/>
        <v>411502</v>
      </c>
      <c r="N556" s="399">
        <v>250000</v>
      </c>
      <c r="O556" s="194">
        <v>0.19</v>
      </c>
      <c r="P556" s="401">
        <f t="shared" si="89"/>
        <v>500000</v>
      </c>
      <c r="Q556" s="422">
        <v>89250</v>
      </c>
      <c r="R556" s="194">
        <v>0.19</v>
      </c>
      <c r="S556" s="399">
        <f t="shared" si="90"/>
        <v>178500</v>
      </c>
      <c r="T556" s="196">
        <f t="shared" si="93"/>
        <v>181667</v>
      </c>
      <c r="U556" s="194">
        <v>0.19</v>
      </c>
      <c r="V556" s="196">
        <f t="shared" si="91"/>
        <v>363334</v>
      </c>
      <c r="W556" s="197"/>
      <c r="X556" s="197"/>
      <c r="Y556" s="197"/>
      <c r="Z556" s="197"/>
      <c r="AA556" s="197"/>
      <c r="AB556" s="197"/>
      <c r="AC556" s="197"/>
      <c r="AD556" s="197"/>
      <c r="AE556" s="197"/>
      <c r="AF556" s="197"/>
      <c r="AG556" s="197"/>
      <c r="AH556" s="197"/>
      <c r="AI556" s="197"/>
      <c r="AJ556" s="197"/>
      <c r="AK556" s="197"/>
      <c r="AL556" s="197"/>
      <c r="AM556" s="197"/>
      <c r="AN556" s="197"/>
      <c r="AO556" s="197"/>
      <c r="AP556" s="197"/>
      <c r="AQ556" s="197"/>
      <c r="AR556" s="197"/>
      <c r="AS556" s="197"/>
      <c r="AT556" s="197"/>
      <c r="AU556" s="197"/>
      <c r="AV556" s="197"/>
      <c r="AW556" s="197"/>
      <c r="AX556" s="197"/>
    </row>
    <row r="557" spans="1:50" x14ac:dyDescent="0.3">
      <c r="A557" s="181">
        <v>5</v>
      </c>
      <c r="B557" s="182" t="s">
        <v>534</v>
      </c>
      <c r="C557" s="436">
        <v>141103147</v>
      </c>
      <c r="D557" s="184">
        <v>12352300</v>
      </c>
      <c r="E557" s="109">
        <v>25</v>
      </c>
      <c r="F557" s="217" t="s">
        <v>926</v>
      </c>
      <c r="G557" s="400" t="s">
        <v>920</v>
      </c>
      <c r="H557" s="188">
        <f t="shared" si="92"/>
        <v>13</v>
      </c>
      <c r="I557" s="188">
        <v>10</v>
      </c>
      <c r="J557" s="109">
        <v>3</v>
      </c>
      <c r="K557" s="195">
        <v>61285</v>
      </c>
      <c r="L557" s="194">
        <v>0.19</v>
      </c>
      <c r="M557" s="196">
        <f t="shared" si="88"/>
        <v>183855</v>
      </c>
      <c r="N557" s="399">
        <v>70000</v>
      </c>
      <c r="O557" s="194">
        <v>0.19</v>
      </c>
      <c r="P557" s="401">
        <f t="shared" si="89"/>
        <v>210000</v>
      </c>
      <c r="Q557" s="422">
        <v>61199</v>
      </c>
      <c r="R557" s="194">
        <v>0.19</v>
      </c>
      <c r="S557" s="399">
        <f t="shared" si="90"/>
        <v>183597</v>
      </c>
      <c r="T557" s="196">
        <f t="shared" si="93"/>
        <v>64161.333333333336</v>
      </c>
      <c r="U557" s="194">
        <v>0.19</v>
      </c>
      <c r="V557" s="196">
        <f t="shared" si="91"/>
        <v>192484</v>
      </c>
      <c r="W557" s="197"/>
    </row>
    <row r="558" spans="1:50" ht="57.6" x14ac:dyDescent="0.3">
      <c r="A558" s="181">
        <v>5</v>
      </c>
      <c r="B558" s="182" t="s">
        <v>534</v>
      </c>
      <c r="C558" s="183" t="s">
        <v>886</v>
      </c>
      <c r="D558" s="184">
        <v>12352300</v>
      </c>
      <c r="E558" s="109">
        <v>26</v>
      </c>
      <c r="F558" s="217" t="s">
        <v>927</v>
      </c>
      <c r="G558" s="400" t="s">
        <v>905</v>
      </c>
      <c r="H558" s="188">
        <f t="shared" si="92"/>
        <v>12</v>
      </c>
      <c r="I558" s="188">
        <v>10</v>
      </c>
      <c r="J558" s="109">
        <v>2</v>
      </c>
      <c r="K558" s="195">
        <v>429352</v>
      </c>
      <c r="L558" s="194">
        <v>0.19</v>
      </c>
      <c r="M558" s="196">
        <f t="shared" si="88"/>
        <v>858704</v>
      </c>
      <c r="N558" s="399"/>
      <c r="O558" s="194">
        <v>0.19</v>
      </c>
      <c r="P558" s="401">
        <f t="shared" si="89"/>
        <v>0</v>
      </c>
      <c r="Q558" s="422">
        <v>565250</v>
      </c>
      <c r="R558" s="194">
        <v>0.19</v>
      </c>
      <c r="S558" s="399">
        <f t="shared" si="90"/>
        <v>1130500</v>
      </c>
      <c r="T558" s="196">
        <f t="shared" ref="T558:T563" si="96">SUM(K558+N558+Q558)/2</f>
        <v>497301</v>
      </c>
      <c r="U558" s="194">
        <v>0.19</v>
      </c>
      <c r="V558" s="196">
        <f t="shared" si="91"/>
        <v>994602</v>
      </c>
      <c r="W558" s="197"/>
    </row>
    <row r="559" spans="1:50" s="180" customFormat="1" ht="124.2" x14ac:dyDescent="0.3">
      <c r="A559" s="181">
        <v>5</v>
      </c>
      <c r="B559" s="183" t="s">
        <v>538</v>
      </c>
      <c r="C559" s="183" t="s">
        <v>928</v>
      </c>
      <c r="D559" s="184">
        <v>12352100</v>
      </c>
      <c r="E559" s="185">
        <v>27</v>
      </c>
      <c r="F559" s="439" t="s">
        <v>929</v>
      </c>
      <c r="G559" s="16" t="s">
        <v>930</v>
      </c>
      <c r="H559" s="188">
        <f t="shared" si="92"/>
        <v>12</v>
      </c>
      <c r="I559" s="188">
        <v>10</v>
      </c>
      <c r="J559" s="16">
        <v>2</v>
      </c>
      <c r="K559" s="195">
        <v>423997</v>
      </c>
      <c r="L559" s="194">
        <v>0.19</v>
      </c>
      <c r="M559" s="196">
        <f t="shared" si="88"/>
        <v>847994</v>
      </c>
      <c r="N559" s="399"/>
      <c r="O559" s="194">
        <v>0.19</v>
      </c>
      <c r="P559" s="401">
        <f t="shared" si="89"/>
        <v>0</v>
      </c>
      <c r="Q559" s="422">
        <v>540812</v>
      </c>
      <c r="R559" s="194">
        <v>0.19</v>
      </c>
      <c r="S559" s="399">
        <f t="shared" si="90"/>
        <v>1081624</v>
      </c>
      <c r="T559" s="196">
        <f t="shared" si="96"/>
        <v>482404.5</v>
      </c>
      <c r="U559" s="194">
        <v>0.19</v>
      </c>
      <c r="V559" s="196">
        <f t="shared" si="91"/>
        <v>964809</v>
      </c>
      <c r="W559" s="197"/>
      <c r="X559" s="197"/>
      <c r="Y559" s="197"/>
      <c r="Z559" s="197"/>
      <c r="AA559" s="197"/>
      <c r="AB559" s="197"/>
      <c r="AC559" s="197"/>
      <c r="AD559" s="197"/>
      <c r="AE559" s="197"/>
      <c r="AF559" s="197"/>
      <c r="AG559" s="197"/>
      <c r="AH559" s="197"/>
      <c r="AI559" s="197"/>
      <c r="AJ559" s="197"/>
      <c r="AK559" s="197"/>
      <c r="AL559" s="197"/>
      <c r="AM559" s="197"/>
      <c r="AN559" s="197"/>
      <c r="AO559" s="197"/>
      <c r="AP559" s="197"/>
      <c r="AQ559" s="197"/>
      <c r="AR559" s="197"/>
      <c r="AS559" s="197"/>
      <c r="AT559" s="197"/>
      <c r="AU559" s="197"/>
      <c r="AV559" s="197"/>
      <c r="AW559" s="197"/>
      <c r="AX559" s="197"/>
    </row>
    <row r="560" spans="1:50" s="345" customFormat="1" ht="220.8" x14ac:dyDescent="0.3">
      <c r="A560" s="181">
        <v>5</v>
      </c>
      <c r="B560" s="183" t="s">
        <v>931</v>
      </c>
      <c r="C560" s="183" t="s">
        <v>932</v>
      </c>
      <c r="D560" s="184">
        <v>12352100</v>
      </c>
      <c r="E560" s="109">
        <v>28</v>
      </c>
      <c r="F560" s="439" t="s">
        <v>933</v>
      </c>
      <c r="G560" s="16" t="s">
        <v>934</v>
      </c>
      <c r="H560" s="188">
        <f t="shared" si="92"/>
        <v>12</v>
      </c>
      <c r="I560" s="188">
        <v>10</v>
      </c>
      <c r="J560" s="109">
        <v>2</v>
      </c>
      <c r="K560" s="195">
        <v>226100</v>
      </c>
      <c r="L560" s="194">
        <v>0.19</v>
      </c>
      <c r="M560" s="196">
        <f t="shared" si="88"/>
        <v>452200</v>
      </c>
      <c r="N560" s="399"/>
      <c r="O560" s="194">
        <v>0.19</v>
      </c>
      <c r="P560" s="401">
        <f t="shared" si="89"/>
        <v>0</v>
      </c>
      <c r="Q560" s="422">
        <v>430312</v>
      </c>
      <c r="R560" s="194">
        <v>0.19</v>
      </c>
      <c r="S560" s="399">
        <f t="shared" si="90"/>
        <v>860624</v>
      </c>
      <c r="T560" s="196">
        <f t="shared" si="96"/>
        <v>328206</v>
      </c>
      <c r="U560" s="194">
        <v>0.19</v>
      </c>
      <c r="V560" s="196">
        <f t="shared" si="91"/>
        <v>656412</v>
      </c>
      <c r="W560" s="197"/>
      <c r="X560" s="197"/>
      <c r="Y560" s="197"/>
      <c r="Z560" s="197"/>
      <c r="AA560" s="197"/>
      <c r="AB560" s="197"/>
      <c r="AC560" s="197"/>
      <c r="AD560" s="197"/>
      <c r="AE560" s="197"/>
      <c r="AF560" s="197"/>
      <c r="AG560" s="197"/>
      <c r="AH560" s="197"/>
      <c r="AI560" s="197"/>
      <c r="AJ560" s="197"/>
      <c r="AK560" s="197"/>
      <c r="AL560" s="197"/>
      <c r="AM560" s="197"/>
      <c r="AN560" s="197"/>
      <c r="AO560" s="197"/>
      <c r="AP560" s="197"/>
      <c r="AQ560" s="197"/>
      <c r="AR560" s="197"/>
      <c r="AS560" s="197"/>
      <c r="AT560" s="197"/>
      <c r="AU560" s="197"/>
      <c r="AV560" s="197"/>
      <c r="AW560" s="197"/>
      <c r="AX560" s="197"/>
    </row>
    <row r="561" spans="1:50" ht="138" x14ac:dyDescent="0.3">
      <c r="A561" s="181">
        <v>5</v>
      </c>
      <c r="B561" s="109">
        <v>141103148</v>
      </c>
      <c r="C561" s="183" t="s">
        <v>886</v>
      </c>
      <c r="D561" s="184">
        <v>12352300</v>
      </c>
      <c r="E561" s="109">
        <v>29</v>
      </c>
      <c r="F561" s="429" t="s">
        <v>935</v>
      </c>
      <c r="G561" s="440" t="s">
        <v>936</v>
      </c>
      <c r="H561" s="188">
        <f t="shared" si="92"/>
        <v>11</v>
      </c>
      <c r="I561" s="188">
        <v>10</v>
      </c>
      <c r="J561" s="213">
        <v>1</v>
      </c>
      <c r="K561" s="195">
        <v>149107</v>
      </c>
      <c r="L561" s="194">
        <v>0.19</v>
      </c>
      <c r="M561" s="196">
        <f t="shared" si="88"/>
        <v>149107</v>
      </c>
      <c r="N561" s="399"/>
      <c r="O561" s="194">
        <v>0.19</v>
      </c>
      <c r="P561" s="401">
        <f t="shared" si="89"/>
        <v>0</v>
      </c>
      <c r="Q561" s="422">
        <v>235620</v>
      </c>
      <c r="R561" s="194">
        <v>0.19</v>
      </c>
      <c r="S561" s="399">
        <f t="shared" si="90"/>
        <v>235620</v>
      </c>
      <c r="T561" s="196">
        <f t="shared" si="96"/>
        <v>192363.5</v>
      </c>
      <c r="U561" s="194">
        <v>0.19</v>
      </c>
      <c r="V561" s="196">
        <f t="shared" si="91"/>
        <v>192363.5</v>
      </c>
      <c r="W561" s="197"/>
    </row>
    <row r="562" spans="1:50" ht="109.2" x14ac:dyDescent="0.3">
      <c r="A562" s="181">
        <v>5</v>
      </c>
      <c r="B562" s="182" t="s">
        <v>538</v>
      </c>
      <c r="C562" s="183" t="s">
        <v>886</v>
      </c>
      <c r="D562" s="184">
        <v>12352300</v>
      </c>
      <c r="E562" s="185">
        <v>30</v>
      </c>
      <c r="F562" s="441" t="s">
        <v>937</v>
      </c>
      <c r="G562" s="215" t="s">
        <v>25</v>
      </c>
      <c r="H562" s="188">
        <f t="shared" si="92"/>
        <v>12</v>
      </c>
      <c r="I562" s="188">
        <v>10</v>
      </c>
      <c r="J562" s="214">
        <v>2</v>
      </c>
      <c r="K562" s="195">
        <v>2222325</v>
      </c>
      <c r="L562" s="194">
        <v>0.19</v>
      </c>
      <c r="M562" s="196">
        <f t="shared" si="88"/>
        <v>4444650</v>
      </c>
      <c r="N562" s="399"/>
      <c r="O562" s="194">
        <v>0.19</v>
      </c>
      <c r="P562" s="401">
        <f t="shared" si="89"/>
        <v>0</v>
      </c>
      <c r="Q562" s="422">
        <v>2345000</v>
      </c>
      <c r="R562" s="194">
        <v>0.19</v>
      </c>
      <c r="S562" s="399">
        <f t="shared" si="90"/>
        <v>4690000</v>
      </c>
      <c r="T562" s="196">
        <f t="shared" si="96"/>
        <v>2283662.5</v>
      </c>
      <c r="U562" s="194">
        <v>0.19</v>
      </c>
      <c r="V562" s="196">
        <f t="shared" si="91"/>
        <v>4567325</v>
      </c>
      <c r="W562" s="197"/>
    </row>
    <row r="563" spans="1:50" ht="86.4" x14ac:dyDescent="0.3">
      <c r="A563" s="181">
        <v>5</v>
      </c>
      <c r="B563" s="182" t="s">
        <v>534</v>
      </c>
      <c r="C563" s="183" t="s">
        <v>886</v>
      </c>
      <c r="D563" s="184">
        <v>12352300</v>
      </c>
      <c r="E563" s="109">
        <v>31</v>
      </c>
      <c r="F563" s="426" t="s">
        <v>938</v>
      </c>
      <c r="G563" s="215" t="s">
        <v>939</v>
      </c>
      <c r="H563" s="188">
        <f t="shared" si="92"/>
        <v>11</v>
      </c>
      <c r="I563" s="188">
        <v>10</v>
      </c>
      <c r="J563" s="215">
        <v>1</v>
      </c>
      <c r="K563" s="195">
        <v>794682</v>
      </c>
      <c r="L563" s="194">
        <v>0.19</v>
      </c>
      <c r="M563" s="196">
        <f t="shared" si="88"/>
        <v>794682</v>
      </c>
      <c r="N563" s="399"/>
      <c r="O563" s="194">
        <v>0.19</v>
      </c>
      <c r="P563" s="401">
        <f t="shared" si="89"/>
        <v>0</v>
      </c>
      <c r="Q563" s="422">
        <v>380800</v>
      </c>
      <c r="R563" s="194">
        <v>0.19</v>
      </c>
      <c r="S563" s="399">
        <f t="shared" si="90"/>
        <v>380800</v>
      </c>
      <c r="T563" s="196">
        <f t="shared" si="96"/>
        <v>587741</v>
      </c>
      <c r="U563" s="194">
        <v>0.19</v>
      </c>
      <c r="V563" s="196">
        <f t="shared" si="91"/>
        <v>587741</v>
      </c>
      <c r="W563" s="197"/>
    </row>
    <row r="564" spans="1:50" ht="55.2" x14ac:dyDescent="0.3">
      <c r="A564" s="181">
        <v>5</v>
      </c>
      <c r="B564" s="183" t="s">
        <v>940</v>
      </c>
      <c r="C564" s="183" t="s">
        <v>941</v>
      </c>
      <c r="D564" s="184">
        <v>41122400</v>
      </c>
      <c r="E564" s="109">
        <v>32</v>
      </c>
      <c r="F564" s="429" t="s">
        <v>942</v>
      </c>
      <c r="G564" s="16" t="s">
        <v>25</v>
      </c>
      <c r="H564" s="188">
        <f t="shared" si="92"/>
        <v>13</v>
      </c>
      <c r="I564" s="188">
        <v>10</v>
      </c>
      <c r="J564" s="16">
        <v>3</v>
      </c>
      <c r="K564" s="195">
        <v>14042</v>
      </c>
      <c r="L564" s="194">
        <v>0.19</v>
      </c>
      <c r="M564" s="196">
        <f t="shared" si="88"/>
        <v>42126</v>
      </c>
      <c r="N564" s="399">
        <v>15000</v>
      </c>
      <c r="O564" s="194">
        <v>0.19</v>
      </c>
      <c r="P564" s="401">
        <f t="shared" si="89"/>
        <v>45000</v>
      </c>
      <c r="Q564" s="422">
        <v>17680</v>
      </c>
      <c r="R564" s="194">
        <v>0.19</v>
      </c>
      <c r="S564" s="399">
        <f t="shared" si="90"/>
        <v>53040</v>
      </c>
      <c r="T564" s="196">
        <f t="shared" si="93"/>
        <v>15574</v>
      </c>
      <c r="U564" s="194">
        <v>0.19</v>
      </c>
      <c r="V564" s="196">
        <f t="shared" si="91"/>
        <v>46722</v>
      </c>
      <c r="W564" s="197"/>
    </row>
    <row r="565" spans="1:50" ht="41.4" x14ac:dyDescent="0.3">
      <c r="A565" s="181">
        <v>5</v>
      </c>
      <c r="B565" s="183" t="s">
        <v>940</v>
      </c>
      <c r="C565" s="183" t="s">
        <v>941</v>
      </c>
      <c r="D565" s="184">
        <v>41122400</v>
      </c>
      <c r="E565" s="185">
        <v>33</v>
      </c>
      <c r="F565" s="429" t="s">
        <v>943</v>
      </c>
      <c r="G565" s="16" t="s">
        <v>25</v>
      </c>
      <c r="H565" s="188">
        <f t="shared" si="92"/>
        <v>12</v>
      </c>
      <c r="I565" s="188">
        <v>10</v>
      </c>
      <c r="J565" s="16">
        <v>2</v>
      </c>
      <c r="K565" s="195">
        <v>68068</v>
      </c>
      <c r="L565" s="194">
        <v>0.19</v>
      </c>
      <c r="M565" s="196">
        <f t="shared" si="88"/>
        <v>136136</v>
      </c>
      <c r="N565" s="399">
        <v>72050</v>
      </c>
      <c r="O565" s="194">
        <v>0.19</v>
      </c>
      <c r="P565" s="401">
        <f t="shared" si="89"/>
        <v>144100</v>
      </c>
      <c r="Q565" s="422">
        <v>70040</v>
      </c>
      <c r="R565" s="194">
        <v>0.19</v>
      </c>
      <c r="S565" s="399">
        <f t="shared" si="90"/>
        <v>140080</v>
      </c>
      <c r="T565" s="196">
        <f t="shared" si="93"/>
        <v>70052.666666666672</v>
      </c>
      <c r="U565" s="194">
        <v>0.19</v>
      </c>
      <c r="V565" s="196">
        <f t="shared" si="91"/>
        <v>140105.33333333334</v>
      </c>
      <c r="W565" s="197"/>
    </row>
    <row r="566" spans="1:50" ht="165.6" x14ac:dyDescent="0.3">
      <c r="A566" s="433">
        <v>5</v>
      </c>
      <c r="B566" s="442">
        <v>241249</v>
      </c>
      <c r="C566" s="442">
        <v>141103148</v>
      </c>
      <c r="D566" s="442">
        <v>12142103</v>
      </c>
      <c r="E566" s="109">
        <v>34</v>
      </c>
      <c r="F566" s="443" t="s">
        <v>944</v>
      </c>
      <c r="G566" s="444" t="s">
        <v>945</v>
      </c>
      <c r="H566" s="188">
        <f t="shared" si="92"/>
        <v>12</v>
      </c>
      <c r="I566" s="188">
        <v>10</v>
      </c>
      <c r="J566" s="400">
        <v>2</v>
      </c>
      <c r="K566" s="195">
        <v>115668</v>
      </c>
      <c r="L566" s="194">
        <v>0.19</v>
      </c>
      <c r="M566" s="196">
        <f t="shared" si="88"/>
        <v>231336</v>
      </c>
      <c r="N566" s="399"/>
      <c r="O566" s="194">
        <v>0.19</v>
      </c>
      <c r="P566" s="401">
        <f t="shared" si="89"/>
        <v>0</v>
      </c>
      <c r="Q566" s="422">
        <v>175292</v>
      </c>
      <c r="R566" s="194">
        <v>0.19</v>
      </c>
      <c r="S566" s="399">
        <f t="shared" si="90"/>
        <v>350584</v>
      </c>
      <c r="T566" s="196">
        <f>SUM(K566+N566+Q566)/2</f>
        <v>145480</v>
      </c>
      <c r="U566" s="194">
        <v>0.19</v>
      </c>
      <c r="V566" s="196">
        <f t="shared" si="91"/>
        <v>290960</v>
      </c>
      <c r="W566" s="197"/>
    </row>
    <row r="567" spans="1:50" ht="43.2" x14ac:dyDescent="0.3">
      <c r="A567" s="109">
        <v>5</v>
      </c>
      <c r="B567" s="190">
        <v>141103147</v>
      </c>
      <c r="C567" s="186" t="s">
        <v>946</v>
      </c>
      <c r="D567" s="190">
        <v>51191602</v>
      </c>
      <c r="E567" s="109">
        <v>35</v>
      </c>
      <c r="F567" s="188" t="s">
        <v>947</v>
      </c>
      <c r="G567" s="188" t="s">
        <v>788</v>
      </c>
      <c r="H567" s="188">
        <f t="shared" si="92"/>
        <v>11</v>
      </c>
      <c r="I567" s="188">
        <v>10</v>
      </c>
      <c r="J567" s="400">
        <v>1</v>
      </c>
      <c r="K567" s="195">
        <v>730541</v>
      </c>
      <c r="L567" s="194">
        <v>0.19</v>
      </c>
      <c r="M567" s="196">
        <f t="shared" si="88"/>
        <v>730541</v>
      </c>
      <c r="N567" s="399"/>
      <c r="O567" s="194">
        <v>0.19</v>
      </c>
      <c r="P567" s="401">
        <f t="shared" si="89"/>
        <v>0</v>
      </c>
      <c r="Q567" s="422">
        <v>473620</v>
      </c>
      <c r="R567" s="194">
        <v>0.19</v>
      </c>
      <c r="S567" s="399">
        <f t="shared" si="90"/>
        <v>473620</v>
      </c>
      <c r="T567" s="196">
        <f>SUM(K567+N567+Q567)/2</f>
        <v>602080.5</v>
      </c>
      <c r="U567" s="194">
        <v>0.19</v>
      </c>
      <c r="V567" s="196">
        <f t="shared" si="91"/>
        <v>602080.5</v>
      </c>
      <c r="W567" s="197"/>
    </row>
    <row r="568" spans="1:50" x14ac:dyDescent="0.3">
      <c r="A568" s="181">
        <v>5</v>
      </c>
      <c r="B568" s="437">
        <v>276789</v>
      </c>
      <c r="C568" s="436">
        <v>141103148</v>
      </c>
      <c r="D568" s="437">
        <v>41116105</v>
      </c>
      <c r="E568" s="185">
        <v>36</v>
      </c>
      <c r="F568" s="438" t="s">
        <v>948</v>
      </c>
      <c r="G568" s="436" t="s">
        <v>949</v>
      </c>
      <c r="H568" s="188">
        <f t="shared" si="92"/>
        <v>11</v>
      </c>
      <c r="I568" s="188">
        <v>10</v>
      </c>
      <c r="J568" s="437">
        <v>1</v>
      </c>
      <c r="K568" s="195">
        <v>101626</v>
      </c>
      <c r="L568" s="194">
        <v>0.19</v>
      </c>
      <c r="M568" s="196">
        <f t="shared" si="88"/>
        <v>101626</v>
      </c>
      <c r="N568" s="399"/>
      <c r="O568" s="194">
        <v>0.19</v>
      </c>
      <c r="P568" s="401">
        <f t="shared" si="89"/>
        <v>0</v>
      </c>
      <c r="Q568" s="422">
        <v>45220</v>
      </c>
      <c r="R568" s="194">
        <v>0.19</v>
      </c>
      <c r="S568" s="399">
        <f t="shared" si="90"/>
        <v>45220</v>
      </c>
      <c r="T568" s="196">
        <f>SUM(K568+N568+Q568)/2</f>
        <v>73423</v>
      </c>
      <c r="U568" s="194">
        <v>0.19</v>
      </c>
      <c r="V568" s="196">
        <f t="shared" si="91"/>
        <v>73423</v>
      </c>
      <c r="W568" s="197"/>
    </row>
    <row r="569" spans="1:50" s="180" customFormat="1" ht="151.80000000000001" x14ac:dyDescent="0.3">
      <c r="A569" s="433">
        <v>5</v>
      </c>
      <c r="B569" s="442">
        <v>251595</v>
      </c>
      <c r="C569" s="442">
        <v>141103148</v>
      </c>
      <c r="D569" s="442">
        <v>12352300</v>
      </c>
      <c r="E569" s="109">
        <v>37</v>
      </c>
      <c r="F569" s="443" t="s">
        <v>950</v>
      </c>
      <c r="G569" s="444" t="s">
        <v>901</v>
      </c>
      <c r="H569" s="188">
        <f t="shared" si="92"/>
        <v>11</v>
      </c>
      <c r="I569" s="188">
        <v>10</v>
      </c>
      <c r="J569" s="400">
        <v>1</v>
      </c>
      <c r="K569" s="195">
        <v>474393.5</v>
      </c>
      <c r="L569" s="194">
        <v>0.19</v>
      </c>
      <c r="M569" s="196">
        <f t="shared" si="88"/>
        <v>474393.5</v>
      </c>
      <c r="N569" s="399"/>
      <c r="O569" s="194">
        <v>0.19</v>
      </c>
      <c r="P569" s="401">
        <f t="shared" si="89"/>
        <v>0</v>
      </c>
      <c r="Q569" s="422">
        <v>1053150</v>
      </c>
      <c r="R569" s="194">
        <v>0.19</v>
      </c>
      <c r="S569" s="399">
        <f t="shared" si="90"/>
        <v>1053150</v>
      </c>
      <c r="T569" s="196">
        <f>SUM(K569+N569+Q569)/2</f>
        <v>763771.75</v>
      </c>
      <c r="U569" s="194">
        <v>0.19</v>
      </c>
      <c r="V569" s="196">
        <f t="shared" si="91"/>
        <v>763771.75</v>
      </c>
      <c r="W569" s="197"/>
      <c r="X569" s="197"/>
      <c r="Y569" s="197"/>
      <c r="Z569" s="197"/>
      <c r="AA569" s="197"/>
      <c r="AB569" s="197"/>
      <c r="AC569" s="197"/>
      <c r="AD569" s="197"/>
      <c r="AE569" s="197"/>
      <c r="AF569" s="197"/>
      <c r="AG569" s="197"/>
      <c r="AH569" s="197"/>
      <c r="AI569" s="197"/>
      <c r="AJ569" s="197"/>
      <c r="AK569" s="197"/>
      <c r="AL569" s="197"/>
      <c r="AM569" s="197"/>
      <c r="AN569" s="197"/>
      <c r="AO569" s="197"/>
      <c r="AP569" s="197"/>
      <c r="AQ569" s="197"/>
      <c r="AR569" s="197"/>
      <c r="AS569" s="197"/>
      <c r="AT569" s="197"/>
      <c r="AU569" s="197"/>
      <c r="AV569" s="197"/>
      <c r="AW569" s="197"/>
      <c r="AX569" s="197"/>
    </row>
    <row r="570" spans="1:50" x14ac:dyDescent="0.3">
      <c r="A570" s="188">
        <v>5</v>
      </c>
      <c r="B570" s="188">
        <v>141103158</v>
      </c>
      <c r="C570" s="188">
        <v>261695</v>
      </c>
      <c r="D570" s="188">
        <v>41121803</v>
      </c>
      <c r="E570" s="109">
        <v>38</v>
      </c>
      <c r="F570" s="188" t="s">
        <v>951</v>
      </c>
      <c r="G570" s="188" t="s">
        <v>920</v>
      </c>
      <c r="H570" s="188">
        <f t="shared" si="92"/>
        <v>13</v>
      </c>
      <c r="I570" s="188">
        <v>10</v>
      </c>
      <c r="J570" s="188">
        <v>3</v>
      </c>
      <c r="K570" s="195">
        <v>49385</v>
      </c>
      <c r="L570" s="194">
        <v>0.19</v>
      </c>
      <c r="M570" s="196">
        <f t="shared" si="88"/>
        <v>148155</v>
      </c>
      <c r="N570" s="399">
        <v>7200</v>
      </c>
      <c r="O570" s="194">
        <v>0.19</v>
      </c>
      <c r="P570" s="401">
        <f t="shared" si="89"/>
        <v>21600</v>
      </c>
      <c r="Q570" s="422">
        <v>72488</v>
      </c>
      <c r="R570" s="194">
        <v>0.19</v>
      </c>
      <c r="S570" s="399">
        <f t="shared" si="90"/>
        <v>217464</v>
      </c>
      <c r="T570" s="196">
        <f t="shared" si="93"/>
        <v>43024.333333333336</v>
      </c>
      <c r="U570" s="194">
        <v>0.19</v>
      </c>
      <c r="V570" s="196">
        <f t="shared" si="91"/>
        <v>129073</v>
      </c>
      <c r="W570" s="197"/>
    </row>
    <row r="571" spans="1:50" ht="41.4" x14ac:dyDescent="0.3">
      <c r="A571" s="184">
        <v>5</v>
      </c>
      <c r="B571" s="183" t="s">
        <v>534</v>
      </c>
      <c r="C571" s="183" t="s">
        <v>952</v>
      </c>
      <c r="D571" s="184">
        <v>41121800</v>
      </c>
      <c r="E571" s="185">
        <v>39</v>
      </c>
      <c r="F571" s="440" t="s">
        <v>953</v>
      </c>
      <c r="G571" s="16" t="s">
        <v>25</v>
      </c>
      <c r="H571" s="188">
        <f t="shared" si="92"/>
        <v>13</v>
      </c>
      <c r="I571" s="188">
        <v>10</v>
      </c>
      <c r="J571" s="184">
        <v>3</v>
      </c>
      <c r="K571" s="195">
        <v>139468</v>
      </c>
      <c r="L571" s="194">
        <v>0.19</v>
      </c>
      <c r="M571" s="196">
        <f t="shared" si="88"/>
        <v>418404</v>
      </c>
      <c r="N571" s="399">
        <v>153000</v>
      </c>
      <c r="O571" s="194">
        <v>0.19</v>
      </c>
      <c r="P571" s="401">
        <f t="shared" si="89"/>
        <v>459000</v>
      </c>
      <c r="Q571" s="422">
        <v>120098</v>
      </c>
      <c r="R571" s="194">
        <v>0.19</v>
      </c>
      <c r="S571" s="399">
        <f t="shared" si="90"/>
        <v>360294</v>
      </c>
      <c r="T571" s="196">
        <f t="shared" si="93"/>
        <v>137522</v>
      </c>
      <c r="U571" s="194">
        <v>0.19</v>
      </c>
      <c r="V571" s="196">
        <f t="shared" si="91"/>
        <v>412566</v>
      </c>
      <c r="W571" s="197"/>
    </row>
    <row r="572" spans="1:50" ht="41.4" x14ac:dyDescent="0.3">
      <c r="A572" s="184">
        <v>5</v>
      </c>
      <c r="B572" s="183" t="s">
        <v>534</v>
      </c>
      <c r="C572" s="183" t="s">
        <v>952</v>
      </c>
      <c r="D572" s="184">
        <v>41121800</v>
      </c>
      <c r="E572" s="109">
        <v>40</v>
      </c>
      <c r="F572" s="440" t="s">
        <v>954</v>
      </c>
      <c r="G572" s="16" t="s">
        <v>25</v>
      </c>
      <c r="H572" s="188">
        <f t="shared" si="92"/>
        <v>12</v>
      </c>
      <c r="I572" s="188">
        <v>10</v>
      </c>
      <c r="J572" s="184">
        <v>2</v>
      </c>
      <c r="K572" s="195">
        <v>117334</v>
      </c>
      <c r="L572" s="194">
        <v>0.19</v>
      </c>
      <c r="M572" s="196">
        <f t="shared" si="88"/>
        <v>234668</v>
      </c>
      <c r="N572" s="399">
        <v>126800</v>
      </c>
      <c r="O572" s="194">
        <v>0.19</v>
      </c>
      <c r="P572" s="401">
        <f t="shared" si="89"/>
        <v>253600</v>
      </c>
      <c r="Q572" s="422">
        <v>101058</v>
      </c>
      <c r="R572" s="194">
        <v>0.19</v>
      </c>
      <c r="S572" s="399">
        <f t="shared" si="90"/>
        <v>202116</v>
      </c>
      <c r="T572" s="196">
        <f t="shared" si="93"/>
        <v>115064</v>
      </c>
      <c r="U572" s="194">
        <v>0.19</v>
      </c>
      <c r="V572" s="196">
        <f t="shared" si="91"/>
        <v>230128</v>
      </c>
      <c r="W572" s="197"/>
    </row>
    <row r="573" spans="1:50" ht="138" x14ac:dyDescent="0.3">
      <c r="A573" s="184">
        <v>5</v>
      </c>
      <c r="B573" s="183" t="s">
        <v>955</v>
      </c>
      <c r="C573" s="183" t="s">
        <v>956</v>
      </c>
      <c r="D573" s="184">
        <v>41122400</v>
      </c>
      <c r="E573" s="109">
        <v>41</v>
      </c>
      <c r="F573" s="440" t="s">
        <v>957</v>
      </c>
      <c r="G573" s="16" t="s">
        <v>25</v>
      </c>
      <c r="H573" s="188">
        <f t="shared" si="92"/>
        <v>13</v>
      </c>
      <c r="I573" s="188">
        <v>10</v>
      </c>
      <c r="J573" s="184">
        <v>3</v>
      </c>
      <c r="K573" s="195">
        <v>15708</v>
      </c>
      <c r="L573" s="194">
        <v>0.19</v>
      </c>
      <c r="M573" s="196">
        <f t="shared" si="88"/>
        <v>47124</v>
      </c>
      <c r="N573" s="399"/>
      <c r="O573" s="194">
        <v>0.19</v>
      </c>
      <c r="P573" s="401">
        <f t="shared" si="89"/>
        <v>0</v>
      </c>
      <c r="Q573" s="422">
        <v>70448</v>
      </c>
      <c r="R573" s="194">
        <v>0.19</v>
      </c>
      <c r="S573" s="399">
        <f t="shared" si="90"/>
        <v>211344</v>
      </c>
      <c r="T573" s="196">
        <f>SUM(K573+N573+Q573)/2</f>
        <v>43078</v>
      </c>
      <c r="U573" s="194">
        <v>0.19</v>
      </c>
      <c r="V573" s="196">
        <f t="shared" si="91"/>
        <v>129234</v>
      </c>
      <c r="W573" s="197"/>
    </row>
    <row r="574" spans="1:50" x14ac:dyDescent="0.3">
      <c r="A574" s="184">
        <v>5</v>
      </c>
      <c r="B574" s="182" t="s">
        <v>534</v>
      </c>
      <c r="C574" s="183" t="s">
        <v>886</v>
      </c>
      <c r="D574" s="184">
        <v>12352300</v>
      </c>
      <c r="E574" s="185">
        <v>42</v>
      </c>
      <c r="F574" s="446" t="s">
        <v>958</v>
      </c>
      <c r="G574" s="216" t="s">
        <v>959</v>
      </c>
      <c r="H574" s="188">
        <f t="shared" si="92"/>
        <v>11</v>
      </c>
      <c r="I574" s="216">
        <v>10</v>
      </c>
      <c r="J574" s="216">
        <v>1</v>
      </c>
      <c r="K574" s="196">
        <v>389249</v>
      </c>
      <c r="L574" s="194">
        <v>0.19</v>
      </c>
      <c r="M574" s="196">
        <f t="shared" si="88"/>
        <v>389249</v>
      </c>
      <c r="N574" s="399"/>
      <c r="O574" s="194">
        <v>0.19</v>
      </c>
      <c r="P574" s="401">
        <f t="shared" si="89"/>
        <v>0</v>
      </c>
      <c r="Q574" s="422">
        <v>514351</v>
      </c>
      <c r="R574" s="194">
        <v>0.19</v>
      </c>
      <c r="S574" s="399">
        <f t="shared" si="90"/>
        <v>514351</v>
      </c>
      <c r="T574" s="196">
        <f>SUM(K574+N574+Q574)/2</f>
        <v>451800</v>
      </c>
      <c r="U574" s="194">
        <v>0.19</v>
      </c>
      <c r="V574" s="196">
        <f t="shared" si="91"/>
        <v>451800</v>
      </c>
      <c r="W574" s="197"/>
    </row>
    <row r="575" spans="1:50" x14ac:dyDescent="0.3">
      <c r="A575" s="724"/>
      <c r="B575" s="724"/>
      <c r="C575" s="724"/>
      <c r="D575" s="724"/>
      <c r="E575" s="724"/>
      <c r="F575" s="724"/>
      <c r="G575" s="724"/>
      <c r="H575" s="724"/>
      <c r="I575" s="724"/>
      <c r="J575" s="724"/>
      <c r="K575" s="724"/>
      <c r="L575" s="724"/>
      <c r="M575" s="196">
        <f>SUM(M533:M574)</f>
        <v>24053059.5</v>
      </c>
      <c r="N575" s="725"/>
      <c r="O575" s="725"/>
      <c r="P575" s="401">
        <f>SUM(P533:P574)</f>
        <v>1953700</v>
      </c>
      <c r="Q575" s="724"/>
      <c r="R575" s="724"/>
      <c r="S575" s="420">
        <f>SUM(S533:S574)</f>
        <v>32843931</v>
      </c>
      <c r="T575" s="402"/>
      <c r="U575" s="402"/>
      <c r="V575" s="423">
        <f>SUM(V533:V574)</f>
        <v>28639000.75</v>
      </c>
      <c r="W575" s="197"/>
    </row>
    <row r="576" spans="1:50" x14ac:dyDescent="0.3">
      <c r="A576" s="197"/>
      <c r="B576" s="197"/>
      <c r="C576" s="197"/>
      <c r="D576" s="197"/>
      <c r="E576" s="447"/>
      <c r="F576" s="197"/>
      <c r="G576" s="197"/>
      <c r="H576" s="197"/>
      <c r="I576" s="197"/>
      <c r="J576" s="197"/>
      <c r="K576" s="197"/>
      <c r="L576" s="197"/>
      <c r="M576" s="448"/>
      <c r="N576" s="449"/>
      <c r="O576" s="449"/>
      <c r="P576" s="450"/>
      <c r="Q576" s="197"/>
      <c r="R576" s="197"/>
      <c r="S576" s="197"/>
      <c r="T576" s="197"/>
      <c r="U576" s="197"/>
      <c r="V576" s="451"/>
      <c r="W576" s="197"/>
    </row>
    <row r="577" spans="1:19" x14ac:dyDescent="0.3">
      <c r="K577" s="197"/>
    </row>
    <row r="578" spans="1:19" ht="15" customHeight="1" x14ac:dyDescent="0.3">
      <c r="A578" s="541" t="s">
        <v>960</v>
      </c>
      <c r="B578" s="541"/>
      <c r="C578" s="541"/>
      <c r="D578" s="541"/>
      <c r="E578" s="541"/>
      <c r="F578" s="541"/>
      <c r="G578" s="541"/>
      <c r="H578" s="541"/>
      <c r="I578" s="541"/>
      <c r="J578" s="541"/>
      <c r="K578" s="541"/>
      <c r="L578" s="541"/>
      <c r="M578" s="541"/>
      <c r="N578" s="541"/>
      <c r="O578" s="541"/>
      <c r="P578" s="541"/>
      <c r="Q578" s="541"/>
      <c r="R578" s="541"/>
      <c r="S578" s="541"/>
    </row>
    <row r="579" spans="1:19" ht="15" customHeight="1" x14ac:dyDescent="0.3">
      <c r="A579" s="541"/>
      <c r="B579" s="541"/>
      <c r="C579" s="541"/>
      <c r="D579" s="541"/>
      <c r="E579" s="699" t="s">
        <v>960</v>
      </c>
      <c r="F579" s="700"/>
      <c r="G579" s="700"/>
      <c r="H579" s="701"/>
      <c r="I579" s="541"/>
      <c r="J579" s="541"/>
      <c r="K579" s="541"/>
      <c r="L579" s="541"/>
      <c r="M579" s="541"/>
      <c r="N579" s="541"/>
      <c r="O579" s="541"/>
      <c r="P579" s="541"/>
      <c r="Q579" s="541"/>
      <c r="R579" s="541"/>
      <c r="S579" s="541"/>
    </row>
    <row r="580" spans="1:19" ht="15.75" customHeight="1" x14ac:dyDescent="0.3">
      <c r="A580" s="709" t="s">
        <v>83</v>
      </c>
      <c r="B580" s="709" t="s">
        <v>84</v>
      </c>
      <c r="C580" s="709" t="s">
        <v>85</v>
      </c>
      <c r="D580" s="711" t="s">
        <v>86</v>
      </c>
      <c r="E580" s="709" t="s">
        <v>6</v>
      </c>
      <c r="F580" s="709" t="s">
        <v>87</v>
      </c>
      <c r="G580" s="709" t="s">
        <v>88</v>
      </c>
      <c r="H580" s="702" t="s">
        <v>89</v>
      </c>
      <c r="I580" s="124"/>
      <c r="J580" s="705" t="s">
        <v>89</v>
      </c>
      <c r="K580" s="722" t="s">
        <v>818</v>
      </c>
      <c r="L580" s="722"/>
      <c r="M580" s="722"/>
      <c r="N580" s="723" t="s">
        <v>819</v>
      </c>
      <c r="O580" s="723"/>
      <c r="P580" s="723"/>
      <c r="Q580" s="705" t="s">
        <v>15</v>
      </c>
      <c r="R580" s="705"/>
      <c r="S580" s="705"/>
    </row>
    <row r="581" spans="1:19" ht="46.8" x14ac:dyDescent="0.3">
      <c r="A581" s="709"/>
      <c r="B581" s="709"/>
      <c r="C581" s="709"/>
      <c r="D581" s="711"/>
      <c r="E581" s="709"/>
      <c r="F581" s="709"/>
      <c r="G581" s="709"/>
      <c r="H581" s="703"/>
      <c r="I581" s="124"/>
      <c r="J581" s="705"/>
      <c r="K581" s="25" t="s">
        <v>382</v>
      </c>
      <c r="L581" s="25" t="s">
        <v>17</v>
      </c>
      <c r="M581" s="25" t="s">
        <v>18</v>
      </c>
      <c r="N581" s="25" t="s">
        <v>367</v>
      </c>
      <c r="O581" s="25" t="s">
        <v>17</v>
      </c>
      <c r="P581" s="248" t="s">
        <v>18</v>
      </c>
      <c r="Q581" s="25" t="s">
        <v>367</v>
      </c>
      <c r="R581" s="25" t="s">
        <v>17</v>
      </c>
      <c r="S581" s="25" t="s">
        <v>18</v>
      </c>
    </row>
    <row r="582" spans="1:19" x14ac:dyDescent="0.3">
      <c r="A582" s="1"/>
      <c r="B582" s="218" t="s">
        <v>961</v>
      </c>
      <c r="C582" s="218" t="s">
        <v>628</v>
      </c>
      <c r="D582" s="218">
        <v>50121612</v>
      </c>
      <c r="E582" s="170">
        <v>1</v>
      </c>
      <c r="F582" s="142" t="s">
        <v>962</v>
      </c>
      <c r="G582" s="143" t="s">
        <v>261</v>
      </c>
      <c r="H582" s="143">
        <f>I582+J582</f>
        <v>12</v>
      </c>
      <c r="I582" s="143">
        <v>10</v>
      </c>
      <c r="J582" s="141">
        <v>2</v>
      </c>
      <c r="K582" s="224">
        <v>45637</v>
      </c>
      <c r="L582" s="118">
        <v>0.19</v>
      </c>
      <c r="M582" s="178">
        <f>K582*J582</f>
        <v>91274</v>
      </c>
      <c r="N582" s="227">
        <v>45637</v>
      </c>
      <c r="O582" s="118">
        <v>0.19</v>
      </c>
      <c r="P582" s="204">
        <f>N582*J582</f>
        <v>91274</v>
      </c>
      <c r="Q582" s="174">
        <f>SUM(K582+N582)/2</f>
        <v>45637</v>
      </c>
      <c r="R582" s="118">
        <v>0.19</v>
      </c>
      <c r="S582" s="174">
        <f>Q582*J582</f>
        <v>91274</v>
      </c>
    </row>
    <row r="583" spans="1:19" x14ac:dyDescent="0.3">
      <c r="A583" s="1"/>
      <c r="B583" s="219" t="s">
        <v>963</v>
      </c>
      <c r="C583" s="219" t="s">
        <v>628</v>
      </c>
      <c r="D583" s="219">
        <v>50121612</v>
      </c>
      <c r="E583" s="170">
        <v>2</v>
      </c>
      <c r="F583" s="219" t="s">
        <v>964</v>
      </c>
      <c r="G583" s="170" t="s">
        <v>261</v>
      </c>
      <c r="H583" s="143">
        <f t="shared" ref="H583:H625" si="97">I583+J583</f>
        <v>15</v>
      </c>
      <c r="I583" s="143">
        <v>10</v>
      </c>
      <c r="J583" s="219">
        <v>5</v>
      </c>
      <c r="K583" s="224">
        <v>47600</v>
      </c>
      <c r="L583" s="118">
        <v>0.19</v>
      </c>
      <c r="M583" s="178">
        <f t="shared" ref="M583:M625" si="98">K583*J583</f>
        <v>238000</v>
      </c>
      <c r="N583" s="228">
        <v>47600</v>
      </c>
      <c r="O583" s="118">
        <v>0.19</v>
      </c>
      <c r="P583" s="204">
        <f t="shared" ref="P583:P625" si="99">N583*J583</f>
        <v>238000</v>
      </c>
      <c r="Q583" s="174">
        <f t="shared" ref="Q583:Q625" si="100">SUM(K583+N583)/2</f>
        <v>47600</v>
      </c>
      <c r="R583" s="118">
        <v>0.19</v>
      </c>
      <c r="S583" s="174">
        <f t="shared" ref="S583:S625" si="101">Q583*J583</f>
        <v>238000</v>
      </c>
    </row>
    <row r="584" spans="1:19" x14ac:dyDescent="0.3">
      <c r="A584" s="1"/>
      <c r="B584" s="219" t="s">
        <v>965</v>
      </c>
      <c r="C584" s="219" t="s">
        <v>628</v>
      </c>
      <c r="D584" s="219">
        <v>50121612</v>
      </c>
      <c r="E584" s="170">
        <v>3</v>
      </c>
      <c r="F584" s="219" t="s">
        <v>966</v>
      </c>
      <c r="G584" s="170" t="s">
        <v>261</v>
      </c>
      <c r="H584" s="143">
        <f t="shared" si="97"/>
        <v>15</v>
      </c>
      <c r="I584" s="143">
        <v>10</v>
      </c>
      <c r="J584" s="219">
        <v>5</v>
      </c>
      <c r="K584" s="224">
        <v>59500</v>
      </c>
      <c r="L584" s="118">
        <v>0.19</v>
      </c>
      <c r="M584" s="178">
        <f t="shared" si="98"/>
        <v>297500</v>
      </c>
      <c r="N584" s="228">
        <v>71400</v>
      </c>
      <c r="O584" s="118">
        <v>0.19</v>
      </c>
      <c r="P584" s="204">
        <f t="shared" si="99"/>
        <v>357000</v>
      </c>
      <c r="Q584" s="174">
        <f t="shared" si="100"/>
        <v>65450</v>
      </c>
      <c r="R584" s="118">
        <v>0.19</v>
      </c>
      <c r="S584" s="174">
        <f t="shared" si="101"/>
        <v>327250</v>
      </c>
    </row>
    <row r="585" spans="1:19" x14ac:dyDescent="0.3">
      <c r="A585" s="1"/>
      <c r="B585" s="218" t="s">
        <v>967</v>
      </c>
      <c r="C585" s="218" t="s">
        <v>482</v>
      </c>
      <c r="D585" s="218" t="s">
        <v>485</v>
      </c>
      <c r="E585" s="170">
        <v>4</v>
      </c>
      <c r="F585" s="142" t="s">
        <v>968</v>
      </c>
      <c r="G585" s="143" t="s">
        <v>261</v>
      </c>
      <c r="H585" s="143">
        <f t="shared" si="97"/>
        <v>30</v>
      </c>
      <c r="I585" s="143">
        <v>10</v>
      </c>
      <c r="J585" s="141">
        <v>20</v>
      </c>
      <c r="K585" s="224">
        <v>19040</v>
      </c>
      <c r="L585" s="118">
        <v>0.19</v>
      </c>
      <c r="M585" s="178">
        <f t="shared" si="98"/>
        <v>380800</v>
      </c>
      <c r="N585" s="228">
        <v>21420</v>
      </c>
      <c r="O585" s="118">
        <v>0.19</v>
      </c>
      <c r="P585" s="204">
        <f t="shared" si="99"/>
        <v>428400</v>
      </c>
      <c r="Q585" s="174">
        <f t="shared" si="100"/>
        <v>20230</v>
      </c>
      <c r="R585" s="118">
        <v>0.19</v>
      </c>
      <c r="S585" s="174">
        <f t="shared" si="101"/>
        <v>404600</v>
      </c>
    </row>
    <row r="586" spans="1:19" x14ac:dyDescent="0.3">
      <c r="A586" s="1"/>
      <c r="B586" s="218" t="s">
        <v>303</v>
      </c>
      <c r="C586" s="218" t="s">
        <v>628</v>
      </c>
      <c r="D586" s="218">
        <v>50121612</v>
      </c>
      <c r="E586" s="170">
        <v>5</v>
      </c>
      <c r="F586" s="142" t="s">
        <v>969</v>
      </c>
      <c r="G586" s="143" t="s">
        <v>261</v>
      </c>
      <c r="H586" s="143">
        <f t="shared" si="97"/>
        <v>15</v>
      </c>
      <c r="I586" s="143">
        <v>10</v>
      </c>
      <c r="J586" s="141">
        <v>5</v>
      </c>
      <c r="K586" s="224">
        <v>97580</v>
      </c>
      <c r="L586" s="118">
        <v>0.19</v>
      </c>
      <c r="M586" s="178">
        <f t="shared" si="98"/>
        <v>487900</v>
      </c>
      <c r="N586" s="228">
        <v>97580</v>
      </c>
      <c r="O586" s="118">
        <v>0.19</v>
      </c>
      <c r="P586" s="204">
        <f t="shared" si="99"/>
        <v>487900</v>
      </c>
      <c r="Q586" s="174">
        <f t="shared" si="100"/>
        <v>97580</v>
      </c>
      <c r="R586" s="118">
        <v>0.19</v>
      </c>
      <c r="S586" s="174">
        <f t="shared" si="101"/>
        <v>487900</v>
      </c>
    </row>
    <row r="587" spans="1:19" x14ac:dyDescent="0.3">
      <c r="A587" s="1"/>
      <c r="B587" s="219" t="s">
        <v>970</v>
      </c>
      <c r="C587" s="219" t="s">
        <v>628</v>
      </c>
      <c r="D587" s="219">
        <v>50121612</v>
      </c>
      <c r="E587" s="170">
        <v>6</v>
      </c>
      <c r="F587" s="219" t="s">
        <v>971</v>
      </c>
      <c r="G587" s="170" t="s">
        <v>261</v>
      </c>
      <c r="H587" s="143">
        <f t="shared" si="97"/>
        <v>15</v>
      </c>
      <c r="I587" s="143">
        <v>10</v>
      </c>
      <c r="J587" s="219">
        <v>5</v>
      </c>
      <c r="K587" s="224">
        <v>26180</v>
      </c>
      <c r="L587" s="118">
        <v>0.19</v>
      </c>
      <c r="M587" s="178">
        <f t="shared" si="98"/>
        <v>130900</v>
      </c>
      <c r="N587" s="228">
        <v>26180</v>
      </c>
      <c r="O587" s="118">
        <v>0.19</v>
      </c>
      <c r="P587" s="204">
        <f t="shared" si="99"/>
        <v>130900</v>
      </c>
      <c r="Q587" s="174">
        <f t="shared" si="100"/>
        <v>26180</v>
      </c>
      <c r="R587" s="118">
        <v>0.19</v>
      </c>
      <c r="S587" s="174">
        <f t="shared" si="101"/>
        <v>130900</v>
      </c>
    </row>
    <row r="588" spans="1:19" x14ac:dyDescent="0.3">
      <c r="A588" s="1"/>
      <c r="B588" s="218" t="s">
        <v>972</v>
      </c>
      <c r="C588" s="218" t="s">
        <v>482</v>
      </c>
      <c r="D588" s="218" t="s">
        <v>973</v>
      </c>
      <c r="E588" s="170">
        <v>7</v>
      </c>
      <c r="F588" s="142" t="s">
        <v>974</v>
      </c>
      <c r="G588" s="143" t="s">
        <v>261</v>
      </c>
      <c r="H588" s="143">
        <f t="shared" si="97"/>
        <v>15</v>
      </c>
      <c r="I588" s="143">
        <v>10</v>
      </c>
      <c r="J588" s="141">
        <v>5</v>
      </c>
      <c r="K588" s="224">
        <v>48790</v>
      </c>
      <c r="L588" s="118">
        <v>0.19</v>
      </c>
      <c r="M588" s="178">
        <f t="shared" si="98"/>
        <v>243950</v>
      </c>
      <c r="N588" s="228">
        <v>48790</v>
      </c>
      <c r="O588" s="118">
        <v>0.19</v>
      </c>
      <c r="P588" s="204">
        <f t="shared" si="99"/>
        <v>243950</v>
      </c>
      <c r="Q588" s="174">
        <f t="shared" si="100"/>
        <v>48790</v>
      </c>
      <c r="R588" s="118">
        <v>0.19</v>
      </c>
      <c r="S588" s="174">
        <f t="shared" si="101"/>
        <v>243950</v>
      </c>
    </row>
    <row r="589" spans="1:19" x14ac:dyDescent="0.3">
      <c r="A589" s="1"/>
      <c r="B589" s="218" t="s">
        <v>975</v>
      </c>
      <c r="C589" s="218" t="s">
        <v>448</v>
      </c>
      <c r="D589" s="218">
        <v>10502011</v>
      </c>
      <c r="E589" s="170">
        <v>8</v>
      </c>
      <c r="F589" s="142" t="s">
        <v>976</v>
      </c>
      <c r="G589" s="143" t="s">
        <v>261</v>
      </c>
      <c r="H589" s="143">
        <f t="shared" si="97"/>
        <v>11</v>
      </c>
      <c r="I589" s="143">
        <v>10</v>
      </c>
      <c r="J589" s="141">
        <v>1</v>
      </c>
      <c r="K589" s="224">
        <v>146370</v>
      </c>
      <c r="L589" s="118">
        <v>0.19</v>
      </c>
      <c r="M589" s="178">
        <f t="shared" si="98"/>
        <v>146370</v>
      </c>
      <c r="N589" s="228">
        <v>146370</v>
      </c>
      <c r="O589" s="118">
        <v>0.19</v>
      </c>
      <c r="P589" s="204">
        <f t="shared" si="99"/>
        <v>146370</v>
      </c>
      <c r="Q589" s="174">
        <f t="shared" si="100"/>
        <v>146370</v>
      </c>
      <c r="R589" s="118">
        <v>0.19</v>
      </c>
      <c r="S589" s="174">
        <f t="shared" si="101"/>
        <v>146370</v>
      </c>
    </row>
    <row r="590" spans="1:19" x14ac:dyDescent="0.3">
      <c r="A590" s="1"/>
      <c r="B590" s="218" t="s">
        <v>977</v>
      </c>
      <c r="C590" s="218" t="s">
        <v>482</v>
      </c>
      <c r="D590" s="218">
        <v>50111515</v>
      </c>
      <c r="E590" s="170">
        <v>9</v>
      </c>
      <c r="F590" s="142" t="s">
        <v>978</v>
      </c>
      <c r="G590" s="143" t="s">
        <v>594</v>
      </c>
      <c r="H590" s="143">
        <f t="shared" si="97"/>
        <v>18</v>
      </c>
      <c r="I590" s="143">
        <v>10</v>
      </c>
      <c r="J590" s="141">
        <v>8</v>
      </c>
      <c r="K590" s="224">
        <v>40000</v>
      </c>
      <c r="L590" s="118">
        <v>0.19</v>
      </c>
      <c r="M590" s="178">
        <f t="shared" si="98"/>
        <v>320000</v>
      </c>
      <c r="N590" s="228">
        <v>47600</v>
      </c>
      <c r="O590" s="118">
        <v>0.19</v>
      </c>
      <c r="P590" s="204">
        <f t="shared" si="99"/>
        <v>380800</v>
      </c>
      <c r="Q590" s="174">
        <f t="shared" si="100"/>
        <v>43800</v>
      </c>
      <c r="R590" s="118">
        <v>0.19</v>
      </c>
      <c r="S590" s="174">
        <f t="shared" si="101"/>
        <v>350400</v>
      </c>
    </row>
    <row r="591" spans="1:19" x14ac:dyDescent="0.3">
      <c r="A591" s="1"/>
      <c r="B591" s="218" t="s">
        <v>979</v>
      </c>
      <c r="C591" s="218" t="s">
        <v>980</v>
      </c>
      <c r="D591" s="218" t="s">
        <v>981</v>
      </c>
      <c r="E591" s="170">
        <v>10</v>
      </c>
      <c r="F591" s="142" t="s">
        <v>982</v>
      </c>
      <c r="G591" s="143" t="s">
        <v>261</v>
      </c>
      <c r="H591" s="143">
        <f t="shared" si="97"/>
        <v>14</v>
      </c>
      <c r="I591" s="143">
        <v>10</v>
      </c>
      <c r="J591" s="141">
        <v>4</v>
      </c>
      <c r="K591" s="224">
        <v>29750</v>
      </c>
      <c r="L591" s="118">
        <v>0.19</v>
      </c>
      <c r="M591" s="178">
        <f t="shared" si="98"/>
        <v>119000</v>
      </c>
      <c r="N591" s="228">
        <v>29750</v>
      </c>
      <c r="O591" s="118">
        <v>0.19</v>
      </c>
      <c r="P591" s="204">
        <f t="shared" si="99"/>
        <v>119000</v>
      </c>
      <c r="Q591" s="174">
        <f t="shared" si="100"/>
        <v>29750</v>
      </c>
      <c r="R591" s="118">
        <v>0.19</v>
      </c>
      <c r="S591" s="174">
        <f t="shared" si="101"/>
        <v>119000</v>
      </c>
    </row>
    <row r="592" spans="1:19" x14ac:dyDescent="0.3">
      <c r="A592" s="1"/>
      <c r="B592" s="218" t="s">
        <v>983</v>
      </c>
      <c r="C592" s="218" t="s">
        <v>980</v>
      </c>
      <c r="D592" s="218">
        <v>50131800</v>
      </c>
      <c r="E592" s="170">
        <v>11</v>
      </c>
      <c r="F592" s="142" t="s">
        <v>984</v>
      </c>
      <c r="G592" s="143" t="s">
        <v>261</v>
      </c>
      <c r="H592" s="143">
        <f t="shared" si="97"/>
        <v>14</v>
      </c>
      <c r="I592" s="143">
        <v>10</v>
      </c>
      <c r="J592" s="141">
        <v>4</v>
      </c>
      <c r="K592" s="224">
        <v>30167</v>
      </c>
      <c r="L592" s="118">
        <v>0.19</v>
      </c>
      <c r="M592" s="178">
        <f t="shared" si="98"/>
        <v>120668</v>
      </c>
      <c r="N592" s="228">
        <v>30167</v>
      </c>
      <c r="O592" s="118">
        <v>0.19</v>
      </c>
      <c r="P592" s="204">
        <f t="shared" si="99"/>
        <v>120668</v>
      </c>
      <c r="Q592" s="174">
        <f t="shared" si="100"/>
        <v>30167</v>
      </c>
      <c r="R592" s="118">
        <v>0.19</v>
      </c>
      <c r="S592" s="174">
        <f t="shared" si="101"/>
        <v>120668</v>
      </c>
    </row>
    <row r="593" spans="1:19" x14ac:dyDescent="0.3">
      <c r="A593" s="1"/>
      <c r="B593" s="218" t="s">
        <v>985</v>
      </c>
      <c r="C593" s="218" t="s">
        <v>448</v>
      </c>
      <c r="D593" s="218" t="s">
        <v>986</v>
      </c>
      <c r="E593" s="170">
        <v>12</v>
      </c>
      <c r="F593" s="142" t="s">
        <v>987</v>
      </c>
      <c r="G593" s="143" t="s">
        <v>261</v>
      </c>
      <c r="H593" s="143">
        <f t="shared" si="97"/>
        <v>11</v>
      </c>
      <c r="I593" s="143">
        <v>10</v>
      </c>
      <c r="J593" s="141">
        <v>1</v>
      </c>
      <c r="K593" s="224">
        <v>29750</v>
      </c>
      <c r="L593" s="118">
        <v>0.19</v>
      </c>
      <c r="M593" s="178">
        <f t="shared" si="98"/>
        <v>29750</v>
      </c>
      <c r="N593" s="228">
        <v>29750</v>
      </c>
      <c r="O593" s="118">
        <v>0.19</v>
      </c>
      <c r="P593" s="204">
        <f t="shared" si="99"/>
        <v>29750</v>
      </c>
      <c r="Q593" s="174">
        <f t="shared" si="100"/>
        <v>29750</v>
      </c>
      <c r="R593" s="118">
        <v>0.19</v>
      </c>
      <c r="S593" s="174">
        <f t="shared" si="101"/>
        <v>29750</v>
      </c>
    </row>
    <row r="594" spans="1:19" x14ac:dyDescent="0.3">
      <c r="A594" s="1"/>
      <c r="B594" s="218" t="s">
        <v>988</v>
      </c>
      <c r="C594" s="218" t="s">
        <v>482</v>
      </c>
      <c r="D594" s="218" t="s">
        <v>989</v>
      </c>
      <c r="E594" s="170">
        <v>13</v>
      </c>
      <c r="F594" s="142" t="s">
        <v>990</v>
      </c>
      <c r="G594" s="143" t="s">
        <v>261</v>
      </c>
      <c r="H594" s="143">
        <f t="shared" si="97"/>
        <v>30</v>
      </c>
      <c r="I594" s="143">
        <v>10</v>
      </c>
      <c r="J594" s="141">
        <v>20</v>
      </c>
      <c r="K594" s="224">
        <v>19000</v>
      </c>
      <c r="L594" s="118">
        <v>0.19</v>
      </c>
      <c r="M594" s="178">
        <f t="shared" si="98"/>
        <v>380000</v>
      </c>
      <c r="N594" s="228">
        <v>22610</v>
      </c>
      <c r="O594" s="118">
        <v>0.19</v>
      </c>
      <c r="P594" s="204">
        <f t="shared" si="99"/>
        <v>452200</v>
      </c>
      <c r="Q594" s="174">
        <f t="shared" si="100"/>
        <v>20805</v>
      </c>
      <c r="R594" s="118">
        <v>0.19</v>
      </c>
      <c r="S594" s="174">
        <f t="shared" si="101"/>
        <v>416100</v>
      </c>
    </row>
    <row r="595" spans="1:19" x14ac:dyDescent="0.3">
      <c r="A595" s="1"/>
      <c r="B595" s="218" t="s">
        <v>991</v>
      </c>
      <c r="C595" s="218" t="s">
        <v>482</v>
      </c>
      <c r="D595" s="218" t="s">
        <v>989</v>
      </c>
      <c r="E595" s="170">
        <v>14</v>
      </c>
      <c r="F595" s="142" t="s">
        <v>992</v>
      </c>
      <c r="G595" s="143" t="s">
        <v>261</v>
      </c>
      <c r="H595" s="143">
        <f t="shared" si="97"/>
        <v>30</v>
      </c>
      <c r="I595" s="143">
        <v>10</v>
      </c>
      <c r="J595" s="141">
        <v>20</v>
      </c>
      <c r="K595" s="224">
        <v>16000</v>
      </c>
      <c r="L595" s="118">
        <v>0.19</v>
      </c>
      <c r="M595" s="178">
        <f t="shared" si="98"/>
        <v>320000</v>
      </c>
      <c r="N595" s="228">
        <v>19040</v>
      </c>
      <c r="O595" s="118">
        <v>0.19</v>
      </c>
      <c r="P595" s="204">
        <f t="shared" si="99"/>
        <v>380800</v>
      </c>
      <c r="Q595" s="174">
        <f t="shared" si="100"/>
        <v>17520</v>
      </c>
      <c r="R595" s="118">
        <v>0.19</v>
      </c>
      <c r="S595" s="174">
        <f t="shared" si="101"/>
        <v>350400</v>
      </c>
    </row>
    <row r="596" spans="1:19" x14ac:dyDescent="0.3">
      <c r="A596" s="1"/>
      <c r="B596" s="218" t="s">
        <v>993</v>
      </c>
      <c r="C596" s="218" t="s">
        <v>482</v>
      </c>
      <c r="D596" s="218" t="s">
        <v>989</v>
      </c>
      <c r="E596" s="170">
        <v>15</v>
      </c>
      <c r="F596" s="142" t="s">
        <v>994</v>
      </c>
      <c r="G596" s="143" t="s">
        <v>261</v>
      </c>
      <c r="H596" s="143">
        <f t="shared" si="97"/>
        <v>30</v>
      </c>
      <c r="I596" s="143">
        <v>10</v>
      </c>
      <c r="J596" s="141">
        <v>20</v>
      </c>
      <c r="K596" s="224">
        <v>14000</v>
      </c>
      <c r="L596" s="118">
        <v>0.19</v>
      </c>
      <c r="M596" s="178">
        <f t="shared" si="98"/>
        <v>280000</v>
      </c>
      <c r="N596" s="228">
        <v>16660</v>
      </c>
      <c r="O596" s="118">
        <v>0.19</v>
      </c>
      <c r="P596" s="204">
        <f t="shared" si="99"/>
        <v>333200</v>
      </c>
      <c r="Q596" s="174">
        <f t="shared" si="100"/>
        <v>15330</v>
      </c>
      <c r="R596" s="118">
        <v>0.19</v>
      </c>
      <c r="S596" s="174">
        <f t="shared" si="101"/>
        <v>306600</v>
      </c>
    </row>
    <row r="597" spans="1:19" x14ac:dyDescent="0.3">
      <c r="A597" s="1"/>
      <c r="B597" s="218" t="s">
        <v>307</v>
      </c>
      <c r="C597" s="218" t="s">
        <v>482</v>
      </c>
      <c r="D597" s="218" t="s">
        <v>989</v>
      </c>
      <c r="E597" s="170">
        <v>16</v>
      </c>
      <c r="F597" s="142" t="s">
        <v>995</v>
      </c>
      <c r="G597" s="143" t="s">
        <v>261</v>
      </c>
      <c r="H597" s="143">
        <f t="shared" si="97"/>
        <v>30</v>
      </c>
      <c r="I597" s="143">
        <v>10</v>
      </c>
      <c r="J597" s="141">
        <v>20</v>
      </c>
      <c r="K597" s="224">
        <v>26000</v>
      </c>
      <c r="L597" s="118">
        <v>0.19</v>
      </c>
      <c r="M597" s="178">
        <f t="shared" si="98"/>
        <v>520000</v>
      </c>
      <c r="N597" s="228">
        <v>30940</v>
      </c>
      <c r="O597" s="118">
        <v>0.19</v>
      </c>
      <c r="P597" s="204">
        <f t="shared" si="99"/>
        <v>618800</v>
      </c>
      <c r="Q597" s="174">
        <f t="shared" si="100"/>
        <v>28470</v>
      </c>
      <c r="R597" s="118">
        <v>0.19</v>
      </c>
      <c r="S597" s="174">
        <f t="shared" si="101"/>
        <v>569400</v>
      </c>
    </row>
    <row r="598" spans="1:19" x14ac:dyDescent="0.3">
      <c r="A598" s="1"/>
      <c r="B598" s="218" t="s">
        <v>996</v>
      </c>
      <c r="C598" s="218" t="s">
        <v>482</v>
      </c>
      <c r="D598" s="218" t="s">
        <v>989</v>
      </c>
      <c r="E598" s="170">
        <v>17</v>
      </c>
      <c r="F598" s="142" t="s">
        <v>997</v>
      </c>
      <c r="G598" s="143" t="s">
        <v>261</v>
      </c>
      <c r="H598" s="143">
        <f t="shared" si="97"/>
        <v>30</v>
      </c>
      <c r="I598" s="143">
        <v>10</v>
      </c>
      <c r="J598" s="141">
        <v>20</v>
      </c>
      <c r="K598" s="224">
        <v>25000</v>
      </c>
      <c r="L598" s="118">
        <v>0.19</v>
      </c>
      <c r="M598" s="178">
        <f t="shared" si="98"/>
        <v>500000</v>
      </c>
      <c r="N598" s="228">
        <v>29750</v>
      </c>
      <c r="O598" s="118">
        <v>0.19</v>
      </c>
      <c r="P598" s="204">
        <f t="shared" si="99"/>
        <v>595000</v>
      </c>
      <c r="Q598" s="174">
        <f t="shared" si="100"/>
        <v>27375</v>
      </c>
      <c r="R598" s="118">
        <v>0.19</v>
      </c>
      <c r="S598" s="174">
        <f t="shared" si="101"/>
        <v>547500</v>
      </c>
    </row>
    <row r="599" spans="1:19" x14ac:dyDescent="0.3">
      <c r="A599" s="1"/>
      <c r="B599" s="218" t="s">
        <v>998</v>
      </c>
      <c r="C599" s="218" t="s">
        <v>628</v>
      </c>
      <c r="D599" s="218">
        <v>50121612</v>
      </c>
      <c r="E599" s="170">
        <v>18</v>
      </c>
      <c r="F599" s="142" t="s">
        <v>999</v>
      </c>
      <c r="G599" s="143" t="s">
        <v>261</v>
      </c>
      <c r="H599" s="143">
        <f t="shared" si="97"/>
        <v>15</v>
      </c>
      <c r="I599" s="143">
        <v>10</v>
      </c>
      <c r="J599" s="141">
        <v>5</v>
      </c>
      <c r="K599" s="224">
        <v>60095</v>
      </c>
      <c r="L599" s="118">
        <v>0.19</v>
      </c>
      <c r="M599" s="178">
        <f t="shared" si="98"/>
        <v>300475</v>
      </c>
      <c r="N599" s="228">
        <v>80920</v>
      </c>
      <c r="O599" s="118">
        <v>0.19</v>
      </c>
      <c r="P599" s="204">
        <f t="shared" si="99"/>
        <v>404600</v>
      </c>
      <c r="Q599" s="174">
        <f t="shared" si="100"/>
        <v>70507.5</v>
      </c>
      <c r="R599" s="118">
        <v>0.19</v>
      </c>
      <c r="S599" s="174">
        <f t="shared" si="101"/>
        <v>352537.5</v>
      </c>
    </row>
    <row r="600" spans="1:19" x14ac:dyDescent="0.3">
      <c r="A600" s="1"/>
      <c r="B600" s="218" t="s">
        <v>1000</v>
      </c>
      <c r="C600" s="218" t="s">
        <v>980</v>
      </c>
      <c r="D600" s="218">
        <v>50131800</v>
      </c>
      <c r="E600" s="170">
        <v>19</v>
      </c>
      <c r="F600" s="142" t="s">
        <v>1001</v>
      </c>
      <c r="G600" s="143" t="s">
        <v>261</v>
      </c>
      <c r="H600" s="143">
        <f t="shared" si="97"/>
        <v>12</v>
      </c>
      <c r="I600" s="143">
        <v>10</v>
      </c>
      <c r="J600" s="141">
        <v>2</v>
      </c>
      <c r="K600" s="224">
        <v>71400</v>
      </c>
      <c r="L600" s="118">
        <v>0.19</v>
      </c>
      <c r="M600" s="178">
        <f t="shared" si="98"/>
        <v>142800</v>
      </c>
      <c r="N600" s="228">
        <v>77350</v>
      </c>
      <c r="O600" s="118">
        <v>0.19</v>
      </c>
      <c r="P600" s="204">
        <f t="shared" si="99"/>
        <v>154700</v>
      </c>
      <c r="Q600" s="174">
        <f t="shared" si="100"/>
        <v>74375</v>
      </c>
      <c r="R600" s="118">
        <v>0.19</v>
      </c>
      <c r="S600" s="174">
        <f t="shared" si="101"/>
        <v>148750</v>
      </c>
    </row>
    <row r="601" spans="1:19" x14ac:dyDescent="0.3">
      <c r="A601" s="1"/>
      <c r="B601" s="218" t="s">
        <v>1002</v>
      </c>
      <c r="C601" s="218" t="s">
        <v>980</v>
      </c>
      <c r="D601" s="218">
        <v>50131800</v>
      </c>
      <c r="E601" s="170">
        <v>20</v>
      </c>
      <c r="F601" s="142" t="s">
        <v>1003</v>
      </c>
      <c r="G601" s="143" t="s">
        <v>261</v>
      </c>
      <c r="H601" s="143">
        <f t="shared" si="97"/>
        <v>13</v>
      </c>
      <c r="I601" s="143">
        <v>10</v>
      </c>
      <c r="J601" s="141">
        <v>3</v>
      </c>
      <c r="K601" s="224">
        <v>29750</v>
      </c>
      <c r="L601" s="118">
        <v>0.19</v>
      </c>
      <c r="M601" s="178">
        <f t="shared" si="98"/>
        <v>89250</v>
      </c>
      <c r="N601" s="228">
        <v>36890</v>
      </c>
      <c r="O601" s="118">
        <v>0.19</v>
      </c>
      <c r="P601" s="204">
        <f t="shared" si="99"/>
        <v>110670</v>
      </c>
      <c r="Q601" s="174">
        <f t="shared" si="100"/>
        <v>33320</v>
      </c>
      <c r="R601" s="118">
        <v>0.19</v>
      </c>
      <c r="S601" s="174">
        <f t="shared" si="101"/>
        <v>99960</v>
      </c>
    </row>
    <row r="602" spans="1:19" x14ac:dyDescent="0.3">
      <c r="A602" s="1"/>
      <c r="B602" s="218" t="s">
        <v>1004</v>
      </c>
      <c r="C602" s="218" t="s">
        <v>448</v>
      </c>
      <c r="D602" s="218">
        <v>50131702</v>
      </c>
      <c r="E602" s="170">
        <v>21</v>
      </c>
      <c r="F602" s="142" t="s">
        <v>1005</v>
      </c>
      <c r="G602" s="143" t="s">
        <v>261</v>
      </c>
      <c r="H602" s="143">
        <f t="shared" si="97"/>
        <v>12</v>
      </c>
      <c r="I602" s="143">
        <v>10</v>
      </c>
      <c r="J602" s="141">
        <v>2</v>
      </c>
      <c r="K602" s="224">
        <v>29750</v>
      </c>
      <c r="L602" s="118">
        <v>0.19</v>
      </c>
      <c r="M602" s="178">
        <f t="shared" si="98"/>
        <v>59500</v>
      </c>
      <c r="N602" s="228">
        <v>31535</v>
      </c>
      <c r="O602" s="118">
        <v>0.19</v>
      </c>
      <c r="P602" s="204">
        <f t="shared" si="99"/>
        <v>63070</v>
      </c>
      <c r="Q602" s="174">
        <f t="shared" si="100"/>
        <v>30642.5</v>
      </c>
      <c r="R602" s="118">
        <v>0.19</v>
      </c>
      <c r="S602" s="174">
        <f t="shared" si="101"/>
        <v>61285</v>
      </c>
    </row>
    <row r="603" spans="1:19" x14ac:dyDescent="0.3">
      <c r="A603" s="1"/>
      <c r="B603" s="218" t="s">
        <v>274</v>
      </c>
      <c r="C603" s="218" t="s">
        <v>482</v>
      </c>
      <c r="D603" s="218" t="s">
        <v>989</v>
      </c>
      <c r="E603" s="170">
        <v>22</v>
      </c>
      <c r="F603" s="142" t="s">
        <v>1006</v>
      </c>
      <c r="G603" s="143" t="s">
        <v>261</v>
      </c>
      <c r="H603" s="143">
        <f t="shared" si="97"/>
        <v>30</v>
      </c>
      <c r="I603" s="143">
        <v>10</v>
      </c>
      <c r="J603" s="141">
        <v>20</v>
      </c>
      <c r="K603" s="224">
        <v>25000</v>
      </c>
      <c r="L603" s="118">
        <v>0.19</v>
      </c>
      <c r="M603" s="178">
        <f t="shared" si="98"/>
        <v>500000</v>
      </c>
      <c r="N603" s="228">
        <v>31535</v>
      </c>
      <c r="O603" s="118">
        <v>0.19</v>
      </c>
      <c r="P603" s="204">
        <f t="shared" si="99"/>
        <v>630700</v>
      </c>
      <c r="Q603" s="174">
        <f t="shared" si="100"/>
        <v>28267.5</v>
      </c>
      <c r="R603" s="118">
        <v>0.19</v>
      </c>
      <c r="S603" s="174">
        <f t="shared" si="101"/>
        <v>565350</v>
      </c>
    </row>
    <row r="604" spans="1:19" x14ac:dyDescent="0.3">
      <c r="A604" s="1"/>
      <c r="B604" s="218" t="s">
        <v>1007</v>
      </c>
      <c r="C604" s="218" t="s">
        <v>482</v>
      </c>
      <c r="D604" s="218" t="s">
        <v>989</v>
      </c>
      <c r="E604" s="170">
        <v>23</v>
      </c>
      <c r="F604" s="142" t="s">
        <v>1008</v>
      </c>
      <c r="G604" s="143" t="s">
        <v>261</v>
      </c>
      <c r="H604" s="143">
        <f t="shared" si="97"/>
        <v>30</v>
      </c>
      <c r="I604" s="143">
        <v>10</v>
      </c>
      <c r="J604" s="141">
        <v>20</v>
      </c>
      <c r="K604" s="224">
        <v>25740</v>
      </c>
      <c r="L604" s="118">
        <v>0.19</v>
      </c>
      <c r="M604" s="178">
        <f t="shared" si="98"/>
        <v>514800</v>
      </c>
      <c r="N604" s="228">
        <v>32130</v>
      </c>
      <c r="O604" s="118">
        <v>0.19</v>
      </c>
      <c r="P604" s="204">
        <f t="shared" si="99"/>
        <v>642600</v>
      </c>
      <c r="Q604" s="174">
        <f t="shared" si="100"/>
        <v>28935</v>
      </c>
      <c r="R604" s="118">
        <v>0.19</v>
      </c>
      <c r="S604" s="174">
        <f t="shared" si="101"/>
        <v>578700</v>
      </c>
    </row>
    <row r="605" spans="1:19" x14ac:dyDescent="0.3">
      <c r="A605" s="1"/>
      <c r="B605" s="218" t="s">
        <v>1009</v>
      </c>
      <c r="C605" s="218" t="s">
        <v>482</v>
      </c>
      <c r="D605" s="218" t="s">
        <v>989</v>
      </c>
      <c r="E605" s="170">
        <v>24</v>
      </c>
      <c r="F605" s="142" t="s">
        <v>1010</v>
      </c>
      <c r="G605" s="143" t="s">
        <v>261</v>
      </c>
      <c r="H605" s="143">
        <f t="shared" si="97"/>
        <v>30</v>
      </c>
      <c r="I605" s="143">
        <v>10</v>
      </c>
      <c r="J605" s="141">
        <v>20</v>
      </c>
      <c r="K605" s="224">
        <v>31200</v>
      </c>
      <c r="L605" s="118">
        <v>0.19</v>
      </c>
      <c r="M605" s="178">
        <f t="shared" si="98"/>
        <v>624000</v>
      </c>
      <c r="N605" s="228">
        <v>39270</v>
      </c>
      <c r="O605" s="118">
        <v>0.19</v>
      </c>
      <c r="P605" s="204">
        <f t="shared" si="99"/>
        <v>785400</v>
      </c>
      <c r="Q605" s="174">
        <f t="shared" si="100"/>
        <v>35235</v>
      </c>
      <c r="R605" s="118">
        <v>0.19</v>
      </c>
      <c r="S605" s="174">
        <f t="shared" si="101"/>
        <v>704700</v>
      </c>
    </row>
    <row r="606" spans="1:19" x14ac:dyDescent="0.3">
      <c r="A606" s="1"/>
      <c r="B606" s="218" t="s">
        <v>291</v>
      </c>
      <c r="C606" s="218" t="s">
        <v>68</v>
      </c>
      <c r="D606" s="218" t="s">
        <v>1011</v>
      </c>
      <c r="E606" s="170">
        <v>25</v>
      </c>
      <c r="F606" s="218" t="s">
        <v>1012</v>
      </c>
      <c r="G606" s="143" t="s">
        <v>261</v>
      </c>
      <c r="H606" s="143">
        <f t="shared" si="97"/>
        <v>15</v>
      </c>
      <c r="I606" s="143">
        <v>10</v>
      </c>
      <c r="J606" s="141">
        <v>5</v>
      </c>
      <c r="K606" s="224">
        <v>71400</v>
      </c>
      <c r="L606" s="118">
        <v>0.19</v>
      </c>
      <c r="M606" s="178">
        <f t="shared" si="98"/>
        <v>357000</v>
      </c>
      <c r="N606" s="228">
        <v>77350</v>
      </c>
      <c r="O606" s="118">
        <v>0.19</v>
      </c>
      <c r="P606" s="204">
        <f t="shared" si="99"/>
        <v>386750</v>
      </c>
      <c r="Q606" s="174">
        <f t="shared" si="100"/>
        <v>74375</v>
      </c>
      <c r="R606" s="118">
        <v>0.19</v>
      </c>
      <c r="S606" s="174">
        <f t="shared" si="101"/>
        <v>371875</v>
      </c>
    </row>
    <row r="607" spans="1:19" ht="27.6" x14ac:dyDescent="0.3">
      <c r="A607" s="1"/>
      <c r="B607" s="218" t="s">
        <v>1013</v>
      </c>
      <c r="C607" s="218" t="s">
        <v>1014</v>
      </c>
      <c r="D607" s="218" t="s">
        <v>683</v>
      </c>
      <c r="E607" s="170">
        <v>26</v>
      </c>
      <c r="F607" s="142" t="s">
        <v>1015</v>
      </c>
      <c r="G607" s="143" t="s">
        <v>1016</v>
      </c>
      <c r="H607" s="143">
        <f t="shared" si="97"/>
        <v>12</v>
      </c>
      <c r="I607" s="143">
        <v>10</v>
      </c>
      <c r="J607" s="141">
        <v>2</v>
      </c>
      <c r="K607" s="224">
        <v>89250</v>
      </c>
      <c r="L607" s="118">
        <v>0.19</v>
      </c>
      <c r="M607" s="178">
        <f t="shared" si="98"/>
        <v>178500</v>
      </c>
      <c r="N607" s="228">
        <v>102340</v>
      </c>
      <c r="O607" s="118">
        <v>0.19</v>
      </c>
      <c r="P607" s="204">
        <f t="shared" si="99"/>
        <v>204680</v>
      </c>
      <c r="Q607" s="174">
        <f t="shared" si="100"/>
        <v>95795</v>
      </c>
      <c r="R607" s="118">
        <v>0.19</v>
      </c>
      <c r="S607" s="174">
        <f t="shared" si="101"/>
        <v>191590</v>
      </c>
    </row>
    <row r="608" spans="1:19" x14ac:dyDescent="0.3">
      <c r="A608" s="1"/>
      <c r="B608" s="220" t="s">
        <v>354</v>
      </c>
      <c r="C608" s="220" t="s">
        <v>482</v>
      </c>
      <c r="D608" s="218">
        <v>50111514</v>
      </c>
      <c r="E608" s="170">
        <v>27</v>
      </c>
      <c r="F608" s="147" t="s">
        <v>1017</v>
      </c>
      <c r="G608" s="143" t="s">
        <v>261</v>
      </c>
      <c r="H608" s="143">
        <f t="shared" si="97"/>
        <v>20</v>
      </c>
      <c r="I608" s="143">
        <v>10</v>
      </c>
      <c r="J608" s="141">
        <v>10</v>
      </c>
      <c r="K608" s="224">
        <v>21420</v>
      </c>
      <c r="L608" s="118">
        <v>0.19</v>
      </c>
      <c r="M608" s="178">
        <f t="shared" si="98"/>
        <v>214200</v>
      </c>
      <c r="N608" s="228">
        <v>23800</v>
      </c>
      <c r="O608" s="118">
        <v>0.19</v>
      </c>
      <c r="P608" s="204">
        <f t="shared" si="99"/>
        <v>238000</v>
      </c>
      <c r="Q608" s="174">
        <f t="shared" si="100"/>
        <v>22610</v>
      </c>
      <c r="R608" s="118">
        <v>0.19</v>
      </c>
      <c r="S608" s="174">
        <f t="shared" si="101"/>
        <v>226100</v>
      </c>
    </row>
    <row r="609" spans="1:19" x14ac:dyDescent="0.3">
      <c r="A609" s="1"/>
      <c r="B609" s="218" t="s">
        <v>1018</v>
      </c>
      <c r="C609" s="218" t="s">
        <v>648</v>
      </c>
      <c r="D609" s="218" t="s">
        <v>649</v>
      </c>
      <c r="E609" s="170">
        <v>28</v>
      </c>
      <c r="F609" s="218" t="s">
        <v>1019</v>
      </c>
      <c r="G609" s="170" t="s">
        <v>651</v>
      </c>
      <c r="H609" s="143">
        <f t="shared" si="97"/>
        <v>14</v>
      </c>
      <c r="I609" s="143">
        <v>10</v>
      </c>
      <c r="J609" s="219">
        <v>4</v>
      </c>
      <c r="K609" s="224">
        <v>47600</v>
      </c>
      <c r="L609" s="118">
        <v>0.19</v>
      </c>
      <c r="M609" s="178">
        <f t="shared" si="98"/>
        <v>190400</v>
      </c>
      <c r="N609" s="228">
        <v>22491</v>
      </c>
      <c r="O609" s="118">
        <v>0.19</v>
      </c>
      <c r="P609" s="204">
        <f t="shared" si="99"/>
        <v>89964</v>
      </c>
      <c r="Q609" s="174">
        <f t="shared" si="100"/>
        <v>35045.5</v>
      </c>
      <c r="R609" s="118">
        <v>0.19</v>
      </c>
      <c r="S609" s="174">
        <f t="shared" si="101"/>
        <v>140182</v>
      </c>
    </row>
    <row r="610" spans="1:19" x14ac:dyDescent="0.3">
      <c r="A610" s="1"/>
      <c r="B610" s="218" t="s">
        <v>1020</v>
      </c>
      <c r="C610" s="218" t="s">
        <v>628</v>
      </c>
      <c r="D610" s="218">
        <v>50121612</v>
      </c>
      <c r="E610" s="170">
        <v>29</v>
      </c>
      <c r="F610" s="218" t="s">
        <v>1021</v>
      </c>
      <c r="G610" s="225" t="s">
        <v>261</v>
      </c>
      <c r="H610" s="143">
        <f t="shared" si="97"/>
        <v>16</v>
      </c>
      <c r="I610" s="143">
        <v>10</v>
      </c>
      <c r="J610" s="218" t="s">
        <v>1022</v>
      </c>
      <c r="K610" s="226">
        <v>37485</v>
      </c>
      <c r="L610" s="118">
        <v>0.19</v>
      </c>
      <c r="M610" s="178">
        <f t="shared" si="98"/>
        <v>224910</v>
      </c>
      <c r="N610" s="228">
        <v>41650</v>
      </c>
      <c r="O610" s="118">
        <v>0.19</v>
      </c>
      <c r="P610" s="204">
        <f t="shared" si="99"/>
        <v>249900</v>
      </c>
      <c r="Q610" s="174">
        <f t="shared" si="100"/>
        <v>39567.5</v>
      </c>
      <c r="R610" s="118">
        <v>0.19</v>
      </c>
      <c r="S610" s="174">
        <f t="shared" si="101"/>
        <v>237405</v>
      </c>
    </row>
    <row r="611" spans="1:19" x14ac:dyDescent="0.3">
      <c r="A611" s="1"/>
      <c r="B611" s="221" t="s">
        <v>1023</v>
      </c>
      <c r="C611" s="221" t="s">
        <v>931</v>
      </c>
      <c r="D611" s="222">
        <v>47131821</v>
      </c>
      <c r="E611" s="170">
        <v>30</v>
      </c>
      <c r="F611" s="223" t="s">
        <v>1024</v>
      </c>
      <c r="G611" s="143" t="s">
        <v>1025</v>
      </c>
      <c r="H611" s="143">
        <f t="shared" si="97"/>
        <v>13</v>
      </c>
      <c r="I611" s="143">
        <v>10</v>
      </c>
      <c r="J611" s="141">
        <v>3</v>
      </c>
      <c r="K611" s="224">
        <v>95200</v>
      </c>
      <c r="L611" s="118">
        <v>0.19</v>
      </c>
      <c r="M611" s="178">
        <f t="shared" si="98"/>
        <v>285600</v>
      </c>
      <c r="N611" s="228">
        <v>119000</v>
      </c>
      <c r="O611" s="118">
        <v>0.19</v>
      </c>
      <c r="P611" s="204">
        <f t="shared" si="99"/>
        <v>357000</v>
      </c>
      <c r="Q611" s="174">
        <f t="shared" si="100"/>
        <v>107100</v>
      </c>
      <c r="R611" s="118">
        <v>0.19</v>
      </c>
      <c r="S611" s="174">
        <f t="shared" si="101"/>
        <v>321300</v>
      </c>
    </row>
    <row r="612" spans="1:19" x14ac:dyDescent="0.3">
      <c r="A612" s="1"/>
      <c r="B612" s="219" t="s">
        <v>1026</v>
      </c>
      <c r="C612" s="219" t="s">
        <v>482</v>
      </c>
      <c r="D612" s="219">
        <v>50111514</v>
      </c>
      <c r="E612" s="170">
        <v>31</v>
      </c>
      <c r="F612" s="219" t="s">
        <v>1027</v>
      </c>
      <c r="G612" s="170" t="s">
        <v>261</v>
      </c>
      <c r="H612" s="143">
        <f t="shared" si="97"/>
        <v>15</v>
      </c>
      <c r="I612" s="143">
        <v>10</v>
      </c>
      <c r="J612" s="219">
        <v>5</v>
      </c>
      <c r="K612" s="224">
        <v>17850</v>
      </c>
      <c r="L612" s="118">
        <v>0.19</v>
      </c>
      <c r="M612" s="178">
        <f t="shared" si="98"/>
        <v>89250</v>
      </c>
      <c r="N612" s="228">
        <v>17850</v>
      </c>
      <c r="O612" s="118">
        <v>0.19</v>
      </c>
      <c r="P612" s="204">
        <f t="shared" si="99"/>
        <v>89250</v>
      </c>
      <c r="Q612" s="174">
        <f t="shared" si="100"/>
        <v>17850</v>
      </c>
      <c r="R612" s="118">
        <v>0.19</v>
      </c>
      <c r="S612" s="174">
        <f t="shared" si="101"/>
        <v>89250</v>
      </c>
    </row>
    <row r="613" spans="1:19" x14ac:dyDescent="0.3">
      <c r="A613" s="1"/>
      <c r="B613" s="218" t="s">
        <v>1028</v>
      </c>
      <c r="C613" s="218" t="s">
        <v>448</v>
      </c>
      <c r="D613" s="218" t="s">
        <v>660</v>
      </c>
      <c r="E613" s="170">
        <v>32</v>
      </c>
      <c r="F613" s="142" t="s">
        <v>1029</v>
      </c>
      <c r="G613" s="143" t="s">
        <v>261</v>
      </c>
      <c r="H613" s="143">
        <f t="shared" si="97"/>
        <v>11</v>
      </c>
      <c r="I613" s="143">
        <v>10</v>
      </c>
      <c r="J613" s="141">
        <v>1</v>
      </c>
      <c r="K613" s="224">
        <v>23800</v>
      </c>
      <c r="L613" s="118">
        <v>0.19</v>
      </c>
      <c r="M613" s="178">
        <f t="shared" si="98"/>
        <v>23800</v>
      </c>
      <c r="N613" s="228">
        <v>30940</v>
      </c>
      <c r="O613" s="118">
        <v>0.19</v>
      </c>
      <c r="P613" s="204">
        <f t="shared" si="99"/>
        <v>30940</v>
      </c>
      <c r="Q613" s="174">
        <f t="shared" si="100"/>
        <v>27370</v>
      </c>
      <c r="R613" s="118">
        <v>0.19</v>
      </c>
      <c r="S613" s="174">
        <f t="shared" si="101"/>
        <v>27370</v>
      </c>
    </row>
    <row r="614" spans="1:19" x14ac:dyDescent="0.3">
      <c r="A614" s="1"/>
      <c r="B614" s="219" t="s">
        <v>1030</v>
      </c>
      <c r="C614" s="219" t="s">
        <v>1031</v>
      </c>
      <c r="D614" s="219">
        <v>52121601</v>
      </c>
      <c r="E614" s="170">
        <v>33</v>
      </c>
      <c r="F614" s="219" t="s">
        <v>1032</v>
      </c>
      <c r="G614" s="170" t="s">
        <v>25</v>
      </c>
      <c r="H614" s="143">
        <f t="shared" si="97"/>
        <v>60</v>
      </c>
      <c r="I614" s="143">
        <v>10</v>
      </c>
      <c r="J614" s="219">
        <v>50</v>
      </c>
      <c r="K614" s="224">
        <v>2380</v>
      </c>
      <c r="L614" s="118">
        <v>0.19</v>
      </c>
      <c r="M614" s="178">
        <f t="shared" si="98"/>
        <v>119000</v>
      </c>
      <c r="N614" s="228">
        <v>3570</v>
      </c>
      <c r="O614" s="118">
        <v>0.19</v>
      </c>
      <c r="P614" s="204">
        <f t="shared" si="99"/>
        <v>178500</v>
      </c>
      <c r="Q614" s="174">
        <f t="shared" si="100"/>
        <v>2975</v>
      </c>
      <c r="R614" s="118">
        <v>0.19</v>
      </c>
      <c r="S614" s="174">
        <f t="shared" si="101"/>
        <v>148750</v>
      </c>
    </row>
    <row r="615" spans="1:19" ht="27.6" x14ac:dyDescent="0.3">
      <c r="A615" s="1"/>
      <c r="B615" s="218" t="s">
        <v>1033</v>
      </c>
      <c r="C615" s="218" t="s">
        <v>1034</v>
      </c>
      <c r="D615" s="218" t="s">
        <v>1035</v>
      </c>
      <c r="E615" s="170">
        <v>34</v>
      </c>
      <c r="F615" s="142" t="s">
        <v>1036</v>
      </c>
      <c r="G615" s="143" t="s">
        <v>1037</v>
      </c>
      <c r="H615" s="143">
        <f t="shared" si="97"/>
        <v>11</v>
      </c>
      <c r="I615" s="143">
        <v>10</v>
      </c>
      <c r="J615" s="141">
        <v>1</v>
      </c>
      <c r="K615" s="224">
        <v>145180</v>
      </c>
      <c r="L615" s="118">
        <v>0.19</v>
      </c>
      <c r="M615" s="178">
        <f t="shared" si="98"/>
        <v>145180</v>
      </c>
      <c r="N615" s="228">
        <v>145180</v>
      </c>
      <c r="O615" s="118">
        <v>0.19</v>
      </c>
      <c r="P615" s="204">
        <f t="shared" si="99"/>
        <v>145180</v>
      </c>
      <c r="Q615" s="174">
        <f t="shared" si="100"/>
        <v>145180</v>
      </c>
      <c r="R615" s="118">
        <v>0.19</v>
      </c>
      <c r="S615" s="174">
        <f t="shared" si="101"/>
        <v>145180</v>
      </c>
    </row>
    <row r="616" spans="1:19" x14ac:dyDescent="0.3">
      <c r="A616" s="1"/>
      <c r="B616" s="218" t="s">
        <v>1038</v>
      </c>
      <c r="C616" s="218" t="s">
        <v>448</v>
      </c>
      <c r="D616" s="218">
        <v>50151514</v>
      </c>
      <c r="E616" s="170">
        <v>35</v>
      </c>
      <c r="F616" s="142" t="s">
        <v>1039</v>
      </c>
      <c r="G616" s="143" t="s">
        <v>1040</v>
      </c>
      <c r="H616" s="143">
        <f t="shared" si="97"/>
        <v>13</v>
      </c>
      <c r="I616" s="143">
        <v>10</v>
      </c>
      <c r="J616" s="141">
        <v>3</v>
      </c>
      <c r="K616" s="224">
        <v>29750</v>
      </c>
      <c r="L616" s="118">
        <v>0.19</v>
      </c>
      <c r="M616" s="178">
        <f t="shared" si="98"/>
        <v>89250</v>
      </c>
      <c r="N616" s="228">
        <v>29750</v>
      </c>
      <c r="O616" s="118">
        <v>0.19</v>
      </c>
      <c r="P616" s="204">
        <f t="shared" si="99"/>
        <v>89250</v>
      </c>
      <c r="Q616" s="174">
        <f t="shared" si="100"/>
        <v>29750</v>
      </c>
      <c r="R616" s="118">
        <v>0.19</v>
      </c>
      <c r="S616" s="174">
        <f t="shared" si="101"/>
        <v>89250</v>
      </c>
    </row>
    <row r="617" spans="1:19" x14ac:dyDescent="0.3">
      <c r="A617" s="1"/>
      <c r="B617" s="219" t="s">
        <v>1041</v>
      </c>
      <c r="C617" s="219" t="s">
        <v>448</v>
      </c>
      <c r="D617" s="219">
        <v>50424125</v>
      </c>
      <c r="E617" s="170">
        <v>36</v>
      </c>
      <c r="F617" s="219" t="s">
        <v>1042</v>
      </c>
      <c r="G617" s="170" t="s">
        <v>261</v>
      </c>
      <c r="H617" s="143">
        <f t="shared" si="97"/>
        <v>12</v>
      </c>
      <c r="I617" s="143">
        <v>10</v>
      </c>
      <c r="J617" s="219">
        <v>2</v>
      </c>
      <c r="K617" s="224">
        <v>45220</v>
      </c>
      <c r="L617" s="118">
        <v>0.19</v>
      </c>
      <c r="M617" s="178">
        <f t="shared" si="98"/>
        <v>90440</v>
      </c>
      <c r="N617" s="228">
        <v>45220</v>
      </c>
      <c r="O617" s="118">
        <v>0.19</v>
      </c>
      <c r="P617" s="204">
        <f t="shared" si="99"/>
        <v>90440</v>
      </c>
      <c r="Q617" s="174">
        <f t="shared" si="100"/>
        <v>45220</v>
      </c>
      <c r="R617" s="118">
        <v>0.19</v>
      </c>
      <c r="S617" s="174">
        <f t="shared" si="101"/>
        <v>90440</v>
      </c>
    </row>
    <row r="618" spans="1:19" x14ac:dyDescent="0.3">
      <c r="A618" s="1"/>
      <c r="B618" s="218" t="s">
        <v>323</v>
      </c>
      <c r="C618" s="218" t="s">
        <v>1043</v>
      </c>
      <c r="D618" s="218" t="s">
        <v>1044</v>
      </c>
      <c r="E618" s="170">
        <v>37</v>
      </c>
      <c r="F618" s="142" t="s">
        <v>1045</v>
      </c>
      <c r="G618" s="143" t="s">
        <v>1046</v>
      </c>
      <c r="H618" s="143">
        <f t="shared" si="97"/>
        <v>12</v>
      </c>
      <c r="I618" s="143">
        <v>10</v>
      </c>
      <c r="J618" s="141">
        <v>2</v>
      </c>
      <c r="K618" s="224">
        <v>89250</v>
      </c>
      <c r="L618" s="118">
        <v>0.19</v>
      </c>
      <c r="M618" s="178">
        <f t="shared" si="98"/>
        <v>178500</v>
      </c>
      <c r="N618" s="228">
        <v>89250</v>
      </c>
      <c r="O618" s="118">
        <v>0.19</v>
      </c>
      <c r="P618" s="204">
        <f t="shared" si="99"/>
        <v>178500</v>
      </c>
      <c r="Q618" s="174">
        <f t="shared" si="100"/>
        <v>89250</v>
      </c>
      <c r="R618" s="118">
        <v>0.19</v>
      </c>
      <c r="S618" s="174">
        <f t="shared" si="101"/>
        <v>178500</v>
      </c>
    </row>
    <row r="619" spans="1:19" x14ac:dyDescent="0.3">
      <c r="A619" s="1"/>
      <c r="B619" s="218" t="s">
        <v>1047</v>
      </c>
      <c r="C619" s="218" t="s">
        <v>1043</v>
      </c>
      <c r="D619" s="218" t="s">
        <v>1048</v>
      </c>
      <c r="E619" s="170">
        <v>38</v>
      </c>
      <c r="F619" s="142" t="s">
        <v>1049</v>
      </c>
      <c r="G619" s="143" t="s">
        <v>1046</v>
      </c>
      <c r="H619" s="143">
        <f t="shared" si="97"/>
        <v>11</v>
      </c>
      <c r="I619" s="143">
        <v>10</v>
      </c>
      <c r="J619" s="141">
        <v>1</v>
      </c>
      <c r="K619" s="224">
        <v>170170</v>
      </c>
      <c r="L619" s="118">
        <v>0.19</v>
      </c>
      <c r="M619" s="178">
        <f t="shared" si="98"/>
        <v>170170</v>
      </c>
      <c r="N619" s="228">
        <v>190400</v>
      </c>
      <c r="O619" s="118">
        <v>0.19</v>
      </c>
      <c r="P619" s="204">
        <f t="shared" si="99"/>
        <v>190400</v>
      </c>
      <c r="Q619" s="174">
        <f t="shared" si="100"/>
        <v>180285</v>
      </c>
      <c r="R619" s="118">
        <v>0.19</v>
      </c>
      <c r="S619" s="174">
        <f t="shared" si="101"/>
        <v>180285</v>
      </c>
    </row>
    <row r="620" spans="1:19" x14ac:dyDescent="0.3">
      <c r="A620" s="1"/>
      <c r="B620" s="218" t="s">
        <v>1050</v>
      </c>
      <c r="C620" s="218" t="s">
        <v>1051</v>
      </c>
      <c r="D620" s="218">
        <v>26111702</v>
      </c>
      <c r="E620" s="170">
        <v>39</v>
      </c>
      <c r="F620" s="147" t="s">
        <v>1052</v>
      </c>
      <c r="G620" s="170" t="s">
        <v>1053</v>
      </c>
      <c r="H620" s="143">
        <f t="shared" si="97"/>
        <v>11</v>
      </c>
      <c r="I620" s="143">
        <v>10</v>
      </c>
      <c r="J620" s="219">
        <v>1</v>
      </c>
      <c r="K620" s="224">
        <v>59500</v>
      </c>
      <c r="L620" s="118">
        <v>0.19</v>
      </c>
      <c r="M620" s="178">
        <f t="shared" si="98"/>
        <v>59500</v>
      </c>
      <c r="N620" s="228">
        <v>59500</v>
      </c>
      <c r="O620" s="118">
        <v>0.19</v>
      </c>
      <c r="P620" s="204">
        <f t="shared" si="99"/>
        <v>59500</v>
      </c>
      <c r="Q620" s="174">
        <f t="shared" si="100"/>
        <v>59500</v>
      </c>
      <c r="R620" s="118">
        <v>0.19</v>
      </c>
      <c r="S620" s="174">
        <f t="shared" si="101"/>
        <v>59500</v>
      </c>
    </row>
    <row r="621" spans="1:19" x14ac:dyDescent="0.3">
      <c r="A621" s="1"/>
      <c r="B621" s="218" t="s">
        <v>1054</v>
      </c>
      <c r="C621" s="218" t="s">
        <v>1051</v>
      </c>
      <c r="D621" s="218">
        <v>26111702</v>
      </c>
      <c r="E621" s="170">
        <v>40</v>
      </c>
      <c r="F621" s="147" t="s">
        <v>1055</v>
      </c>
      <c r="G621" s="170" t="s">
        <v>1056</v>
      </c>
      <c r="H621" s="143">
        <f t="shared" si="97"/>
        <v>11</v>
      </c>
      <c r="I621" s="143">
        <v>10</v>
      </c>
      <c r="J621" s="219">
        <v>1</v>
      </c>
      <c r="K621" s="224">
        <v>59500</v>
      </c>
      <c r="L621" s="118">
        <v>0.19</v>
      </c>
      <c r="M621" s="178">
        <f t="shared" si="98"/>
        <v>59500</v>
      </c>
      <c r="N621" s="228">
        <v>76041</v>
      </c>
      <c r="O621" s="118">
        <v>0.19</v>
      </c>
      <c r="P621" s="204">
        <f t="shared" si="99"/>
        <v>76041</v>
      </c>
      <c r="Q621" s="174">
        <f t="shared" si="100"/>
        <v>67770.5</v>
      </c>
      <c r="R621" s="118">
        <v>0.19</v>
      </c>
      <c r="S621" s="174">
        <f t="shared" si="101"/>
        <v>67770.5</v>
      </c>
    </row>
    <row r="622" spans="1:19" x14ac:dyDescent="0.3">
      <c r="A622" s="1"/>
      <c r="B622" s="221" t="s">
        <v>1057</v>
      </c>
      <c r="C622" s="221" t="s">
        <v>1058</v>
      </c>
      <c r="D622" s="218">
        <v>15111501</v>
      </c>
      <c r="E622" s="170">
        <v>41</v>
      </c>
      <c r="F622" s="147" t="s">
        <v>1059</v>
      </c>
      <c r="G622" s="143" t="s">
        <v>1060</v>
      </c>
      <c r="H622" s="143">
        <f t="shared" si="97"/>
        <v>14</v>
      </c>
      <c r="I622" s="143">
        <v>10</v>
      </c>
      <c r="J622" s="141">
        <v>4</v>
      </c>
      <c r="K622" s="224">
        <v>130900</v>
      </c>
      <c r="L622" s="118">
        <v>0.19</v>
      </c>
      <c r="M622" s="178">
        <f t="shared" si="98"/>
        <v>523600</v>
      </c>
      <c r="N622" s="228">
        <v>130900</v>
      </c>
      <c r="O622" s="118">
        <v>0.19</v>
      </c>
      <c r="P622" s="204">
        <f t="shared" si="99"/>
        <v>523600</v>
      </c>
      <c r="Q622" s="174">
        <f t="shared" si="100"/>
        <v>130900</v>
      </c>
      <c r="R622" s="118">
        <v>0.19</v>
      </c>
      <c r="S622" s="174">
        <f t="shared" si="101"/>
        <v>523600</v>
      </c>
    </row>
    <row r="623" spans="1:19" x14ac:dyDescent="0.3">
      <c r="A623" s="1"/>
      <c r="B623" s="218" t="s">
        <v>1061</v>
      </c>
      <c r="C623" s="218" t="s">
        <v>448</v>
      </c>
      <c r="D623" s="218" t="s">
        <v>1062</v>
      </c>
      <c r="E623" s="170">
        <v>42</v>
      </c>
      <c r="F623" s="142" t="s">
        <v>1063</v>
      </c>
      <c r="G623" s="143" t="s">
        <v>261</v>
      </c>
      <c r="H623" s="143">
        <f t="shared" si="97"/>
        <v>11</v>
      </c>
      <c r="I623" s="143">
        <v>10</v>
      </c>
      <c r="J623" s="141">
        <v>1</v>
      </c>
      <c r="K623" s="224">
        <v>23800</v>
      </c>
      <c r="L623" s="118">
        <v>0.19</v>
      </c>
      <c r="M623" s="178">
        <f t="shared" si="98"/>
        <v>23800</v>
      </c>
      <c r="N623" s="228">
        <v>23800</v>
      </c>
      <c r="O623" s="118">
        <v>0.19</v>
      </c>
      <c r="P623" s="204">
        <f t="shared" si="99"/>
        <v>23800</v>
      </c>
      <c r="Q623" s="174">
        <f t="shared" si="100"/>
        <v>23800</v>
      </c>
      <c r="R623" s="118">
        <v>0.19</v>
      </c>
      <c r="S623" s="174">
        <f t="shared" si="101"/>
        <v>23800</v>
      </c>
    </row>
    <row r="624" spans="1:19" x14ac:dyDescent="0.3">
      <c r="A624" s="1"/>
      <c r="B624" s="218" t="s">
        <v>1064</v>
      </c>
      <c r="C624" s="218" t="s">
        <v>648</v>
      </c>
      <c r="D624" s="218" t="s">
        <v>1065</v>
      </c>
      <c r="E624" s="170">
        <v>43</v>
      </c>
      <c r="F624" s="147" t="s">
        <v>1066</v>
      </c>
      <c r="G624" s="143" t="s">
        <v>1067</v>
      </c>
      <c r="H624" s="143">
        <f t="shared" si="97"/>
        <v>13</v>
      </c>
      <c r="I624" s="143">
        <v>10</v>
      </c>
      <c r="J624" s="141">
        <v>3</v>
      </c>
      <c r="K624" s="224">
        <v>46410</v>
      </c>
      <c r="L624" s="118">
        <v>0.19</v>
      </c>
      <c r="M624" s="178">
        <f t="shared" si="98"/>
        <v>139230</v>
      </c>
      <c r="N624" s="228">
        <v>46410</v>
      </c>
      <c r="O624" s="118">
        <v>0.19</v>
      </c>
      <c r="P624" s="204">
        <f t="shared" si="99"/>
        <v>139230</v>
      </c>
      <c r="Q624" s="174">
        <f t="shared" si="100"/>
        <v>46410</v>
      </c>
      <c r="R624" s="118">
        <v>0.19</v>
      </c>
      <c r="S624" s="174">
        <f t="shared" si="101"/>
        <v>139230</v>
      </c>
    </row>
    <row r="625" spans="1:19" x14ac:dyDescent="0.3">
      <c r="A625" s="1"/>
      <c r="B625" s="218" t="s">
        <v>1068</v>
      </c>
      <c r="C625" s="218" t="s">
        <v>448</v>
      </c>
      <c r="D625" s="218">
        <v>50131702</v>
      </c>
      <c r="E625" s="170">
        <v>44</v>
      </c>
      <c r="F625" s="142" t="s">
        <v>1069</v>
      </c>
      <c r="G625" s="143" t="s">
        <v>261</v>
      </c>
      <c r="H625" s="143">
        <f t="shared" si="97"/>
        <v>40</v>
      </c>
      <c r="I625" s="143">
        <v>10</v>
      </c>
      <c r="J625" s="141">
        <v>30</v>
      </c>
      <c r="K625" s="224">
        <v>24752</v>
      </c>
      <c r="L625" s="118">
        <v>0.19</v>
      </c>
      <c r="M625" s="178">
        <f t="shared" si="98"/>
        <v>742560</v>
      </c>
      <c r="N625" s="228">
        <v>24752</v>
      </c>
      <c r="O625" s="118">
        <v>0.19</v>
      </c>
      <c r="P625" s="204">
        <f t="shared" si="99"/>
        <v>742560</v>
      </c>
      <c r="Q625" s="174">
        <f t="shared" si="100"/>
        <v>24752</v>
      </c>
      <c r="R625" s="118">
        <v>0.19</v>
      </c>
      <c r="S625" s="174">
        <f t="shared" si="101"/>
        <v>742560</v>
      </c>
    </row>
    <row r="626" spans="1:19" x14ac:dyDescent="0.3">
      <c r="A626" s="713"/>
      <c r="B626" s="714"/>
      <c r="C626" s="714"/>
      <c r="D626" s="714"/>
      <c r="E626" s="714"/>
      <c r="F626" s="714"/>
      <c r="G626" s="714"/>
      <c r="H626" s="714"/>
      <c r="I626" s="714"/>
      <c r="J626" s="714"/>
      <c r="K626" s="714"/>
      <c r="L626" s="715"/>
      <c r="M626" s="178">
        <f>SUM(M582:M625)</f>
        <v>10741327</v>
      </c>
      <c r="N626" s="706"/>
      <c r="O626" s="708"/>
      <c r="P626" s="204">
        <f>SUM(P582:P625)</f>
        <v>12029237</v>
      </c>
      <c r="Q626" s="713"/>
      <c r="R626" s="715"/>
      <c r="S626" s="174">
        <f>SUM(S582:S625)</f>
        <v>11385282</v>
      </c>
    </row>
    <row r="629" spans="1:19" ht="14.55" customHeight="1" x14ac:dyDescent="0.3">
      <c r="A629" s="541" t="s">
        <v>1070</v>
      </c>
      <c r="B629" s="541"/>
      <c r="C629" s="541"/>
      <c r="D629" s="541"/>
      <c r="E629" s="541"/>
      <c r="F629" s="541"/>
      <c r="G629" s="541"/>
      <c r="H629" s="541"/>
      <c r="I629" s="541"/>
      <c r="J629" s="541"/>
      <c r="K629" s="541"/>
      <c r="L629" s="541"/>
      <c r="M629" s="541"/>
      <c r="N629" s="541"/>
      <c r="O629" s="541"/>
      <c r="P629" s="541"/>
      <c r="Q629" s="541"/>
      <c r="R629" s="541"/>
      <c r="S629" s="541"/>
    </row>
    <row r="630" spans="1:19" ht="14.55" customHeight="1" x14ac:dyDescent="0.3">
      <c r="A630" s="541"/>
      <c r="B630" s="541"/>
      <c r="C630" s="541"/>
      <c r="D630" s="541"/>
      <c r="E630" s="699" t="s">
        <v>1070</v>
      </c>
      <c r="F630" s="700"/>
      <c r="G630" s="700"/>
      <c r="H630" s="701"/>
      <c r="I630" s="541"/>
      <c r="J630" s="541"/>
      <c r="K630" s="541"/>
      <c r="L630" s="541"/>
      <c r="M630" s="541"/>
      <c r="N630" s="541"/>
      <c r="O630" s="541"/>
      <c r="P630" s="541"/>
      <c r="Q630" s="541"/>
      <c r="R630" s="541"/>
      <c r="S630" s="541"/>
    </row>
    <row r="631" spans="1:19" ht="15.6" x14ac:dyDescent="0.3">
      <c r="A631" s="709" t="s">
        <v>83</v>
      </c>
      <c r="B631" s="709" t="s">
        <v>84</v>
      </c>
      <c r="C631" s="709" t="s">
        <v>85</v>
      </c>
      <c r="D631" s="711" t="s">
        <v>86</v>
      </c>
      <c r="E631" s="709" t="s">
        <v>6</v>
      </c>
      <c r="F631" s="709" t="s">
        <v>87</v>
      </c>
      <c r="G631" s="709" t="s">
        <v>88</v>
      </c>
      <c r="H631" s="702" t="s">
        <v>89</v>
      </c>
      <c r="I631" s="124"/>
      <c r="J631" s="705" t="s">
        <v>89</v>
      </c>
      <c r="K631" s="722" t="s">
        <v>818</v>
      </c>
      <c r="L631" s="722"/>
      <c r="M631" s="722"/>
      <c r="N631" s="723" t="s">
        <v>819</v>
      </c>
      <c r="O631" s="723"/>
      <c r="P631" s="723"/>
      <c r="Q631" s="705" t="s">
        <v>15</v>
      </c>
      <c r="R631" s="705"/>
      <c r="S631" s="705"/>
    </row>
    <row r="632" spans="1:19" ht="46.8" x14ac:dyDescent="0.3">
      <c r="A632" s="709"/>
      <c r="B632" s="709"/>
      <c r="C632" s="709"/>
      <c r="D632" s="711"/>
      <c r="E632" s="709"/>
      <c r="F632" s="709"/>
      <c r="G632" s="709"/>
      <c r="H632" s="703"/>
      <c r="I632" s="124"/>
      <c r="J632" s="705"/>
      <c r="K632" s="25" t="s">
        <v>382</v>
      </c>
      <c r="L632" s="25" t="s">
        <v>17</v>
      </c>
      <c r="M632" s="25" t="s">
        <v>18</v>
      </c>
      <c r="N632" s="25" t="s">
        <v>367</v>
      </c>
      <c r="O632" s="25" t="s">
        <v>17</v>
      </c>
      <c r="P632" s="248" t="s">
        <v>18</v>
      </c>
      <c r="Q632" s="25" t="s">
        <v>367</v>
      </c>
      <c r="R632" s="25" t="s">
        <v>17</v>
      </c>
      <c r="S632" s="25" t="s">
        <v>18</v>
      </c>
    </row>
    <row r="633" spans="1:19" x14ac:dyDescent="0.3">
      <c r="A633" s="169">
        <v>5</v>
      </c>
      <c r="B633" s="411" t="s">
        <v>390</v>
      </c>
      <c r="C633" s="419" t="s">
        <v>1071</v>
      </c>
      <c r="D633" s="173" t="s">
        <v>1072</v>
      </c>
      <c r="E633" s="169">
        <v>1</v>
      </c>
      <c r="F633" s="408" t="s">
        <v>1073</v>
      </c>
      <c r="G633" s="169" t="s">
        <v>475</v>
      </c>
      <c r="H633" s="169">
        <f>I633+J633</f>
        <v>38</v>
      </c>
      <c r="I633" s="169">
        <v>10</v>
      </c>
      <c r="J633" s="169">
        <v>28</v>
      </c>
      <c r="K633" s="474">
        <v>27143</v>
      </c>
      <c r="L633" s="475">
        <v>0.19</v>
      </c>
      <c r="M633" s="399">
        <f>K633*J633</f>
        <v>760004</v>
      </c>
      <c r="N633" s="474">
        <v>32000</v>
      </c>
      <c r="O633" s="475">
        <v>0.19</v>
      </c>
      <c r="P633" s="401">
        <f>N633*J633</f>
        <v>896000</v>
      </c>
      <c r="Q633" s="420">
        <f>SUM(K633+N633)/2</f>
        <v>29571.5</v>
      </c>
      <c r="R633" s="475">
        <v>0.19</v>
      </c>
      <c r="S633" s="420">
        <f>Q633*J633</f>
        <v>828002</v>
      </c>
    </row>
    <row r="634" spans="1:19" ht="27.6" x14ac:dyDescent="0.3">
      <c r="A634" s="169">
        <v>5</v>
      </c>
      <c r="B634" s="411" t="s">
        <v>390</v>
      </c>
      <c r="C634" s="169">
        <v>249289</v>
      </c>
      <c r="D634" s="169">
        <v>11162307</v>
      </c>
      <c r="E634" s="169">
        <v>2</v>
      </c>
      <c r="F634" s="408" t="s">
        <v>1074</v>
      </c>
      <c r="G634" s="169" t="s">
        <v>475</v>
      </c>
      <c r="H634" s="169">
        <f t="shared" ref="H634:H656" si="102">I634+J634</f>
        <v>20</v>
      </c>
      <c r="I634" s="169">
        <v>10</v>
      </c>
      <c r="J634" s="169">
        <v>10</v>
      </c>
      <c r="K634" s="474">
        <v>30714</v>
      </c>
      <c r="L634" s="475">
        <v>0.19</v>
      </c>
      <c r="M634" s="399">
        <f t="shared" ref="M634:M656" si="103">K634*J634</f>
        <v>307140</v>
      </c>
      <c r="N634" s="474">
        <v>47000</v>
      </c>
      <c r="O634" s="475">
        <v>0.19</v>
      </c>
      <c r="P634" s="401">
        <f t="shared" ref="P634:P656" si="104">N634*J634</f>
        <v>470000</v>
      </c>
      <c r="Q634" s="420">
        <f t="shared" ref="Q634:Q656" si="105">SUM(K634+N634)/2</f>
        <v>38857</v>
      </c>
      <c r="R634" s="475">
        <v>0.19</v>
      </c>
      <c r="S634" s="420">
        <f t="shared" ref="S634:S656" si="106">Q634*J634</f>
        <v>388570</v>
      </c>
    </row>
    <row r="635" spans="1:19" ht="27.6" x14ac:dyDescent="0.3">
      <c r="A635" s="169">
        <v>5</v>
      </c>
      <c r="B635" s="411" t="s">
        <v>390</v>
      </c>
      <c r="C635" s="169">
        <v>249289</v>
      </c>
      <c r="D635" s="169" t="s">
        <v>1075</v>
      </c>
      <c r="E635" s="169">
        <v>3</v>
      </c>
      <c r="F635" s="408" t="s">
        <v>1076</v>
      </c>
      <c r="G635" s="169" t="s">
        <v>475</v>
      </c>
      <c r="H635" s="169">
        <f t="shared" si="102"/>
        <v>15</v>
      </c>
      <c r="I635" s="169">
        <v>10</v>
      </c>
      <c r="J635" s="476">
        <v>5</v>
      </c>
      <c r="K635" s="474">
        <v>30714</v>
      </c>
      <c r="L635" s="475">
        <v>0.19</v>
      </c>
      <c r="M635" s="399">
        <f t="shared" si="103"/>
        <v>153570</v>
      </c>
      <c r="N635" s="474">
        <v>47000</v>
      </c>
      <c r="O635" s="475">
        <v>0.19</v>
      </c>
      <c r="P635" s="401">
        <f t="shared" si="104"/>
        <v>235000</v>
      </c>
      <c r="Q635" s="420">
        <f t="shared" si="105"/>
        <v>38857</v>
      </c>
      <c r="R635" s="475">
        <v>0.19</v>
      </c>
      <c r="S635" s="420">
        <f t="shared" si="106"/>
        <v>194285</v>
      </c>
    </row>
    <row r="636" spans="1:19" ht="27.6" x14ac:dyDescent="0.3">
      <c r="A636" s="169">
        <v>5</v>
      </c>
      <c r="B636" s="411" t="s">
        <v>390</v>
      </c>
      <c r="C636" s="169">
        <v>249289</v>
      </c>
      <c r="D636" s="169" t="s">
        <v>1075</v>
      </c>
      <c r="E636" s="169">
        <v>4</v>
      </c>
      <c r="F636" s="408" t="s">
        <v>1077</v>
      </c>
      <c r="G636" s="169" t="s">
        <v>475</v>
      </c>
      <c r="H636" s="169">
        <f t="shared" si="102"/>
        <v>15</v>
      </c>
      <c r="I636" s="169">
        <v>10</v>
      </c>
      <c r="J636" s="476">
        <v>5</v>
      </c>
      <c r="K636" s="474">
        <v>30714</v>
      </c>
      <c r="L636" s="475">
        <v>0.19</v>
      </c>
      <c r="M636" s="399">
        <f t="shared" si="103"/>
        <v>153570</v>
      </c>
      <c r="N636" s="474">
        <v>47000</v>
      </c>
      <c r="O636" s="475">
        <v>0.19</v>
      </c>
      <c r="P636" s="401">
        <f t="shared" si="104"/>
        <v>235000</v>
      </c>
      <c r="Q636" s="420">
        <f t="shared" si="105"/>
        <v>38857</v>
      </c>
      <c r="R636" s="475">
        <v>0.19</v>
      </c>
      <c r="S636" s="420">
        <f t="shared" si="106"/>
        <v>194285</v>
      </c>
    </row>
    <row r="637" spans="1:19" ht="27.6" x14ac:dyDescent="0.3">
      <c r="A637" s="169">
        <v>5</v>
      </c>
      <c r="B637" s="411" t="s">
        <v>390</v>
      </c>
      <c r="C637" s="169">
        <v>249289</v>
      </c>
      <c r="D637" s="169" t="s">
        <v>1075</v>
      </c>
      <c r="E637" s="169">
        <v>5</v>
      </c>
      <c r="F637" s="408" t="s">
        <v>1078</v>
      </c>
      <c r="G637" s="169" t="s">
        <v>475</v>
      </c>
      <c r="H637" s="169">
        <f t="shared" si="102"/>
        <v>15</v>
      </c>
      <c r="I637" s="169">
        <v>10</v>
      </c>
      <c r="J637" s="476">
        <v>5</v>
      </c>
      <c r="K637" s="474">
        <v>30714</v>
      </c>
      <c r="L637" s="475">
        <v>0.19</v>
      </c>
      <c r="M637" s="399">
        <f t="shared" si="103"/>
        <v>153570</v>
      </c>
      <c r="N637" s="474">
        <v>47000</v>
      </c>
      <c r="O637" s="475">
        <v>0.19</v>
      </c>
      <c r="P637" s="401">
        <f t="shared" si="104"/>
        <v>235000</v>
      </c>
      <c r="Q637" s="420">
        <f t="shared" si="105"/>
        <v>38857</v>
      </c>
      <c r="R637" s="475">
        <v>0.19</v>
      </c>
      <c r="S637" s="420">
        <f t="shared" si="106"/>
        <v>194285</v>
      </c>
    </row>
    <row r="638" spans="1:19" ht="27.6" x14ac:dyDescent="0.3">
      <c r="A638" s="169">
        <v>5</v>
      </c>
      <c r="B638" s="411" t="s">
        <v>390</v>
      </c>
      <c r="C638" s="169">
        <v>249289</v>
      </c>
      <c r="D638" s="169" t="s">
        <v>1075</v>
      </c>
      <c r="E638" s="169">
        <v>6</v>
      </c>
      <c r="F638" s="408" t="s">
        <v>1079</v>
      </c>
      <c r="G638" s="169" t="s">
        <v>475</v>
      </c>
      <c r="H638" s="169">
        <f t="shared" si="102"/>
        <v>15</v>
      </c>
      <c r="I638" s="169">
        <v>10</v>
      </c>
      <c r="J638" s="476">
        <v>5</v>
      </c>
      <c r="K638" s="474">
        <v>30714</v>
      </c>
      <c r="L638" s="475">
        <v>0.19</v>
      </c>
      <c r="M638" s="399">
        <f t="shared" si="103"/>
        <v>153570</v>
      </c>
      <c r="N638" s="474">
        <v>47000</v>
      </c>
      <c r="O638" s="475">
        <v>0.19</v>
      </c>
      <c r="P638" s="401">
        <f t="shared" si="104"/>
        <v>235000</v>
      </c>
      <c r="Q638" s="420">
        <f t="shared" si="105"/>
        <v>38857</v>
      </c>
      <c r="R638" s="475">
        <v>0.19</v>
      </c>
      <c r="S638" s="420">
        <f t="shared" si="106"/>
        <v>194285</v>
      </c>
    </row>
    <row r="639" spans="1:19" ht="27.6" x14ac:dyDescent="0.3">
      <c r="A639" s="169">
        <v>5</v>
      </c>
      <c r="B639" s="411" t="s">
        <v>390</v>
      </c>
      <c r="C639" s="169">
        <v>249289</v>
      </c>
      <c r="D639" s="169" t="s">
        <v>1075</v>
      </c>
      <c r="E639" s="169">
        <v>7</v>
      </c>
      <c r="F639" s="408" t="s">
        <v>1080</v>
      </c>
      <c r="G639" s="169" t="s">
        <v>475</v>
      </c>
      <c r="H639" s="169">
        <f t="shared" si="102"/>
        <v>15</v>
      </c>
      <c r="I639" s="169">
        <v>10</v>
      </c>
      <c r="J639" s="476">
        <v>5</v>
      </c>
      <c r="K639" s="474">
        <v>30714</v>
      </c>
      <c r="L639" s="475">
        <v>0.19</v>
      </c>
      <c r="M639" s="399">
        <f t="shared" si="103"/>
        <v>153570</v>
      </c>
      <c r="N639" s="474">
        <v>47000</v>
      </c>
      <c r="O639" s="475">
        <v>0.19</v>
      </c>
      <c r="P639" s="401">
        <f t="shared" si="104"/>
        <v>235000</v>
      </c>
      <c r="Q639" s="420">
        <f t="shared" si="105"/>
        <v>38857</v>
      </c>
      <c r="R639" s="475">
        <v>0.19</v>
      </c>
      <c r="S639" s="420">
        <f t="shared" si="106"/>
        <v>194285</v>
      </c>
    </row>
    <row r="640" spans="1:19" ht="27.6" x14ac:dyDescent="0.3">
      <c r="A640" s="169">
        <v>5</v>
      </c>
      <c r="B640" s="411" t="s">
        <v>390</v>
      </c>
      <c r="C640" s="169">
        <v>244030</v>
      </c>
      <c r="D640" s="169">
        <v>11151507</v>
      </c>
      <c r="E640" s="169">
        <v>8</v>
      </c>
      <c r="F640" s="219" t="s">
        <v>1081</v>
      </c>
      <c r="G640" s="169" t="s">
        <v>384</v>
      </c>
      <c r="H640" s="169">
        <f t="shared" si="102"/>
        <v>20</v>
      </c>
      <c r="I640" s="169">
        <v>10</v>
      </c>
      <c r="J640" s="169">
        <v>10</v>
      </c>
      <c r="K640" s="474">
        <v>30714</v>
      </c>
      <c r="L640" s="475">
        <v>0.19</v>
      </c>
      <c r="M640" s="399">
        <f t="shared" si="103"/>
        <v>307140</v>
      </c>
      <c r="N640" s="474">
        <v>45000</v>
      </c>
      <c r="O640" s="475">
        <v>0.19</v>
      </c>
      <c r="P640" s="401">
        <f t="shared" si="104"/>
        <v>450000</v>
      </c>
      <c r="Q640" s="420">
        <f t="shared" si="105"/>
        <v>37857</v>
      </c>
      <c r="R640" s="475">
        <v>0.19</v>
      </c>
      <c r="S640" s="420">
        <f t="shared" si="106"/>
        <v>378570</v>
      </c>
    </row>
    <row r="641" spans="1:19" x14ac:dyDescent="0.3">
      <c r="A641" s="169">
        <v>5</v>
      </c>
      <c r="B641" s="411" t="s">
        <v>390</v>
      </c>
      <c r="C641" s="169">
        <v>267350</v>
      </c>
      <c r="D641" s="169">
        <v>31211502</v>
      </c>
      <c r="E641" s="169">
        <v>9</v>
      </c>
      <c r="F641" s="408" t="s">
        <v>1082</v>
      </c>
      <c r="G641" s="169" t="s">
        <v>1083</v>
      </c>
      <c r="H641" s="169">
        <f t="shared" si="102"/>
        <v>25</v>
      </c>
      <c r="I641" s="169">
        <v>10</v>
      </c>
      <c r="J641" s="169">
        <v>15</v>
      </c>
      <c r="K641" s="477">
        <v>14143</v>
      </c>
      <c r="L641" s="475">
        <v>0.19</v>
      </c>
      <c r="M641" s="399">
        <f t="shared" si="103"/>
        <v>212145</v>
      </c>
      <c r="N641" s="474">
        <v>17000</v>
      </c>
      <c r="O641" s="475">
        <v>0.19</v>
      </c>
      <c r="P641" s="401">
        <f t="shared" si="104"/>
        <v>255000</v>
      </c>
      <c r="Q641" s="420">
        <f t="shared" si="105"/>
        <v>15571.5</v>
      </c>
      <c r="R641" s="475">
        <v>0.19</v>
      </c>
      <c r="S641" s="420">
        <f t="shared" si="106"/>
        <v>233572.5</v>
      </c>
    </row>
    <row r="642" spans="1:19" x14ac:dyDescent="0.3">
      <c r="A642" s="169">
        <v>5</v>
      </c>
      <c r="B642" s="411" t="s">
        <v>390</v>
      </c>
      <c r="C642" s="169">
        <v>267350</v>
      </c>
      <c r="D642" s="169">
        <v>31211502</v>
      </c>
      <c r="E642" s="169">
        <v>10</v>
      </c>
      <c r="F642" s="408" t="s">
        <v>1084</v>
      </c>
      <c r="G642" s="169" t="s">
        <v>25</v>
      </c>
      <c r="H642" s="169">
        <f t="shared" si="102"/>
        <v>25</v>
      </c>
      <c r="I642" s="169">
        <v>10</v>
      </c>
      <c r="J642" s="169">
        <v>15</v>
      </c>
      <c r="K642" s="477">
        <v>14143</v>
      </c>
      <c r="L642" s="475">
        <v>0.19</v>
      </c>
      <c r="M642" s="399">
        <f t="shared" si="103"/>
        <v>212145</v>
      </c>
      <c r="N642" s="474">
        <v>17000</v>
      </c>
      <c r="O642" s="475">
        <v>0.19</v>
      </c>
      <c r="P642" s="401">
        <f t="shared" si="104"/>
        <v>255000</v>
      </c>
      <c r="Q642" s="420">
        <f t="shared" si="105"/>
        <v>15571.5</v>
      </c>
      <c r="R642" s="475">
        <v>0.19</v>
      </c>
      <c r="S642" s="420">
        <f t="shared" si="106"/>
        <v>233572.5</v>
      </c>
    </row>
    <row r="643" spans="1:19" x14ac:dyDescent="0.3">
      <c r="A643" s="169">
        <v>5</v>
      </c>
      <c r="B643" s="411" t="s">
        <v>390</v>
      </c>
      <c r="C643" s="169">
        <v>267350</v>
      </c>
      <c r="D643" s="169">
        <v>31211502</v>
      </c>
      <c r="E643" s="169">
        <v>11</v>
      </c>
      <c r="F643" s="408" t="s">
        <v>1085</v>
      </c>
      <c r="G643" s="169" t="s">
        <v>25</v>
      </c>
      <c r="H643" s="169">
        <f t="shared" si="102"/>
        <v>25</v>
      </c>
      <c r="I643" s="169">
        <v>10</v>
      </c>
      <c r="J643" s="169">
        <v>15</v>
      </c>
      <c r="K643" s="477">
        <v>14143</v>
      </c>
      <c r="L643" s="475">
        <v>0.19</v>
      </c>
      <c r="M643" s="399">
        <f t="shared" si="103"/>
        <v>212145</v>
      </c>
      <c r="N643" s="474">
        <v>17000</v>
      </c>
      <c r="O643" s="475">
        <v>0.19</v>
      </c>
      <c r="P643" s="401">
        <f t="shared" si="104"/>
        <v>255000</v>
      </c>
      <c r="Q643" s="420">
        <f t="shared" si="105"/>
        <v>15571.5</v>
      </c>
      <c r="R643" s="475">
        <v>0.19</v>
      </c>
      <c r="S643" s="420">
        <f t="shared" si="106"/>
        <v>233572.5</v>
      </c>
    </row>
    <row r="644" spans="1:19" x14ac:dyDescent="0.3">
      <c r="A644" s="169">
        <v>5</v>
      </c>
      <c r="B644" s="169" t="s">
        <v>390</v>
      </c>
      <c r="C644" s="169">
        <v>267350</v>
      </c>
      <c r="D644" s="169">
        <v>31211502</v>
      </c>
      <c r="E644" s="169">
        <v>12</v>
      </c>
      <c r="F644" s="408" t="s">
        <v>1086</v>
      </c>
      <c r="G644" s="169" t="s">
        <v>25</v>
      </c>
      <c r="H644" s="169">
        <f t="shared" si="102"/>
        <v>25</v>
      </c>
      <c r="I644" s="169">
        <v>10</v>
      </c>
      <c r="J644" s="169">
        <v>15</v>
      </c>
      <c r="K644" s="477">
        <v>14143</v>
      </c>
      <c r="L644" s="475">
        <v>0.19</v>
      </c>
      <c r="M644" s="399">
        <f t="shared" si="103"/>
        <v>212145</v>
      </c>
      <c r="N644" s="474">
        <v>17000</v>
      </c>
      <c r="O644" s="475">
        <v>0.19</v>
      </c>
      <c r="P644" s="401">
        <f t="shared" si="104"/>
        <v>255000</v>
      </c>
      <c r="Q644" s="420">
        <f t="shared" si="105"/>
        <v>15571.5</v>
      </c>
      <c r="R644" s="475">
        <v>0.19</v>
      </c>
      <c r="S644" s="420">
        <f t="shared" si="106"/>
        <v>233572.5</v>
      </c>
    </row>
    <row r="645" spans="1:19" x14ac:dyDescent="0.3">
      <c r="A645" s="169">
        <v>5</v>
      </c>
      <c r="B645" s="411" t="s">
        <v>390</v>
      </c>
      <c r="C645" s="169">
        <v>267350</v>
      </c>
      <c r="D645" s="169">
        <v>31211502</v>
      </c>
      <c r="E645" s="169">
        <v>13</v>
      </c>
      <c r="F645" s="408" t="s">
        <v>1087</v>
      </c>
      <c r="G645" s="169" t="s">
        <v>25</v>
      </c>
      <c r="H645" s="169">
        <f t="shared" si="102"/>
        <v>25</v>
      </c>
      <c r="I645" s="169">
        <v>10</v>
      </c>
      <c r="J645" s="169">
        <v>15</v>
      </c>
      <c r="K645" s="477">
        <v>14143</v>
      </c>
      <c r="L645" s="475">
        <v>0.19</v>
      </c>
      <c r="M645" s="399">
        <f t="shared" si="103"/>
        <v>212145</v>
      </c>
      <c r="N645" s="474">
        <v>17000</v>
      </c>
      <c r="O645" s="475">
        <v>0.19</v>
      </c>
      <c r="P645" s="401">
        <f t="shared" si="104"/>
        <v>255000</v>
      </c>
      <c r="Q645" s="420">
        <f t="shared" si="105"/>
        <v>15571.5</v>
      </c>
      <c r="R645" s="475">
        <v>0.19</v>
      </c>
      <c r="S645" s="420">
        <f t="shared" si="106"/>
        <v>233572.5</v>
      </c>
    </row>
    <row r="646" spans="1:19" x14ac:dyDescent="0.3">
      <c r="A646" s="169">
        <v>5</v>
      </c>
      <c r="B646" s="411" t="s">
        <v>390</v>
      </c>
      <c r="C646" s="169">
        <v>267350</v>
      </c>
      <c r="D646" s="169">
        <v>31211502</v>
      </c>
      <c r="E646" s="169">
        <v>14</v>
      </c>
      <c r="F646" s="280" t="s">
        <v>1087</v>
      </c>
      <c r="G646" s="169" t="s">
        <v>25</v>
      </c>
      <c r="H646" s="169">
        <f t="shared" si="102"/>
        <v>25</v>
      </c>
      <c r="I646" s="169">
        <v>10</v>
      </c>
      <c r="J646" s="169">
        <v>15</v>
      </c>
      <c r="K646" s="477">
        <v>14143</v>
      </c>
      <c r="L646" s="475">
        <v>0.19</v>
      </c>
      <c r="M646" s="399">
        <f t="shared" si="103"/>
        <v>212145</v>
      </c>
      <c r="N646" s="474">
        <v>17000</v>
      </c>
      <c r="O646" s="475">
        <v>0.19</v>
      </c>
      <c r="P646" s="401">
        <f t="shared" si="104"/>
        <v>255000</v>
      </c>
      <c r="Q646" s="420">
        <f t="shared" si="105"/>
        <v>15571.5</v>
      </c>
      <c r="R646" s="475">
        <v>0.19</v>
      </c>
      <c r="S646" s="420">
        <f t="shared" si="106"/>
        <v>233572.5</v>
      </c>
    </row>
    <row r="647" spans="1:19" x14ac:dyDescent="0.3">
      <c r="A647" s="169">
        <v>5</v>
      </c>
      <c r="B647" s="411" t="s">
        <v>390</v>
      </c>
      <c r="C647" s="169">
        <v>267350</v>
      </c>
      <c r="D647" s="169">
        <v>31211502</v>
      </c>
      <c r="E647" s="169">
        <v>15</v>
      </c>
      <c r="F647" s="280" t="s">
        <v>1088</v>
      </c>
      <c r="G647" s="169" t="s">
        <v>25</v>
      </c>
      <c r="H647" s="169">
        <f t="shared" si="102"/>
        <v>25</v>
      </c>
      <c r="I647" s="169">
        <v>10</v>
      </c>
      <c r="J647" s="169">
        <v>15</v>
      </c>
      <c r="K647" s="477">
        <v>14143</v>
      </c>
      <c r="L647" s="475">
        <v>0.19</v>
      </c>
      <c r="M647" s="399">
        <f t="shared" si="103"/>
        <v>212145</v>
      </c>
      <c r="N647" s="474">
        <v>17000</v>
      </c>
      <c r="O647" s="475">
        <v>0.19</v>
      </c>
      <c r="P647" s="401">
        <f t="shared" si="104"/>
        <v>255000</v>
      </c>
      <c r="Q647" s="420">
        <f t="shared" si="105"/>
        <v>15571.5</v>
      </c>
      <c r="R647" s="475">
        <v>0.19</v>
      </c>
      <c r="S647" s="420">
        <f t="shared" si="106"/>
        <v>233572.5</v>
      </c>
    </row>
    <row r="648" spans="1:19" x14ac:dyDescent="0.3">
      <c r="A648" s="169">
        <v>5</v>
      </c>
      <c r="B648" s="411" t="s">
        <v>390</v>
      </c>
      <c r="C648" s="169">
        <v>267350</v>
      </c>
      <c r="D648" s="169">
        <v>31211502</v>
      </c>
      <c r="E648" s="169">
        <v>16</v>
      </c>
      <c r="F648" s="280" t="s">
        <v>1089</v>
      </c>
      <c r="G648" s="169" t="s">
        <v>25</v>
      </c>
      <c r="H648" s="169">
        <f t="shared" si="102"/>
        <v>25</v>
      </c>
      <c r="I648" s="169">
        <v>10</v>
      </c>
      <c r="J648" s="169">
        <v>15</v>
      </c>
      <c r="K648" s="477">
        <v>14143</v>
      </c>
      <c r="L648" s="475">
        <v>0.19</v>
      </c>
      <c r="M648" s="399">
        <f t="shared" si="103"/>
        <v>212145</v>
      </c>
      <c r="N648" s="474">
        <v>17000</v>
      </c>
      <c r="O648" s="475">
        <v>0.19</v>
      </c>
      <c r="P648" s="401">
        <f t="shared" si="104"/>
        <v>255000</v>
      </c>
      <c r="Q648" s="420">
        <f t="shared" si="105"/>
        <v>15571.5</v>
      </c>
      <c r="R648" s="475">
        <v>0.19</v>
      </c>
      <c r="S648" s="420">
        <f t="shared" si="106"/>
        <v>233572.5</v>
      </c>
    </row>
    <row r="649" spans="1:19" x14ac:dyDescent="0.3">
      <c r="A649" s="169">
        <v>5</v>
      </c>
      <c r="B649" s="419" t="s">
        <v>1090</v>
      </c>
      <c r="C649" s="419" t="s">
        <v>1091</v>
      </c>
      <c r="D649" s="170">
        <v>13111047</v>
      </c>
      <c r="E649" s="169">
        <v>17</v>
      </c>
      <c r="F649" s="280" t="s">
        <v>1092</v>
      </c>
      <c r="G649" s="169" t="s">
        <v>25</v>
      </c>
      <c r="H649" s="169">
        <f t="shared" si="102"/>
        <v>20</v>
      </c>
      <c r="I649" s="169">
        <v>10</v>
      </c>
      <c r="J649" s="170">
        <v>10</v>
      </c>
      <c r="K649" s="477">
        <v>17000</v>
      </c>
      <c r="L649" s="475">
        <v>0.19</v>
      </c>
      <c r="M649" s="399">
        <f t="shared" si="103"/>
        <v>170000</v>
      </c>
      <c r="N649" s="294">
        <v>35000</v>
      </c>
      <c r="O649" s="475">
        <v>0.19</v>
      </c>
      <c r="P649" s="401">
        <f t="shared" si="104"/>
        <v>350000</v>
      </c>
      <c r="Q649" s="420">
        <f t="shared" si="105"/>
        <v>26000</v>
      </c>
      <c r="R649" s="475">
        <v>0.19</v>
      </c>
      <c r="S649" s="420">
        <f t="shared" si="106"/>
        <v>260000</v>
      </c>
    </row>
    <row r="650" spans="1:19" x14ac:dyDescent="0.3">
      <c r="A650" s="169">
        <v>5</v>
      </c>
      <c r="B650" s="419" t="s">
        <v>1090</v>
      </c>
      <c r="C650" s="478">
        <v>273419</v>
      </c>
      <c r="D650" s="170">
        <v>23153400</v>
      </c>
      <c r="E650" s="169">
        <v>18</v>
      </c>
      <c r="F650" s="280" t="s">
        <v>1093</v>
      </c>
      <c r="G650" s="169" t="s">
        <v>71</v>
      </c>
      <c r="H650" s="169">
        <f t="shared" si="102"/>
        <v>12</v>
      </c>
      <c r="I650" s="169">
        <v>10</v>
      </c>
      <c r="J650" s="170">
        <v>2</v>
      </c>
      <c r="K650" s="294">
        <v>118571</v>
      </c>
      <c r="L650" s="475">
        <v>0.19</v>
      </c>
      <c r="M650" s="399">
        <f t="shared" si="103"/>
        <v>237142</v>
      </c>
      <c r="N650" s="294">
        <v>175000</v>
      </c>
      <c r="O650" s="475">
        <v>0.19</v>
      </c>
      <c r="P650" s="401">
        <f t="shared" si="104"/>
        <v>350000</v>
      </c>
      <c r="Q650" s="420">
        <f t="shared" si="105"/>
        <v>146785.5</v>
      </c>
      <c r="R650" s="475">
        <v>0.19</v>
      </c>
      <c r="S650" s="420">
        <f t="shared" si="106"/>
        <v>293571</v>
      </c>
    </row>
    <row r="651" spans="1:19" ht="27.6" x14ac:dyDescent="0.3">
      <c r="A651" s="169">
        <v>5</v>
      </c>
      <c r="B651" s="419" t="s">
        <v>1094</v>
      </c>
      <c r="C651" s="419" t="s">
        <v>1095</v>
      </c>
      <c r="D651" s="170" t="s">
        <v>1096</v>
      </c>
      <c r="E651" s="169">
        <v>19</v>
      </c>
      <c r="F651" s="280" t="s">
        <v>1097</v>
      </c>
      <c r="G651" s="169" t="s">
        <v>1098</v>
      </c>
      <c r="H651" s="169">
        <f t="shared" si="102"/>
        <v>12</v>
      </c>
      <c r="I651" s="169">
        <v>10</v>
      </c>
      <c r="J651" s="170">
        <v>2</v>
      </c>
      <c r="K651" s="294">
        <v>137143</v>
      </c>
      <c r="L651" s="475">
        <v>0.19</v>
      </c>
      <c r="M651" s="399">
        <f t="shared" si="103"/>
        <v>274286</v>
      </c>
      <c r="N651" s="294">
        <v>22000</v>
      </c>
      <c r="O651" s="475">
        <v>0.19</v>
      </c>
      <c r="P651" s="401">
        <f t="shared" si="104"/>
        <v>44000</v>
      </c>
      <c r="Q651" s="420">
        <f t="shared" si="105"/>
        <v>79571.5</v>
      </c>
      <c r="R651" s="475">
        <v>0.19</v>
      </c>
      <c r="S651" s="420">
        <f t="shared" si="106"/>
        <v>159143</v>
      </c>
    </row>
    <row r="652" spans="1:19" ht="27.6" x14ac:dyDescent="0.3">
      <c r="A652" s="169">
        <v>5</v>
      </c>
      <c r="B652" s="419" t="s">
        <v>1094</v>
      </c>
      <c r="C652" s="419" t="s">
        <v>1095</v>
      </c>
      <c r="D652" s="170" t="s">
        <v>1096</v>
      </c>
      <c r="E652" s="169">
        <v>20</v>
      </c>
      <c r="F652" s="280" t="s">
        <v>1099</v>
      </c>
      <c r="G652" s="169" t="s">
        <v>1098</v>
      </c>
      <c r="H652" s="169">
        <f t="shared" si="102"/>
        <v>12</v>
      </c>
      <c r="I652" s="169">
        <v>10</v>
      </c>
      <c r="J652" s="170">
        <v>2</v>
      </c>
      <c r="K652" s="294">
        <v>137143</v>
      </c>
      <c r="L652" s="475">
        <v>0.19</v>
      </c>
      <c r="M652" s="399">
        <f t="shared" si="103"/>
        <v>274286</v>
      </c>
      <c r="N652" s="294">
        <v>22000</v>
      </c>
      <c r="O652" s="475">
        <v>0.19</v>
      </c>
      <c r="P652" s="401">
        <f t="shared" si="104"/>
        <v>44000</v>
      </c>
      <c r="Q652" s="420">
        <f t="shared" si="105"/>
        <v>79571.5</v>
      </c>
      <c r="R652" s="475">
        <v>0.19</v>
      </c>
      <c r="S652" s="420">
        <f t="shared" si="106"/>
        <v>159143</v>
      </c>
    </row>
    <row r="653" spans="1:19" ht="27.6" x14ac:dyDescent="0.3">
      <c r="A653" s="169">
        <v>5</v>
      </c>
      <c r="B653" s="419" t="s">
        <v>1094</v>
      </c>
      <c r="C653" s="419" t="s">
        <v>1095</v>
      </c>
      <c r="D653" s="170" t="s">
        <v>1096</v>
      </c>
      <c r="E653" s="169">
        <v>21</v>
      </c>
      <c r="F653" s="280" t="s">
        <v>1100</v>
      </c>
      <c r="G653" s="169" t="s">
        <v>1098</v>
      </c>
      <c r="H653" s="169">
        <f t="shared" si="102"/>
        <v>12</v>
      </c>
      <c r="I653" s="169">
        <v>10</v>
      </c>
      <c r="J653" s="170">
        <v>2</v>
      </c>
      <c r="K653" s="294">
        <v>137143</v>
      </c>
      <c r="L653" s="475">
        <v>0.19</v>
      </c>
      <c r="M653" s="399">
        <f t="shared" si="103"/>
        <v>274286</v>
      </c>
      <c r="N653" s="294">
        <v>22000</v>
      </c>
      <c r="O653" s="475">
        <v>0.19</v>
      </c>
      <c r="P653" s="401">
        <f t="shared" si="104"/>
        <v>44000</v>
      </c>
      <c r="Q653" s="420">
        <f t="shared" si="105"/>
        <v>79571.5</v>
      </c>
      <c r="R653" s="475">
        <v>0.19</v>
      </c>
      <c r="S653" s="420">
        <f t="shared" si="106"/>
        <v>159143</v>
      </c>
    </row>
    <row r="654" spans="1:19" ht="27.6" x14ac:dyDescent="0.3">
      <c r="A654" s="169">
        <v>5</v>
      </c>
      <c r="B654" s="419" t="s">
        <v>1094</v>
      </c>
      <c r="C654" s="419" t="s">
        <v>1095</v>
      </c>
      <c r="D654" s="170" t="s">
        <v>1096</v>
      </c>
      <c r="E654" s="169">
        <v>22</v>
      </c>
      <c r="F654" s="280" t="s">
        <v>1101</v>
      </c>
      <c r="G654" s="169" t="s">
        <v>1098</v>
      </c>
      <c r="H654" s="169">
        <f t="shared" si="102"/>
        <v>12</v>
      </c>
      <c r="I654" s="169">
        <v>10</v>
      </c>
      <c r="J654" s="170">
        <v>2</v>
      </c>
      <c r="K654" s="294">
        <v>137143</v>
      </c>
      <c r="L654" s="475">
        <v>0.19</v>
      </c>
      <c r="M654" s="399">
        <f t="shared" si="103"/>
        <v>274286</v>
      </c>
      <c r="N654" s="294">
        <v>22000</v>
      </c>
      <c r="O654" s="475">
        <v>0.19</v>
      </c>
      <c r="P654" s="401">
        <f t="shared" si="104"/>
        <v>44000</v>
      </c>
      <c r="Q654" s="420">
        <f t="shared" si="105"/>
        <v>79571.5</v>
      </c>
      <c r="R654" s="475">
        <v>0.19</v>
      </c>
      <c r="S654" s="420">
        <f t="shared" si="106"/>
        <v>159143</v>
      </c>
    </row>
    <row r="655" spans="1:19" x14ac:dyDescent="0.3">
      <c r="A655" s="169">
        <v>5</v>
      </c>
      <c r="B655" s="419" t="s">
        <v>1090</v>
      </c>
      <c r="C655" s="419" t="s">
        <v>1102</v>
      </c>
      <c r="D655" s="170">
        <v>53111802</v>
      </c>
      <c r="E655" s="169">
        <v>23</v>
      </c>
      <c r="F655" s="280" t="s">
        <v>1103</v>
      </c>
      <c r="G655" s="169" t="s">
        <v>1104</v>
      </c>
      <c r="H655" s="169">
        <f t="shared" si="102"/>
        <v>35</v>
      </c>
      <c r="I655" s="169">
        <v>10</v>
      </c>
      <c r="J655" s="170">
        <v>25</v>
      </c>
      <c r="K655" s="294">
        <v>5000</v>
      </c>
      <c r="L655" s="475">
        <v>0.19</v>
      </c>
      <c r="M655" s="399">
        <f t="shared" si="103"/>
        <v>125000</v>
      </c>
      <c r="N655" s="294">
        <v>7000</v>
      </c>
      <c r="O655" s="475">
        <v>0.19</v>
      </c>
      <c r="P655" s="401">
        <f t="shared" si="104"/>
        <v>175000</v>
      </c>
      <c r="Q655" s="420">
        <f t="shared" si="105"/>
        <v>6000</v>
      </c>
      <c r="R655" s="475">
        <v>0.19</v>
      </c>
      <c r="S655" s="420">
        <f t="shared" si="106"/>
        <v>150000</v>
      </c>
    </row>
    <row r="656" spans="1:19" ht="27.6" x14ac:dyDescent="0.3">
      <c r="A656" s="169">
        <v>5</v>
      </c>
      <c r="B656" s="411" t="s">
        <v>390</v>
      </c>
      <c r="C656" s="213" t="s">
        <v>1105</v>
      </c>
      <c r="D656" s="170">
        <v>56131605</v>
      </c>
      <c r="E656" s="169">
        <v>24</v>
      </c>
      <c r="F656" s="280" t="s">
        <v>1106</v>
      </c>
      <c r="G656" s="169" t="s">
        <v>1107</v>
      </c>
      <c r="H656" s="169">
        <f t="shared" si="102"/>
        <v>20</v>
      </c>
      <c r="I656" s="169">
        <v>10</v>
      </c>
      <c r="J656" s="170">
        <v>10</v>
      </c>
      <c r="K656" s="294">
        <v>40000</v>
      </c>
      <c r="L656" s="475">
        <v>0.19</v>
      </c>
      <c r="M656" s="399">
        <f t="shared" si="103"/>
        <v>400000</v>
      </c>
      <c r="N656" s="294">
        <v>52000</v>
      </c>
      <c r="O656" s="475">
        <v>0.19</v>
      </c>
      <c r="P656" s="401">
        <f t="shared" si="104"/>
        <v>520000</v>
      </c>
      <c r="Q656" s="420">
        <f t="shared" si="105"/>
        <v>46000</v>
      </c>
      <c r="R656" s="475">
        <v>0.19</v>
      </c>
      <c r="S656" s="420">
        <f t="shared" si="106"/>
        <v>460000</v>
      </c>
    </row>
    <row r="657" spans="1:19" x14ac:dyDescent="0.3">
      <c r="A657" s="402"/>
      <c r="B657" s="402"/>
      <c r="C657" s="402"/>
      <c r="D657" s="402"/>
      <c r="E657" s="473"/>
      <c r="F657" s="402"/>
      <c r="G657" s="402"/>
      <c r="H657" s="402"/>
      <c r="I657" s="402"/>
      <c r="J657" s="402"/>
      <c r="K657" s="402"/>
      <c r="L657" s="402"/>
      <c r="M657" s="399">
        <f>SUM(M633:M656)</f>
        <v>5868580</v>
      </c>
      <c r="N657" s="400"/>
      <c r="O657" s="400"/>
      <c r="P657" s="401">
        <f>SUM(P633:P656)</f>
        <v>6602000</v>
      </c>
      <c r="Q657" s="402"/>
      <c r="R657" s="402"/>
      <c r="S657" s="420">
        <f>SUM(S633:S656)</f>
        <v>6235290</v>
      </c>
    </row>
    <row r="658" spans="1:19" ht="14.55" customHeight="1" x14ac:dyDescent="0.3">
      <c r="A658" s="541" t="s">
        <v>1108</v>
      </c>
      <c r="B658" s="541"/>
      <c r="C658" s="541"/>
      <c r="D658" s="541"/>
      <c r="E658" s="541"/>
      <c r="F658" s="541"/>
      <c r="G658" s="541"/>
      <c r="H658" s="541"/>
      <c r="I658" s="541"/>
      <c r="J658" s="541"/>
      <c r="K658" s="541"/>
      <c r="L658" s="541"/>
      <c r="M658" s="541"/>
      <c r="N658" s="541"/>
      <c r="O658" s="541"/>
      <c r="P658" s="541"/>
      <c r="Q658" s="541"/>
      <c r="R658" s="541"/>
      <c r="S658" s="541"/>
    </row>
    <row r="659" spans="1:19" ht="14.55" customHeight="1" x14ac:dyDescent="0.3">
      <c r="A659" s="541"/>
      <c r="B659" s="541"/>
      <c r="C659" s="541"/>
      <c r="D659" s="541"/>
      <c r="E659" s="699" t="s">
        <v>1108</v>
      </c>
      <c r="F659" s="700"/>
      <c r="G659" s="700"/>
      <c r="H659" s="701"/>
      <c r="I659" s="541"/>
      <c r="J659" s="541"/>
      <c r="K659" s="541"/>
      <c r="L659" s="541"/>
      <c r="M659" s="541"/>
      <c r="N659" s="541"/>
      <c r="O659" s="541"/>
      <c r="P659" s="541"/>
      <c r="Q659" s="541"/>
      <c r="R659" s="541"/>
      <c r="S659" s="541"/>
    </row>
    <row r="660" spans="1:19" ht="15.6" x14ac:dyDescent="0.3">
      <c r="A660" s="709" t="s">
        <v>83</v>
      </c>
      <c r="B660" s="709" t="s">
        <v>84</v>
      </c>
      <c r="C660" s="709" t="s">
        <v>85</v>
      </c>
      <c r="D660" s="711" t="s">
        <v>86</v>
      </c>
      <c r="E660" s="709" t="s">
        <v>6</v>
      </c>
      <c r="F660" s="709" t="s">
        <v>87</v>
      </c>
      <c r="G660" s="709" t="s">
        <v>88</v>
      </c>
      <c r="H660" s="702" t="s">
        <v>89</v>
      </c>
      <c r="I660" s="124"/>
      <c r="J660" s="705" t="s">
        <v>89</v>
      </c>
      <c r="K660" s="722" t="s">
        <v>818</v>
      </c>
      <c r="L660" s="722"/>
      <c r="M660" s="722"/>
      <c r="N660" s="723" t="s">
        <v>819</v>
      </c>
      <c r="O660" s="723"/>
      <c r="P660" s="723"/>
      <c r="Q660" s="705" t="s">
        <v>15</v>
      </c>
      <c r="R660" s="705"/>
      <c r="S660" s="705"/>
    </row>
    <row r="661" spans="1:19" ht="46.8" x14ac:dyDescent="0.3">
      <c r="A661" s="709"/>
      <c r="B661" s="709"/>
      <c r="C661" s="709"/>
      <c r="D661" s="711"/>
      <c r="E661" s="709"/>
      <c r="F661" s="709"/>
      <c r="G661" s="709"/>
      <c r="H661" s="703"/>
      <c r="I661" s="124">
        <v>10</v>
      </c>
      <c r="J661" s="705"/>
      <c r="K661" s="25" t="s">
        <v>382</v>
      </c>
      <c r="L661" s="25" t="s">
        <v>17</v>
      </c>
      <c r="M661" s="25" t="s">
        <v>18</v>
      </c>
      <c r="N661" s="25" t="s">
        <v>367</v>
      </c>
      <c r="O661" s="25" t="s">
        <v>17</v>
      </c>
      <c r="P661" s="248" t="s">
        <v>18</v>
      </c>
      <c r="Q661" s="25" t="s">
        <v>367</v>
      </c>
      <c r="R661" s="25" t="s">
        <v>17</v>
      </c>
      <c r="S661" s="25" t="s">
        <v>18</v>
      </c>
    </row>
    <row r="662" spans="1:19" x14ac:dyDescent="0.3">
      <c r="A662" s="162">
        <v>5</v>
      </c>
      <c r="B662" s="232" t="s">
        <v>1109</v>
      </c>
      <c r="C662" s="232" t="s">
        <v>1110</v>
      </c>
      <c r="D662" s="419" t="s">
        <v>1111</v>
      </c>
      <c r="E662" s="162">
        <v>1</v>
      </c>
      <c r="F662" s="233" t="s">
        <v>1112</v>
      </c>
      <c r="G662" s="162" t="s">
        <v>1113</v>
      </c>
      <c r="H662" s="162">
        <f>I662+J662</f>
        <v>11</v>
      </c>
      <c r="I662" s="162">
        <v>10</v>
      </c>
      <c r="J662" s="162">
        <v>1</v>
      </c>
      <c r="K662" s="236">
        <v>17800</v>
      </c>
      <c r="L662" s="475">
        <v>0.19</v>
      </c>
      <c r="M662" s="479">
        <f>K662*J662</f>
        <v>17800</v>
      </c>
      <c r="N662" s="236">
        <f>K662*1.005</f>
        <v>17888.999999999996</v>
      </c>
      <c r="O662" s="475">
        <v>0.19</v>
      </c>
      <c r="P662" s="401">
        <f>N662*J662</f>
        <v>17888.999999999996</v>
      </c>
      <c r="Q662" s="403">
        <f>SUM(K662+N662)/2</f>
        <v>17844.5</v>
      </c>
      <c r="R662" s="475">
        <v>0.19</v>
      </c>
      <c r="S662" s="403">
        <f>Q662*J662</f>
        <v>17844.5</v>
      </c>
    </row>
    <row r="663" spans="1:19" ht="27.6" x14ac:dyDescent="0.3">
      <c r="A663" s="162">
        <v>5</v>
      </c>
      <c r="B663" s="232" t="s">
        <v>1114</v>
      </c>
      <c r="C663" s="232" t="s">
        <v>1110</v>
      </c>
      <c r="D663" s="419" t="s">
        <v>1111</v>
      </c>
      <c r="E663" s="162">
        <v>2</v>
      </c>
      <c r="F663" s="219" t="s">
        <v>1115</v>
      </c>
      <c r="G663" s="162" t="s">
        <v>1116</v>
      </c>
      <c r="H663" s="162">
        <f t="shared" ref="H663:H709" si="107">I663+J663</f>
        <v>11</v>
      </c>
      <c r="I663" s="162">
        <v>10</v>
      </c>
      <c r="J663" s="162">
        <v>1</v>
      </c>
      <c r="K663" s="236">
        <v>42000</v>
      </c>
      <c r="L663" s="475">
        <v>0.19</v>
      </c>
      <c r="M663" s="479">
        <f t="shared" ref="M663:M709" si="108">K663*J663</f>
        <v>42000</v>
      </c>
      <c r="N663" s="236">
        <f t="shared" ref="N663:N709" si="109">K663*1.005</f>
        <v>42209.999999999993</v>
      </c>
      <c r="O663" s="475">
        <v>0.19</v>
      </c>
      <c r="P663" s="401">
        <f t="shared" ref="P663:P709" si="110">N663*J663</f>
        <v>42209.999999999993</v>
      </c>
      <c r="Q663" s="403">
        <f t="shared" ref="Q663:Q709" si="111">SUM(K663+N663)/2</f>
        <v>42105</v>
      </c>
      <c r="R663" s="475">
        <v>0.19</v>
      </c>
      <c r="S663" s="403">
        <f t="shared" ref="S663:S709" si="112">Q663*J663</f>
        <v>42105</v>
      </c>
    </row>
    <row r="664" spans="1:19" x14ac:dyDescent="0.3">
      <c r="A664" s="162">
        <v>5</v>
      </c>
      <c r="B664" s="232" t="s">
        <v>1114</v>
      </c>
      <c r="C664" s="232" t="s">
        <v>1110</v>
      </c>
      <c r="D664" s="419" t="s">
        <v>1111</v>
      </c>
      <c r="E664" s="162">
        <v>3</v>
      </c>
      <c r="F664" s="219" t="s">
        <v>1117</v>
      </c>
      <c r="G664" s="162" t="s">
        <v>1116</v>
      </c>
      <c r="H664" s="162">
        <f t="shared" si="107"/>
        <v>11</v>
      </c>
      <c r="I664" s="162">
        <v>10</v>
      </c>
      <c r="J664" s="162">
        <v>1</v>
      </c>
      <c r="K664" s="236">
        <v>42000</v>
      </c>
      <c r="L664" s="475">
        <v>0.19</v>
      </c>
      <c r="M664" s="479">
        <f t="shared" si="108"/>
        <v>42000</v>
      </c>
      <c r="N664" s="236">
        <f t="shared" si="109"/>
        <v>42209.999999999993</v>
      </c>
      <c r="O664" s="475">
        <v>0.19</v>
      </c>
      <c r="P664" s="401">
        <f t="shared" si="110"/>
        <v>42209.999999999993</v>
      </c>
      <c r="Q664" s="403">
        <f t="shared" si="111"/>
        <v>42105</v>
      </c>
      <c r="R664" s="475">
        <v>0.19</v>
      </c>
      <c r="S664" s="403">
        <f t="shared" si="112"/>
        <v>42105</v>
      </c>
    </row>
    <row r="665" spans="1:19" x14ac:dyDescent="0.3">
      <c r="A665" s="162">
        <v>5</v>
      </c>
      <c r="B665" s="232" t="s">
        <v>1114</v>
      </c>
      <c r="C665" s="232" t="s">
        <v>1110</v>
      </c>
      <c r="D665" s="419" t="s">
        <v>1111</v>
      </c>
      <c r="E665" s="162">
        <v>4</v>
      </c>
      <c r="F665" s="219" t="s">
        <v>1118</v>
      </c>
      <c r="G665" s="162" t="s">
        <v>1116</v>
      </c>
      <c r="H665" s="162">
        <f t="shared" si="107"/>
        <v>11</v>
      </c>
      <c r="I665" s="162">
        <v>10</v>
      </c>
      <c r="J665" s="162">
        <v>1</v>
      </c>
      <c r="K665" s="236">
        <v>42000</v>
      </c>
      <c r="L665" s="475">
        <v>0.19</v>
      </c>
      <c r="M665" s="479">
        <f t="shared" si="108"/>
        <v>42000</v>
      </c>
      <c r="N665" s="236">
        <f t="shared" si="109"/>
        <v>42209.999999999993</v>
      </c>
      <c r="O665" s="475">
        <v>0.19</v>
      </c>
      <c r="P665" s="401">
        <f t="shared" si="110"/>
        <v>42209.999999999993</v>
      </c>
      <c r="Q665" s="403">
        <f t="shared" si="111"/>
        <v>42105</v>
      </c>
      <c r="R665" s="475">
        <v>0.19</v>
      </c>
      <c r="S665" s="403">
        <f t="shared" si="112"/>
        <v>42105</v>
      </c>
    </row>
    <row r="666" spans="1:19" ht="82.8" x14ac:dyDescent="0.3">
      <c r="A666" s="162">
        <v>5</v>
      </c>
      <c r="B666" s="232" t="s">
        <v>1119</v>
      </c>
      <c r="C666" s="232" t="s">
        <v>1110</v>
      </c>
      <c r="D666" s="232" t="s">
        <v>1120</v>
      </c>
      <c r="E666" s="162">
        <v>5</v>
      </c>
      <c r="F666" s="219" t="s">
        <v>1121</v>
      </c>
      <c r="G666" s="162" t="s">
        <v>1122</v>
      </c>
      <c r="H666" s="162">
        <f t="shared" si="107"/>
        <v>14</v>
      </c>
      <c r="I666" s="162">
        <v>10</v>
      </c>
      <c r="J666" s="162">
        <v>4</v>
      </c>
      <c r="K666" s="236">
        <v>15000</v>
      </c>
      <c r="L666" s="475">
        <v>0.19</v>
      </c>
      <c r="M666" s="479">
        <f t="shared" si="108"/>
        <v>60000</v>
      </c>
      <c r="N666" s="236">
        <f t="shared" si="109"/>
        <v>15074.999999999998</v>
      </c>
      <c r="O666" s="475">
        <v>0.19</v>
      </c>
      <c r="P666" s="401">
        <f t="shared" si="110"/>
        <v>60299.999999999993</v>
      </c>
      <c r="Q666" s="403">
        <f t="shared" si="111"/>
        <v>15037.5</v>
      </c>
      <c r="R666" s="475">
        <v>0.19</v>
      </c>
      <c r="S666" s="403">
        <f t="shared" si="112"/>
        <v>60150</v>
      </c>
    </row>
    <row r="667" spans="1:19" ht="41.4" x14ac:dyDescent="0.3">
      <c r="A667" s="162">
        <v>5</v>
      </c>
      <c r="B667" s="232" t="s">
        <v>1123</v>
      </c>
      <c r="C667" s="232" t="s">
        <v>1110</v>
      </c>
      <c r="D667" s="232" t="s">
        <v>1124</v>
      </c>
      <c r="E667" s="162">
        <v>6</v>
      </c>
      <c r="F667" s="480" t="s">
        <v>1125</v>
      </c>
      <c r="G667" s="162" t="s">
        <v>1126</v>
      </c>
      <c r="H667" s="162">
        <f t="shared" si="107"/>
        <v>14</v>
      </c>
      <c r="I667" s="162">
        <v>10</v>
      </c>
      <c r="J667" s="162">
        <v>4</v>
      </c>
      <c r="K667" s="236">
        <v>22000</v>
      </c>
      <c r="L667" s="475">
        <v>0.19</v>
      </c>
      <c r="M667" s="479">
        <f t="shared" si="108"/>
        <v>88000</v>
      </c>
      <c r="N667" s="236">
        <f t="shared" si="109"/>
        <v>22109.999999999996</v>
      </c>
      <c r="O667" s="475">
        <v>0.19</v>
      </c>
      <c r="P667" s="401">
        <f t="shared" si="110"/>
        <v>88439.999999999985</v>
      </c>
      <c r="Q667" s="403">
        <f t="shared" si="111"/>
        <v>22055</v>
      </c>
      <c r="R667" s="475">
        <v>0.19</v>
      </c>
      <c r="S667" s="403">
        <f t="shared" si="112"/>
        <v>88220</v>
      </c>
    </row>
    <row r="668" spans="1:19" ht="27.6" x14ac:dyDescent="0.3">
      <c r="A668" s="162">
        <v>5</v>
      </c>
      <c r="B668" s="232" t="s">
        <v>1127</v>
      </c>
      <c r="C668" s="232" t="s">
        <v>1128</v>
      </c>
      <c r="D668" s="232" t="s">
        <v>1129</v>
      </c>
      <c r="E668" s="162">
        <v>7</v>
      </c>
      <c r="F668" s="219" t="s">
        <v>1130</v>
      </c>
      <c r="G668" s="162" t="s">
        <v>1131</v>
      </c>
      <c r="H668" s="162">
        <f t="shared" si="107"/>
        <v>14</v>
      </c>
      <c r="I668" s="162">
        <v>10</v>
      </c>
      <c r="J668" s="162">
        <v>4</v>
      </c>
      <c r="K668" s="236">
        <v>39000</v>
      </c>
      <c r="L668" s="475">
        <v>0.19</v>
      </c>
      <c r="M668" s="479">
        <f t="shared" si="108"/>
        <v>156000</v>
      </c>
      <c r="N668" s="236">
        <f t="shared" si="109"/>
        <v>39194.999999999993</v>
      </c>
      <c r="O668" s="475">
        <v>0.19</v>
      </c>
      <c r="P668" s="401">
        <f t="shared" si="110"/>
        <v>156779.99999999997</v>
      </c>
      <c r="Q668" s="403">
        <f t="shared" si="111"/>
        <v>39097.5</v>
      </c>
      <c r="R668" s="475">
        <v>0.19</v>
      </c>
      <c r="S668" s="403">
        <f t="shared" si="112"/>
        <v>156390</v>
      </c>
    </row>
    <row r="669" spans="1:19" ht="27.6" x14ac:dyDescent="0.3">
      <c r="A669" s="162">
        <v>5</v>
      </c>
      <c r="B669" s="232" t="s">
        <v>1132</v>
      </c>
      <c r="C669" s="232" t="s">
        <v>1110</v>
      </c>
      <c r="D669" s="232" t="s">
        <v>1133</v>
      </c>
      <c r="E669" s="162">
        <v>8</v>
      </c>
      <c r="F669" s="219" t="s">
        <v>1134</v>
      </c>
      <c r="G669" s="162" t="s">
        <v>920</v>
      </c>
      <c r="H669" s="162">
        <f t="shared" si="107"/>
        <v>16</v>
      </c>
      <c r="I669" s="162">
        <v>10</v>
      </c>
      <c r="J669" s="162">
        <v>6</v>
      </c>
      <c r="K669" s="236">
        <v>16000</v>
      </c>
      <c r="L669" s="475">
        <v>0.19</v>
      </c>
      <c r="M669" s="479">
        <f t="shared" si="108"/>
        <v>96000</v>
      </c>
      <c r="N669" s="236">
        <f t="shared" si="109"/>
        <v>16079.999999999998</v>
      </c>
      <c r="O669" s="475">
        <v>0.19</v>
      </c>
      <c r="P669" s="401">
        <f t="shared" si="110"/>
        <v>96479.999999999985</v>
      </c>
      <c r="Q669" s="403">
        <f t="shared" si="111"/>
        <v>16040</v>
      </c>
      <c r="R669" s="475">
        <v>0.19</v>
      </c>
      <c r="S669" s="403">
        <f t="shared" si="112"/>
        <v>96240</v>
      </c>
    </row>
    <row r="670" spans="1:19" ht="27.6" x14ac:dyDescent="0.3">
      <c r="A670" s="162">
        <v>5</v>
      </c>
      <c r="B670" s="232" t="s">
        <v>1132</v>
      </c>
      <c r="C670" s="232" t="s">
        <v>1110</v>
      </c>
      <c r="D670" s="232" t="s">
        <v>1133</v>
      </c>
      <c r="E670" s="162">
        <v>9</v>
      </c>
      <c r="F670" s="219" t="s">
        <v>1135</v>
      </c>
      <c r="G670" s="162" t="s">
        <v>920</v>
      </c>
      <c r="H670" s="162">
        <f t="shared" si="107"/>
        <v>16</v>
      </c>
      <c r="I670" s="162">
        <v>10</v>
      </c>
      <c r="J670" s="162">
        <v>6</v>
      </c>
      <c r="K670" s="236">
        <v>18000</v>
      </c>
      <c r="L670" s="475">
        <v>0.19</v>
      </c>
      <c r="M670" s="479">
        <f t="shared" si="108"/>
        <v>108000</v>
      </c>
      <c r="N670" s="236">
        <f t="shared" si="109"/>
        <v>18089.999999999996</v>
      </c>
      <c r="O670" s="475">
        <v>0.19</v>
      </c>
      <c r="P670" s="401">
        <f t="shared" si="110"/>
        <v>108539.99999999997</v>
      </c>
      <c r="Q670" s="403">
        <f t="shared" si="111"/>
        <v>18045</v>
      </c>
      <c r="R670" s="475">
        <v>0.19</v>
      </c>
      <c r="S670" s="403">
        <f t="shared" si="112"/>
        <v>108270</v>
      </c>
    </row>
    <row r="671" spans="1:19" ht="27.6" x14ac:dyDescent="0.3">
      <c r="A671" s="162">
        <v>5</v>
      </c>
      <c r="B671" s="232" t="s">
        <v>1136</v>
      </c>
      <c r="C671" s="232" t="s">
        <v>1110</v>
      </c>
      <c r="D671" s="232" t="s">
        <v>1137</v>
      </c>
      <c r="E671" s="162">
        <v>10</v>
      </c>
      <c r="F671" s="219" t="s">
        <v>1138</v>
      </c>
      <c r="G671" s="162" t="s">
        <v>1139</v>
      </c>
      <c r="H671" s="162">
        <f t="shared" si="107"/>
        <v>13</v>
      </c>
      <c r="I671" s="162">
        <v>10</v>
      </c>
      <c r="J671" s="162">
        <v>3</v>
      </c>
      <c r="K671" s="236">
        <v>48300</v>
      </c>
      <c r="L671" s="475">
        <v>0.19</v>
      </c>
      <c r="M671" s="479">
        <f t="shared" si="108"/>
        <v>144900</v>
      </c>
      <c r="N671" s="236">
        <f t="shared" si="109"/>
        <v>48541.499999999993</v>
      </c>
      <c r="O671" s="475">
        <v>0.19</v>
      </c>
      <c r="P671" s="401">
        <f t="shared" si="110"/>
        <v>145624.49999999997</v>
      </c>
      <c r="Q671" s="403">
        <f t="shared" si="111"/>
        <v>48420.75</v>
      </c>
      <c r="R671" s="475">
        <v>0.19</v>
      </c>
      <c r="S671" s="403">
        <f t="shared" si="112"/>
        <v>145262.25</v>
      </c>
    </row>
    <row r="672" spans="1:19" ht="41.4" x14ac:dyDescent="0.3">
      <c r="A672" s="162">
        <v>5</v>
      </c>
      <c r="B672" s="234" t="s">
        <v>1140</v>
      </c>
      <c r="C672" s="234" t="s">
        <v>1110</v>
      </c>
      <c r="D672" s="234" t="s">
        <v>1141</v>
      </c>
      <c r="E672" s="162">
        <v>11</v>
      </c>
      <c r="F672" s="219" t="s">
        <v>1142</v>
      </c>
      <c r="G672" s="162" t="s">
        <v>920</v>
      </c>
      <c r="H672" s="162">
        <f t="shared" si="107"/>
        <v>11</v>
      </c>
      <c r="I672" s="162">
        <v>10</v>
      </c>
      <c r="J672" s="162">
        <v>1</v>
      </c>
      <c r="K672" s="236">
        <v>35000</v>
      </c>
      <c r="L672" s="475">
        <v>0.19</v>
      </c>
      <c r="M672" s="479">
        <f t="shared" si="108"/>
        <v>35000</v>
      </c>
      <c r="N672" s="236">
        <f t="shared" si="109"/>
        <v>35174.999999999993</v>
      </c>
      <c r="O672" s="475">
        <v>0.19</v>
      </c>
      <c r="P672" s="401">
        <f t="shared" si="110"/>
        <v>35174.999999999993</v>
      </c>
      <c r="Q672" s="403">
        <f t="shared" si="111"/>
        <v>35087.5</v>
      </c>
      <c r="R672" s="475">
        <v>0.19</v>
      </c>
      <c r="S672" s="403">
        <f t="shared" si="112"/>
        <v>35087.5</v>
      </c>
    </row>
    <row r="673" spans="1:19" ht="27.6" x14ac:dyDescent="0.3">
      <c r="A673" s="162">
        <v>5</v>
      </c>
      <c r="B673" s="232" t="s">
        <v>1143</v>
      </c>
      <c r="C673" s="232" t="s">
        <v>1128</v>
      </c>
      <c r="D673" s="232" t="s">
        <v>1144</v>
      </c>
      <c r="E673" s="162">
        <v>12</v>
      </c>
      <c r="F673" s="219" t="s">
        <v>1145</v>
      </c>
      <c r="G673" s="162" t="s">
        <v>71</v>
      </c>
      <c r="H673" s="162">
        <f t="shared" si="107"/>
        <v>15</v>
      </c>
      <c r="I673" s="162">
        <v>10</v>
      </c>
      <c r="J673" s="162">
        <v>5</v>
      </c>
      <c r="K673" s="236">
        <v>6500</v>
      </c>
      <c r="L673" s="475">
        <v>0.19</v>
      </c>
      <c r="M673" s="479">
        <f t="shared" si="108"/>
        <v>32500</v>
      </c>
      <c r="N673" s="236">
        <f t="shared" si="109"/>
        <v>6532.4999999999991</v>
      </c>
      <c r="O673" s="475">
        <v>0.19</v>
      </c>
      <c r="P673" s="401">
        <f t="shared" si="110"/>
        <v>32662.499999999996</v>
      </c>
      <c r="Q673" s="403">
        <f t="shared" si="111"/>
        <v>6516.25</v>
      </c>
      <c r="R673" s="475">
        <v>0.19</v>
      </c>
      <c r="S673" s="403">
        <f t="shared" si="112"/>
        <v>32581.25</v>
      </c>
    </row>
    <row r="674" spans="1:19" ht="27.6" x14ac:dyDescent="0.3">
      <c r="A674" s="162">
        <v>5</v>
      </c>
      <c r="B674" s="232" t="s">
        <v>1146</v>
      </c>
      <c r="C674" s="232" t="s">
        <v>1147</v>
      </c>
      <c r="D674" s="232" t="s">
        <v>1148</v>
      </c>
      <c r="E674" s="162">
        <v>13</v>
      </c>
      <c r="F674" s="219" t="s">
        <v>1149</v>
      </c>
      <c r="G674" s="162" t="s">
        <v>1150</v>
      </c>
      <c r="H674" s="162">
        <f t="shared" si="107"/>
        <v>15</v>
      </c>
      <c r="I674" s="162">
        <v>10</v>
      </c>
      <c r="J674" s="162">
        <v>5</v>
      </c>
      <c r="K674" s="236">
        <v>14000</v>
      </c>
      <c r="L674" s="475">
        <v>0.19</v>
      </c>
      <c r="M674" s="479">
        <f t="shared" si="108"/>
        <v>70000</v>
      </c>
      <c r="N674" s="236">
        <f t="shared" si="109"/>
        <v>14069.999999999998</v>
      </c>
      <c r="O674" s="475">
        <v>0.19</v>
      </c>
      <c r="P674" s="401">
        <f t="shared" si="110"/>
        <v>70349.999999999985</v>
      </c>
      <c r="Q674" s="403">
        <f t="shared" si="111"/>
        <v>14035</v>
      </c>
      <c r="R674" s="475">
        <v>0.19</v>
      </c>
      <c r="S674" s="403">
        <f t="shared" si="112"/>
        <v>70175</v>
      </c>
    </row>
    <row r="675" spans="1:19" ht="110.4" x14ac:dyDescent="0.3">
      <c r="A675" s="162">
        <v>5</v>
      </c>
      <c r="B675" s="232" t="s">
        <v>1119</v>
      </c>
      <c r="C675" s="232" t="s">
        <v>1110</v>
      </c>
      <c r="D675" s="232" t="s">
        <v>1151</v>
      </c>
      <c r="E675" s="162">
        <v>14</v>
      </c>
      <c r="F675" s="219" t="s">
        <v>1152</v>
      </c>
      <c r="G675" s="162" t="s">
        <v>1153</v>
      </c>
      <c r="H675" s="162">
        <f t="shared" si="107"/>
        <v>16</v>
      </c>
      <c r="I675" s="162">
        <v>10</v>
      </c>
      <c r="J675" s="162">
        <v>6</v>
      </c>
      <c r="K675" s="236">
        <v>12000</v>
      </c>
      <c r="L675" s="475">
        <v>0.19</v>
      </c>
      <c r="M675" s="479">
        <f t="shared" si="108"/>
        <v>72000</v>
      </c>
      <c r="N675" s="236">
        <f t="shared" si="109"/>
        <v>12059.999999999998</v>
      </c>
      <c r="O675" s="475">
        <v>0.19</v>
      </c>
      <c r="P675" s="401">
        <f t="shared" si="110"/>
        <v>72359.999999999985</v>
      </c>
      <c r="Q675" s="403">
        <f t="shared" si="111"/>
        <v>12030</v>
      </c>
      <c r="R675" s="475">
        <v>0.19</v>
      </c>
      <c r="S675" s="403">
        <f t="shared" si="112"/>
        <v>72180</v>
      </c>
    </row>
    <row r="676" spans="1:19" ht="41.4" x14ac:dyDescent="0.3">
      <c r="A676" s="162">
        <v>5</v>
      </c>
      <c r="B676" s="232" t="s">
        <v>1154</v>
      </c>
      <c r="C676" s="232" t="s">
        <v>1110</v>
      </c>
      <c r="D676" s="232" t="s">
        <v>1155</v>
      </c>
      <c r="E676" s="162">
        <v>15</v>
      </c>
      <c r="F676" s="418" t="s">
        <v>1156</v>
      </c>
      <c r="G676" s="162" t="s">
        <v>1157</v>
      </c>
      <c r="H676" s="162">
        <f t="shared" si="107"/>
        <v>14</v>
      </c>
      <c r="I676" s="162">
        <v>10</v>
      </c>
      <c r="J676" s="162">
        <v>4</v>
      </c>
      <c r="K676" s="236">
        <v>20000</v>
      </c>
      <c r="L676" s="475">
        <v>0.19</v>
      </c>
      <c r="M676" s="479">
        <f t="shared" si="108"/>
        <v>80000</v>
      </c>
      <c r="N676" s="236">
        <f t="shared" si="109"/>
        <v>20099.999999999996</v>
      </c>
      <c r="O676" s="475">
        <v>0.19</v>
      </c>
      <c r="P676" s="401">
        <f t="shared" si="110"/>
        <v>80399.999999999985</v>
      </c>
      <c r="Q676" s="403">
        <f t="shared" si="111"/>
        <v>20050</v>
      </c>
      <c r="R676" s="475">
        <v>0.19</v>
      </c>
      <c r="S676" s="403">
        <f t="shared" si="112"/>
        <v>80200</v>
      </c>
    </row>
    <row r="677" spans="1:19" ht="27.6" x14ac:dyDescent="0.3">
      <c r="A677" s="162">
        <v>5</v>
      </c>
      <c r="B677" s="232" t="s">
        <v>1158</v>
      </c>
      <c r="C677" s="232" t="s">
        <v>1110</v>
      </c>
      <c r="D677" s="232" t="s">
        <v>1155</v>
      </c>
      <c r="E677" s="162">
        <v>16</v>
      </c>
      <c r="F677" s="219" t="s">
        <v>1159</v>
      </c>
      <c r="G677" s="162" t="s">
        <v>1160</v>
      </c>
      <c r="H677" s="162">
        <f t="shared" si="107"/>
        <v>13</v>
      </c>
      <c r="I677" s="162">
        <v>10</v>
      </c>
      <c r="J677" s="162">
        <v>3</v>
      </c>
      <c r="K677" s="236">
        <v>48000</v>
      </c>
      <c r="L677" s="475">
        <v>0.19</v>
      </c>
      <c r="M677" s="479">
        <f t="shared" si="108"/>
        <v>144000</v>
      </c>
      <c r="N677" s="236">
        <f t="shared" si="109"/>
        <v>48239.999999999993</v>
      </c>
      <c r="O677" s="475">
        <v>0.19</v>
      </c>
      <c r="P677" s="401">
        <f t="shared" si="110"/>
        <v>144719.99999999997</v>
      </c>
      <c r="Q677" s="403">
        <f t="shared" si="111"/>
        <v>48120</v>
      </c>
      <c r="R677" s="475">
        <v>0.19</v>
      </c>
      <c r="S677" s="403">
        <f t="shared" si="112"/>
        <v>144360</v>
      </c>
    </row>
    <row r="678" spans="1:19" ht="27.6" x14ac:dyDescent="0.3">
      <c r="A678" s="162">
        <v>5</v>
      </c>
      <c r="B678" s="232" t="s">
        <v>1161</v>
      </c>
      <c r="C678" s="232" t="s">
        <v>1110</v>
      </c>
      <c r="D678" s="232" t="s">
        <v>1155</v>
      </c>
      <c r="E678" s="162">
        <v>17</v>
      </c>
      <c r="F678" s="219" t="s">
        <v>1162</v>
      </c>
      <c r="G678" s="162" t="s">
        <v>1163</v>
      </c>
      <c r="H678" s="162">
        <f t="shared" si="107"/>
        <v>12</v>
      </c>
      <c r="I678" s="162">
        <v>10</v>
      </c>
      <c r="J678" s="162">
        <v>2</v>
      </c>
      <c r="K678" s="236">
        <v>21000</v>
      </c>
      <c r="L678" s="475">
        <v>0.19</v>
      </c>
      <c r="M678" s="479">
        <f t="shared" si="108"/>
        <v>42000</v>
      </c>
      <c r="N678" s="236">
        <f t="shared" si="109"/>
        <v>21104.999999999996</v>
      </c>
      <c r="O678" s="475">
        <v>0.19</v>
      </c>
      <c r="P678" s="401">
        <f t="shared" si="110"/>
        <v>42209.999999999993</v>
      </c>
      <c r="Q678" s="403">
        <f t="shared" si="111"/>
        <v>21052.5</v>
      </c>
      <c r="R678" s="475">
        <v>0.19</v>
      </c>
      <c r="S678" s="403">
        <f t="shared" si="112"/>
        <v>42105</v>
      </c>
    </row>
    <row r="679" spans="1:19" ht="27.6" x14ac:dyDescent="0.3">
      <c r="A679" s="162">
        <v>5</v>
      </c>
      <c r="B679" s="232" t="s">
        <v>1161</v>
      </c>
      <c r="C679" s="232" t="s">
        <v>1110</v>
      </c>
      <c r="D679" s="232" t="s">
        <v>1155</v>
      </c>
      <c r="E679" s="162">
        <v>18</v>
      </c>
      <c r="F679" s="219" t="s">
        <v>1164</v>
      </c>
      <c r="G679" s="162" t="s">
        <v>1163</v>
      </c>
      <c r="H679" s="162">
        <f t="shared" si="107"/>
        <v>12</v>
      </c>
      <c r="I679" s="162">
        <v>10</v>
      </c>
      <c r="J679" s="162">
        <v>2</v>
      </c>
      <c r="K679" s="236">
        <v>21000</v>
      </c>
      <c r="L679" s="475">
        <v>0.19</v>
      </c>
      <c r="M679" s="479">
        <f t="shared" si="108"/>
        <v>42000</v>
      </c>
      <c r="N679" s="236">
        <f t="shared" si="109"/>
        <v>21104.999999999996</v>
      </c>
      <c r="O679" s="475">
        <v>0.19</v>
      </c>
      <c r="P679" s="401">
        <f t="shared" si="110"/>
        <v>42209.999999999993</v>
      </c>
      <c r="Q679" s="403">
        <f t="shared" si="111"/>
        <v>21052.5</v>
      </c>
      <c r="R679" s="475">
        <v>0.19</v>
      </c>
      <c r="S679" s="403">
        <f t="shared" si="112"/>
        <v>42105</v>
      </c>
    </row>
    <row r="680" spans="1:19" ht="27.6" x14ac:dyDescent="0.3">
      <c r="A680" s="162">
        <v>5</v>
      </c>
      <c r="B680" s="232" t="s">
        <v>1161</v>
      </c>
      <c r="C680" s="232" t="s">
        <v>1110</v>
      </c>
      <c r="D680" s="232" t="s">
        <v>1155</v>
      </c>
      <c r="E680" s="162">
        <v>19</v>
      </c>
      <c r="F680" s="219" t="s">
        <v>1165</v>
      </c>
      <c r="G680" s="162" t="s">
        <v>1163</v>
      </c>
      <c r="H680" s="162">
        <f t="shared" si="107"/>
        <v>12</v>
      </c>
      <c r="I680" s="162">
        <v>10</v>
      </c>
      <c r="J680" s="162">
        <v>2</v>
      </c>
      <c r="K680" s="236">
        <v>21000</v>
      </c>
      <c r="L680" s="475">
        <v>0.19</v>
      </c>
      <c r="M680" s="479">
        <f t="shared" si="108"/>
        <v>42000</v>
      </c>
      <c r="N680" s="236">
        <f t="shared" si="109"/>
        <v>21104.999999999996</v>
      </c>
      <c r="O680" s="475">
        <v>0.19</v>
      </c>
      <c r="P680" s="401">
        <f t="shared" si="110"/>
        <v>42209.999999999993</v>
      </c>
      <c r="Q680" s="403">
        <f t="shared" si="111"/>
        <v>21052.5</v>
      </c>
      <c r="R680" s="475">
        <v>0.19</v>
      </c>
      <c r="S680" s="403">
        <f t="shared" si="112"/>
        <v>42105</v>
      </c>
    </row>
    <row r="681" spans="1:19" ht="27.6" x14ac:dyDescent="0.3">
      <c r="A681" s="162">
        <v>5</v>
      </c>
      <c r="B681" s="232" t="s">
        <v>1161</v>
      </c>
      <c r="C681" s="232" t="s">
        <v>1110</v>
      </c>
      <c r="D681" s="232" t="s">
        <v>1155</v>
      </c>
      <c r="E681" s="162">
        <v>20</v>
      </c>
      <c r="F681" s="219" t="s">
        <v>1166</v>
      </c>
      <c r="G681" s="162" t="s">
        <v>1163</v>
      </c>
      <c r="H681" s="162">
        <f t="shared" si="107"/>
        <v>12</v>
      </c>
      <c r="I681" s="162">
        <v>10</v>
      </c>
      <c r="J681" s="162">
        <v>2</v>
      </c>
      <c r="K681" s="236">
        <v>21000</v>
      </c>
      <c r="L681" s="475">
        <v>0.19</v>
      </c>
      <c r="M681" s="479">
        <f t="shared" si="108"/>
        <v>42000</v>
      </c>
      <c r="N681" s="236">
        <f t="shared" si="109"/>
        <v>21104.999999999996</v>
      </c>
      <c r="O681" s="475">
        <v>0.19</v>
      </c>
      <c r="P681" s="401">
        <f t="shared" si="110"/>
        <v>42209.999999999993</v>
      </c>
      <c r="Q681" s="403">
        <f t="shared" si="111"/>
        <v>21052.5</v>
      </c>
      <c r="R681" s="475">
        <v>0.19</v>
      </c>
      <c r="S681" s="403">
        <f t="shared" si="112"/>
        <v>42105</v>
      </c>
    </row>
    <row r="682" spans="1:19" ht="41.4" x14ac:dyDescent="0.3">
      <c r="A682" s="162">
        <v>5</v>
      </c>
      <c r="B682" s="232" t="s">
        <v>1154</v>
      </c>
      <c r="C682" s="232" t="s">
        <v>1110</v>
      </c>
      <c r="D682" s="232" t="s">
        <v>1155</v>
      </c>
      <c r="E682" s="162">
        <v>21</v>
      </c>
      <c r="F682" s="219" t="s">
        <v>1167</v>
      </c>
      <c r="G682" s="162" t="s">
        <v>1168</v>
      </c>
      <c r="H682" s="162">
        <f t="shared" si="107"/>
        <v>16</v>
      </c>
      <c r="I682" s="162">
        <v>10</v>
      </c>
      <c r="J682" s="162">
        <v>6</v>
      </c>
      <c r="K682" s="236">
        <v>21500</v>
      </c>
      <c r="L682" s="475">
        <v>0.19</v>
      </c>
      <c r="M682" s="479">
        <f t="shared" si="108"/>
        <v>129000</v>
      </c>
      <c r="N682" s="236">
        <f t="shared" si="109"/>
        <v>21607.499999999996</v>
      </c>
      <c r="O682" s="475">
        <v>0.19</v>
      </c>
      <c r="P682" s="401">
        <f t="shared" si="110"/>
        <v>129644.99999999997</v>
      </c>
      <c r="Q682" s="403">
        <f t="shared" si="111"/>
        <v>21553.75</v>
      </c>
      <c r="R682" s="475">
        <v>0.19</v>
      </c>
      <c r="S682" s="403">
        <f t="shared" si="112"/>
        <v>129322.5</v>
      </c>
    </row>
    <row r="683" spans="1:19" ht="69" x14ac:dyDescent="0.3">
      <c r="A683" s="162">
        <v>5</v>
      </c>
      <c r="B683" s="232" t="s">
        <v>1158</v>
      </c>
      <c r="C683" s="232" t="s">
        <v>1110</v>
      </c>
      <c r="D683" s="232" t="s">
        <v>1155</v>
      </c>
      <c r="E683" s="162">
        <v>22</v>
      </c>
      <c r="F683" s="219" t="s">
        <v>1169</v>
      </c>
      <c r="G683" s="162" t="s">
        <v>1170</v>
      </c>
      <c r="H683" s="162">
        <f t="shared" si="107"/>
        <v>14</v>
      </c>
      <c r="I683" s="162">
        <v>10</v>
      </c>
      <c r="J683" s="162">
        <v>4</v>
      </c>
      <c r="K683" s="236">
        <v>22500</v>
      </c>
      <c r="L683" s="475">
        <v>0.19</v>
      </c>
      <c r="M683" s="479">
        <f t="shared" si="108"/>
        <v>90000</v>
      </c>
      <c r="N683" s="236">
        <f t="shared" si="109"/>
        <v>22612.499999999996</v>
      </c>
      <c r="O683" s="475">
        <v>0.19</v>
      </c>
      <c r="P683" s="401">
        <f t="shared" si="110"/>
        <v>90449.999999999985</v>
      </c>
      <c r="Q683" s="403">
        <f t="shared" si="111"/>
        <v>22556.25</v>
      </c>
      <c r="R683" s="475">
        <v>0.19</v>
      </c>
      <c r="S683" s="403">
        <f t="shared" si="112"/>
        <v>90225</v>
      </c>
    </row>
    <row r="684" spans="1:19" ht="41.4" x14ac:dyDescent="0.3">
      <c r="A684" s="162">
        <v>5</v>
      </c>
      <c r="B684" s="232" t="s">
        <v>1171</v>
      </c>
      <c r="C684" s="232" t="s">
        <v>1110</v>
      </c>
      <c r="D684" s="232" t="s">
        <v>1155</v>
      </c>
      <c r="E684" s="162">
        <v>23</v>
      </c>
      <c r="F684" s="219" t="s">
        <v>1172</v>
      </c>
      <c r="G684" s="162" t="s">
        <v>1173</v>
      </c>
      <c r="H684" s="162">
        <f t="shared" si="107"/>
        <v>14</v>
      </c>
      <c r="I684" s="162">
        <v>10</v>
      </c>
      <c r="J684" s="162">
        <v>4</v>
      </c>
      <c r="K684" s="236">
        <v>135000</v>
      </c>
      <c r="L684" s="475">
        <v>0.19</v>
      </c>
      <c r="M684" s="479">
        <f t="shared" si="108"/>
        <v>540000</v>
      </c>
      <c r="N684" s="236">
        <f t="shared" si="109"/>
        <v>135675</v>
      </c>
      <c r="O684" s="475">
        <v>0.19</v>
      </c>
      <c r="P684" s="401">
        <f t="shared" si="110"/>
        <v>542700</v>
      </c>
      <c r="Q684" s="403">
        <f t="shared" si="111"/>
        <v>135337.5</v>
      </c>
      <c r="R684" s="475">
        <v>0.19</v>
      </c>
      <c r="S684" s="403">
        <f t="shared" si="112"/>
        <v>541350</v>
      </c>
    </row>
    <row r="685" spans="1:19" ht="27.6" x14ac:dyDescent="0.3">
      <c r="A685" s="162">
        <v>5</v>
      </c>
      <c r="B685" s="232" t="s">
        <v>1171</v>
      </c>
      <c r="C685" s="232" t="s">
        <v>1110</v>
      </c>
      <c r="D685" s="232" t="s">
        <v>1155</v>
      </c>
      <c r="E685" s="162">
        <v>24</v>
      </c>
      <c r="F685" s="219" t="s">
        <v>1174</v>
      </c>
      <c r="G685" s="162" t="s">
        <v>1175</v>
      </c>
      <c r="H685" s="162">
        <f t="shared" si="107"/>
        <v>14</v>
      </c>
      <c r="I685" s="162">
        <v>10</v>
      </c>
      <c r="J685" s="162">
        <v>4</v>
      </c>
      <c r="K685" s="236">
        <v>18000</v>
      </c>
      <c r="L685" s="475">
        <v>0.19</v>
      </c>
      <c r="M685" s="479">
        <f t="shared" si="108"/>
        <v>72000</v>
      </c>
      <c r="N685" s="236">
        <f t="shared" si="109"/>
        <v>18089.999999999996</v>
      </c>
      <c r="O685" s="475">
        <v>0.19</v>
      </c>
      <c r="P685" s="401">
        <f t="shared" si="110"/>
        <v>72359.999999999985</v>
      </c>
      <c r="Q685" s="403">
        <f t="shared" si="111"/>
        <v>18045</v>
      </c>
      <c r="R685" s="475">
        <v>0.19</v>
      </c>
      <c r="S685" s="403">
        <f t="shared" si="112"/>
        <v>72180</v>
      </c>
    </row>
    <row r="686" spans="1:19" ht="27.6" x14ac:dyDescent="0.3">
      <c r="A686" s="162">
        <v>5</v>
      </c>
      <c r="B686" s="232" t="s">
        <v>1176</v>
      </c>
      <c r="C686" s="232" t="s">
        <v>1110</v>
      </c>
      <c r="D686" s="232" t="s">
        <v>1155</v>
      </c>
      <c r="E686" s="162">
        <v>25</v>
      </c>
      <c r="F686" s="219" t="s">
        <v>1177</v>
      </c>
      <c r="G686" s="162" t="s">
        <v>920</v>
      </c>
      <c r="H686" s="162">
        <f t="shared" si="107"/>
        <v>14</v>
      </c>
      <c r="I686" s="162">
        <v>10</v>
      </c>
      <c r="J686" s="162">
        <v>4</v>
      </c>
      <c r="K686" s="236">
        <v>12000</v>
      </c>
      <c r="L686" s="475">
        <v>0.19</v>
      </c>
      <c r="M686" s="479">
        <f t="shared" si="108"/>
        <v>48000</v>
      </c>
      <c r="N686" s="236">
        <f t="shared" si="109"/>
        <v>12059.999999999998</v>
      </c>
      <c r="O686" s="475">
        <v>0.19</v>
      </c>
      <c r="P686" s="401">
        <f t="shared" si="110"/>
        <v>48239.999999999993</v>
      </c>
      <c r="Q686" s="403">
        <f t="shared" si="111"/>
        <v>12030</v>
      </c>
      <c r="R686" s="475">
        <v>0.19</v>
      </c>
      <c r="S686" s="403">
        <f t="shared" si="112"/>
        <v>48120</v>
      </c>
    </row>
    <row r="687" spans="1:19" ht="27.6" x14ac:dyDescent="0.3">
      <c r="A687" s="162">
        <v>5</v>
      </c>
      <c r="B687" s="232" t="s">
        <v>1178</v>
      </c>
      <c r="C687" s="232" t="s">
        <v>1110</v>
      </c>
      <c r="D687" s="232" t="s">
        <v>1155</v>
      </c>
      <c r="E687" s="162">
        <v>26</v>
      </c>
      <c r="F687" s="219" t="s">
        <v>1179</v>
      </c>
      <c r="G687" s="162" t="s">
        <v>1180</v>
      </c>
      <c r="H687" s="162">
        <f t="shared" si="107"/>
        <v>11</v>
      </c>
      <c r="I687" s="162">
        <v>10</v>
      </c>
      <c r="J687" s="162">
        <v>1</v>
      </c>
      <c r="K687" s="236">
        <v>246500</v>
      </c>
      <c r="L687" s="475">
        <v>0.19</v>
      </c>
      <c r="M687" s="479">
        <f t="shared" si="108"/>
        <v>246500</v>
      </c>
      <c r="N687" s="236">
        <f t="shared" si="109"/>
        <v>247732.49999999997</v>
      </c>
      <c r="O687" s="475">
        <v>0.19</v>
      </c>
      <c r="P687" s="401">
        <f t="shared" si="110"/>
        <v>247732.49999999997</v>
      </c>
      <c r="Q687" s="403">
        <f t="shared" si="111"/>
        <v>247116.25</v>
      </c>
      <c r="R687" s="475">
        <v>0.19</v>
      </c>
      <c r="S687" s="403">
        <f t="shared" si="112"/>
        <v>247116.25</v>
      </c>
    </row>
    <row r="688" spans="1:19" ht="41.4" x14ac:dyDescent="0.3">
      <c r="A688" s="162">
        <v>5</v>
      </c>
      <c r="B688" s="232" t="s">
        <v>1178</v>
      </c>
      <c r="C688" s="232" t="s">
        <v>1110</v>
      </c>
      <c r="D688" s="232" t="s">
        <v>1155</v>
      </c>
      <c r="E688" s="162">
        <v>27</v>
      </c>
      <c r="F688" s="219" t="s">
        <v>1181</v>
      </c>
      <c r="G688" s="162" t="s">
        <v>1182</v>
      </c>
      <c r="H688" s="162">
        <f t="shared" si="107"/>
        <v>16</v>
      </c>
      <c r="I688" s="162">
        <v>10</v>
      </c>
      <c r="J688" s="162">
        <v>6</v>
      </c>
      <c r="K688" s="236">
        <v>16000</v>
      </c>
      <c r="L688" s="475">
        <v>0.19</v>
      </c>
      <c r="M688" s="479">
        <f t="shared" si="108"/>
        <v>96000</v>
      </c>
      <c r="N688" s="236">
        <f t="shared" si="109"/>
        <v>16079.999999999998</v>
      </c>
      <c r="O688" s="475">
        <v>0.19</v>
      </c>
      <c r="P688" s="401">
        <f t="shared" si="110"/>
        <v>96479.999999999985</v>
      </c>
      <c r="Q688" s="403">
        <f t="shared" si="111"/>
        <v>16040</v>
      </c>
      <c r="R688" s="475">
        <v>0.19</v>
      </c>
      <c r="S688" s="403">
        <f t="shared" si="112"/>
        <v>96240</v>
      </c>
    </row>
    <row r="689" spans="1:19" ht="27.6" x14ac:dyDescent="0.3">
      <c r="A689" s="162">
        <v>5</v>
      </c>
      <c r="B689" s="481" t="s">
        <v>1183</v>
      </c>
      <c r="C689" s="481" t="s">
        <v>1110</v>
      </c>
      <c r="D689" s="481" t="s">
        <v>1184</v>
      </c>
      <c r="E689" s="162">
        <v>28</v>
      </c>
      <c r="F689" s="219" t="s">
        <v>1185</v>
      </c>
      <c r="G689" s="162" t="s">
        <v>920</v>
      </c>
      <c r="H689" s="162">
        <f t="shared" si="107"/>
        <v>11</v>
      </c>
      <c r="I689" s="162">
        <v>10</v>
      </c>
      <c r="J689" s="162">
        <v>1</v>
      </c>
      <c r="K689" s="236">
        <v>42000</v>
      </c>
      <c r="L689" s="475">
        <v>0.19</v>
      </c>
      <c r="M689" s="479">
        <f t="shared" si="108"/>
        <v>42000</v>
      </c>
      <c r="N689" s="236">
        <f t="shared" si="109"/>
        <v>42209.999999999993</v>
      </c>
      <c r="O689" s="475">
        <v>0.19</v>
      </c>
      <c r="P689" s="401">
        <f t="shared" si="110"/>
        <v>42209.999999999993</v>
      </c>
      <c r="Q689" s="403">
        <f t="shared" si="111"/>
        <v>42105</v>
      </c>
      <c r="R689" s="475">
        <v>0.19</v>
      </c>
      <c r="S689" s="403">
        <f t="shared" si="112"/>
        <v>42105</v>
      </c>
    </row>
    <row r="690" spans="1:19" ht="55.2" x14ac:dyDescent="0.3">
      <c r="A690" s="162">
        <v>5</v>
      </c>
      <c r="B690" s="232" t="s">
        <v>1186</v>
      </c>
      <c r="C690" s="232" t="s">
        <v>1187</v>
      </c>
      <c r="D690" s="232" t="s">
        <v>1155</v>
      </c>
      <c r="E690" s="162">
        <v>29</v>
      </c>
      <c r="F690" s="219" t="s">
        <v>1188</v>
      </c>
      <c r="G690" s="162" t="s">
        <v>920</v>
      </c>
      <c r="H690" s="162">
        <f t="shared" si="107"/>
        <v>11</v>
      </c>
      <c r="I690" s="162">
        <v>10</v>
      </c>
      <c r="J690" s="162">
        <v>1</v>
      </c>
      <c r="K690" s="236">
        <v>160000</v>
      </c>
      <c r="L690" s="475">
        <v>0.19</v>
      </c>
      <c r="M690" s="479">
        <f t="shared" si="108"/>
        <v>160000</v>
      </c>
      <c r="N690" s="236">
        <f t="shared" si="109"/>
        <v>160799.99999999997</v>
      </c>
      <c r="O690" s="475">
        <v>0.19</v>
      </c>
      <c r="P690" s="401">
        <f t="shared" si="110"/>
        <v>160799.99999999997</v>
      </c>
      <c r="Q690" s="403">
        <f t="shared" si="111"/>
        <v>160400</v>
      </c>
      <c r="R690" s="475">
        <v>0.19</v>
      </c>
      <c r="S690" s="403">
        <f t="shared" si="112"/>
        <v>160400</v>
      </c>
    </row>
    <row r="691" spans="1:19" ht="41.4" x14ac:dyDescent="0.3">
      <c r="A691" s="162">
        <v>5</v>
      </c>
      <c r="B691" s="232" t="s">
        <v>1186</v>
      </c>
      <c r="C691" s="232" t="s">
        <v>1187</v>
      </c>
      <c r="D691" s="232" t="s">
        <v>1155</v>
      </c>
      <c r="E691" s="162">
        <v>30</v>
      </c>
      <c r="F691" s="219" t="s">
        <v>1189</v>
      </c>
      <c r="G691" s="162" t="s">
        <v>920</v>
      </c>
      <c r="H691" s="162">
        <f t="shared" si="107"/>
        <v>12</v>
      </c>
      <c r="I691" s="162">
        <v>10</v>
      </c>
      <c r="J691" s="162">
        <v>2</v>
      </c>
      <c r="K691" s="236">
        <v>48000</v>
      </c>
      <c r="L691" s="475">
        <v>0.19</v>
      </c>
      <c r="M691" s="479">
        <f t="shared" si="108"/>
        <v>96000</v>
      </c>
      <c r="N691" s="236">
        <f t="shared" si="109"/>
        <v>48239.999999999993</v>
      </c>
      <c r="O691" s="475">
        <v>0.19</v>
      </c>
      <c r="P691" s="401">
        <f t="shared" si="110"/>
        <v>96479.999999999985</v>
      </c>
      <c r="Q691" s="403">
        <f t="shared" si="111"/>
        <v>48120</v>
      </c>
      <c r="R691" s="475">
        <v>0.19</v>
      </c>
      <c r="S691" s="403">
        <f t="shared" si="112"/>
        <v>96240</v>
      </c>
    </row>
    <row r="692" spans="1:19" x14ac:dyDescent="0.3">
      <c r="A692" s="162">
        <v>5</v>
      </c>
      <c r="B692" s="232" t="s">
        <v>1190</v>
      </c>
      <c r="C692" s="232" t="s">
        <v>1110</v>
      </c>
      <c r="D692" s="232" t="s">
        <v>1155</v>
      </c>
      <c r="E692" s="162">
        <v>31</v>
      </c>
      <c r="F692" s="219" t="s">
        <v>1191</v>
      </c>
      <c r="G692" s="162" t="s">
        <v>920</v>
      </c>
      <c r="H692" s="162">
        <f t="shared" si="107"/>
        <v>25</v>
      </c>
      <c r="I692" s="162">
        <v>10</v>
      </c>
      <c r="J692" s="162">
        <v>15</v>
      </c>
      <c r="K692" s="236">
        <v>8500</v>
      </c>
      <c r="L692" s="475">
        <v>0.19</v>
      </c>
      <c r="M692" s="479">
        <f t="shared" si="108"/>
        <v>127500</v>
      </c>
      <c r="N692" s="236">
        <f t="shared" si="109"/>
        <v>8542.5</v>
      </c>
      <c r="O692" s="475">
        <v>0.19</v>
      </c>
      <c r="P692" s="401">
        <f t="shared" si="110"/>
        <v>128137.5</v>
      </c>
      <c r="Q692" s="403">
        <f t="shared" si="111"/>
        <v>8521.25</v>
      </c>
      <c r="R692" s="475">
        <v>0.19</v>
      </c>
      <c r="S692" s="403">
        <f t="shared" si="112"/>
        <v>127818.75</v>
      </c>
    </row>
    <row r="693" spans="1:19" x14ac:dyDescent="0.3">
      <c r="A693" s="162">
        <v>5</v>
      </c>
      <c r="B693" s="232" t="s">
        <v>1176</v>
      </c>
      <c r="C693" s="232" t="s">
        <v>1110</v>
      </c>
      <c r="D693" s="232" t="s">
        <v>1155</v>
      </c>
      <c r="E693" s="162">
        <v>32</v>
      </c>
      <c r="F693" s="219" t="s">
        <v>1192</v>
      </c>
      <c r="G693" s="162" t="s">
        <v>920</v>
      </c>
      <c r="H693" s="162">
        <f t="shared" si="107"/>
        <v>16</v>
      </c>
      <c r="I693" s="162">
        <v>10</v>
      </c>
      <c r="J693" s="162">
        <v>6</v>
      </c>
      <c r="K693" s="236">
        <v>12500</v>
      </c>
      <c r="L693" s="475">
        <v>0.19</v>
      </c>
      <c r="M693" s="479">
        <f t="shared" si="108"/>
        <v>75000</v>
      </c>
      <c r="N693" s="236">
        <f t="shared" si="109"/>
        <v>12562.499999999998</v>
      </c>
      <c r="O693" s="475">
        <v>0.19</v>
      </c>
      <c r="P693" s="401">
        <f t="shared" si="110"/>
        <v>75374.999999999985</v>
      </c>
      <c r="Q693" s="403">
        <f t="shared" si="111"/>
        <v>12531.25</v>
      </c>
      <c r="R693" s="475">
        <v>0.19</v>
      </c>
      <c r="S693" s="403">
        <f t="shared" si="112"/>
        <v>75187.5</v>
      </c>
    </row>
    <row r="694" spans="1:19" ht="27.6" x14ac:dyDescent="0.3">
      <c r="A694" s="162">
        <v>5</v>
      </c>
      <c r="B694" s="232" t="s">
        <v>1193</v>
      </c>
      <c r="C694" s="232" t="s">
        <v>1194</v>
      </c>
      <c r="D694" s="232" t="s">
        <v>1155</v>
      </c>
      <c r="E694" s="162">
        <v>33</v>
      </c>
      <c r="F694" s="219" t="s">
        <v>1195</v>
      </c>
      <c r="G694" s="162" t="s">
        <v>1196</v>
      </c>
      <c r="H694" s="162">
        <f t="shared" si="107"/>
        <v>12</v>
      </c>
      <c r="I694" s="162">
        <v>10</v>
      </c>
      <c r="J694" s="162">
        <v>2</v>
      </c>
      <c r="K694" s="236">
        <v>52000</v>
      </c>
      <c r="L694" s="475">
        <v>0.19</v>
      </c>
      <c r="M694" s="479">
        <f t="shared" si="108"/>
        <v>104000</v>
      </c>
      <c r="N694" s="236">
        <f t="shared" si="109"/>
        <v>52259.999999999993</v>
      </c>
      <c r="O694" s="475">
        <v>0.19</v>
      </c>
      <c r="P694" s="401">
        <f t="shared" si="110"/>
        <v>104519.99999999999</v>
      </c>
      <c r="Q694" s="403">
        <f t="shared" si="111"/>
        <v>52130</v>
      </c>
      <c r="R694" s="475">
        <v>0.19</v>
      </c>
      <c r="S694" s="403">
        <f t="shared" si="112"/>
        <v>104260</v>
      </c>
    </row>
    <row r="695" spans="1:19" ht="27.6" x14ac:dyDescent="0.3">
      <c r="A695" s="162">
        <v>5</v>
      </c>
      <c r="B695" s="232" t="s">
        <v>1158</v>
      </c>
      <c r="C695" s="232" t="s">
        <v>1110</v>
      </c>
      <c r="D695" s="232" t="s">
        <v>1155</v>
      </c>
      <c r="E695" s="162">
        <v>34</v>
      </c>
      <c r="F695" s="219" t="s">
        <v>1197</v>
      </c>
      <c r="G695" s="162" t="s">
        <v>925</v>
      </c>
      <c r="H695" s="162">
        <f t="shared" si="107"/>
        <v>12</v>
      </c>
      <c r="I695" s="162">
        <v>10</v>
      </c>
      <c r="J695" s="162">
        <v>2</v>
      </c>
      <c r="K695" s="236">
        <v>43000</v>
      </c>
      <c r="L695" s="475">
        <v>0.19</v>
      </c>
      <c r="M695" s="479">
        <f t="shared" si="108"/>
        <v>86000</v>
      </c>
      <c r="N695" s="236">
        <f t="shared" si="109"/>
        <v>43214.999999999993</v>
      </c>
      <c r="O695" s="475">
        <v>0.19</v>
      </c>
      <c r="P695" s="401">
        <f t="shared" si="110"/>
        <v>86429.999999999985</v>
      </c>
      <c r="Q695" s="403">
        <f t="shared" si="111"/>
        <v>43107.5</v>
      </c>
      <c r="R695" s="475">
        <v>0.19</v>
      </c>
      <c r="S695" s="403">
        <f t="shared" si="112"/>
        <v>86215</v>
      </c>
    </row>
    <row r="696" spans="1:19" ht="27.6" x14ac:dyDescent="0.3">
      <c r="A696" s="162">
        <v>5</v>
      </c>
      <c r="B696" s="232" t="s">
        <v>1161</v>
      </c>
      <c r="C696" s="232" t="s">
        <v>1110</v>
      </c>
      <c r="D696" s="232" t="s">
        <v>1155</v>
      </c>
      <c r="E696" s="162">
        <v>35</v>
      </c>
      <c r="F696" s="219" t="s">
        <v>1198</v>
      </c>
      <c r="G696" s="162" t="s">
        <v>920</v>
      </c>
      <c r="H696" s="162">
        <f t="shared" si="107"/>
        <v>18</v>
      </c>
      <c r="I696" s="162">
        <v>10</v>
      </c>
      <c r="J696" s="162">
        <v>8</v>
      </c>
      <c r="K696" s="236">
        <v>25000</v>
      </c>
      <c r="L696" s="475">
        <v>0.19</v>
      </c>
      <c r="M696" s="479">
        <f t="shared" si="108"/>
        <v>200000</v>
      </c>
      <c r="N696" s="236">
        <f t="shared" si="109"/>
        <v>25124.999999999996</v>
      </c>
      <c r="O696" s="475">
        <v>0.19</v>
      </c>
      <c r="P696" s="401">
        <f t="shared" si="110"/>
        <v>200999.99999999997</v>
      </c>
      <c r="Q696" s="403">
        <f t="shared" si="111"/>
        <v>25062.5</v>
      </c>
      <c r="R696" s="475">
        <v>0.19</v>
      </c>
      <c r="S696" s="403">
        <f t="shared" si="112"/>
        <v>200500</v>
      </c>
    </row>
    <row r="697" spans="1:19" ht="41.4" x14ac:dyDescent="0.3">
      <c r="A697" s="162">
        <v>5</v>
      </c>
      <c r="B697" s="232" t="s">
        <v>1176</v>
      </c>
      <c r="C697" s="232" t="s">
        <v>1110</v>
      </c>
      <c r="D697" s="232" t="s">
        <v>1155</v>
      </c>
      <c r="E697" s="162">
        <v>36</v>
      </c>
      <c r="F697" s="219" t="s">
        <v>1199</v>
      </c>
      <c r="G697" s="162" t="s">
        <v>920</v>
      </c>
      <c r="H697" s="162">
        <f t="shared" si="107"/>
        <v>13</v>
      </c>
      <c r="I697" s="162">
        <v>10</v>
      </c>
      <c r="J697" s="162">
        <v>3</v>
      </c>
      <c r="K697" s="236">
        <v>19000</v>
      </c>
      <c r="L697" s="475">
        <v>0.19</v>
      </c>
      <c r="M697" s="479">
        <f t="shared" si="108"/>
        <v>57000</v>
      </c>
      <c r="N697" s="236">
        <f t="shared" si="109"/>
        <v>19094.999999999996</v>
      </c>
      <c r="O697" s="475">
        <v>0.19</v>
      </c>
      <c r="P697" s="401">
        <f t="shared" si="110"/>
        <v>57284.999999999985</v>
      </c>
      <c r="Q697" s="403">
        <f t="shared" si="111"/>
        <v>19047.5</v>
      </c>
      <c r="R697" s="475">
        <v>0.19</v>
      </c>
      <c r="S697" s="403">
        <f t="shared" si="112"/>
        <v>57142.5</v>
      </c>
    </row>
    <row r="698" spans="1:19" ht="41.4" x14ac:dyDescent="0.3">
      <c r="A698" s="162">
        <v>5</v>
      </c>
      <c r="B698" s="232" t="s">
        <v>1200</v>
      </c>
      <c r="C698" s="232" t="s">
        <v>1110</v>
      </c>
      <c r="D698" s="232" t="s">
        <v>1155</v>
      </c>
      <c r="E698" s="162">
        <v>37</v>
      </c>
      <c r="F698" s="219" t="s">
        <v>1201</v>
      </c>
      <c r="G698" s="170" t="s">
        <v>1202</v>
      </c>
      <c r="H698" s="162">
        <f t="shared" si="107"/>
        <v>13</v>
      </c>
      <c r="I698" s="162">
        <v>10</v>
      </c>
      <c r="J698" s="162">
        <v>3</v>
      </c>
      <c r="K698" s="236">
        <v>21550</v>
      </c>
      <c r="L698" s="475">
        <v>0.19</v>
      </c>
      <c r="M698" s="479">
        <f t="shared" si="108"/>
        <v>64650</v>
      </c>
      <c r="N698" s="236">
        <f t="shared" si="109"/>
        <v>21657.749999999996</v>
      </c>
      <c r="O698" s="475">
        <v>0.19</v>
      </c>
      <c r="P698" s="401">
        <f t="shared" si="110"/>
        <v>64973.249999999985</v>
      </c>
      <c r="Q698" s="403">
        <f t="shared" si="111"/>
        <v>21603.875</v>
      </c>
      <c r="R698" s="475">
        <v>0.19</v>
      </c>
      <c r="S698" s="403">
        <f t="shared" si="112"/>
        <v>64811.625</v>
      </c>
    </row>
    <row r="699" spans="1:19" ht="55.2" x14ac:dyDescent="0.3">
      <c r="A699" s="162">
        <v>5</v>
      </c>
      <c r="B699" s="232" t="s">
        <v>1200</v>
      </c>
      <c r="C699" s="232" t="s">
        <v>1110</v>
      </c>
      <c r="D699" s="232" t="s">
        <v>1155</v>
      </c>
      <c r="E699" s="162">
        <v>38</v>
      </c>
      <c r="F699" s="219" t="s">
        <v>1203</v>
      </c>
      <c r="G699" s="170" t="s">
        <v>1202</v>
      </c>
      <c r="H699" s="162">
        <f t="shared" si="107"/>
        <v>12</v>
      </c>
      <c r="I699" s="162">
        <v>10</v>
      </c>
      <c r="J699" s="162">
        <v>2</v>
      </c>
      <c r="K699" s="236">
        <v>21550</v>
      </c>
      <c r="L699" s="475">
        <v>0.19</v>
      </c>
      <c r="M699" s="479">
        <f t="shared" si="108"/>
        <v>43100</v>
      </c>
      <c r="N699" s="236">
        <f t="shared" si="109"/>
        <v>21657.749999999996</v>
      </c>
      <c r="O699" s="475">
        <v>0.19</v>
      </c>
      <c r="P699" s="401">
        <f t="shared" si="110"/>
        <v>43315.499999999993</v>
      </c>
      <c r="Q699" s="403">
        <f t="shared" si="111"/>
        <v>21603.875</v>
      </c>
      <c r="R699" s="475">
        <v>0.19</v>
      </c>
      <c r="S699" s="403">
        <f t="shared" si="112"/>
        <v>43207.75</v>
      </c>
    </row>
    <row r="700" spans="1:19" ht="55.2" x14ac:dyDescent="0.3">
      <c r="A700" s="162">
        <v>5</v>
      </c>
      <c r="B700" s="232" t="s">
        <v>1178</v>
      </c>
      <c r="C700" s="232" t="s">
        <v>1110</v>
      </c>
      <c r="D700" s="232" t="s">
        <v>1155</v>
      </c>
      <c r="E700" s="162">
        <v>39</v>
      </c>
      <c r="F700" s="219" t="s">
        <v>1204</v>
      </c>
      <c r="G700" s="162" t="s">
        <v>1205</v>
      </c>
      <c r="H700" s="162">
        <f t="shared" si="107"/>
        <v>11</v>
      </c>
      <c r="I700" s="162">
        <v>10</v>
      </c>
      <c r="J700" s="162">
        <v>1</v>
      </c>
      <c r="K700" s="236">
        <v>130000</v>
      </c>
      <c r="L700" s="475">
        <v>0.19</v>
      </c>
      <c r="M700" s="479">
        <f t="shared" si="108"/>
        <v>130000</v>
      </c>
      <c r="N700" s="236">
        <f t="shared" si="109"/>
        <v>130649.99999999999</v>
      </c>
      <c r="O700" s="475">
        <v>0.19</v>
      </c>
      <c r="P700" s="401">
        <f t="shared" si="110"/>
        <v>130649.99999999999</v>
      </c>
      <c r="Q700" s="403">
        <f t="shared" si="111"/>
        <v>130325</v>
      </c>
      <c r="R700" s="475">
        <v>0.19</v>
      </c>
      <c r="S700" s="403">
        <f t="shared" si="112"/>
        <v>130325</v>
      </c>
    </row>
    <row r="701" spans="1:19" ht="27.6" x14ac:dyDescent="0.3">
      <c r="A701" s="162">
        <v>5</v>
      </c>
      <c r="B701" s="232" t="s">
        <v>1178</v>
      </c>
      <c r="C701" s="232" t="s">
        <v>1110</v>
      </c>
      <c r="D701" s="232" t="s">
        <v>1155</v>
      </c>
      <c r="E701" s="162">
        <v>40</v>
      </c>
      <c r="F701" s="219" t="s">
        <v>1206</v>
      </c>
      <c r="G701" s="162" t="s">
        <v>1207</v>
      </c>
      <c r="H701" s="162">
        <f t="shared" si="107"/>
        <v>13</v>
      </c>
      <c r="I701" s="162">
        <v>10</v>
      </c>
      <c r="J701" s="162">
        <v>3</v>
      </c>
      <c r="K701" s="236">
        <v>50000</v>
      </c>
      <c r="L701" s="475">
        <v>0.19</v>
      </c>
      <c r="M701" s="479">
        <f t="shared" si="108"/>
        <v>150000</v>
      </c>
      <c r="N701" s="236">
        <f t="shared" si="109"/>
        <v>50249.999999999993</v>
      </c>
      <c r="O701" s="475">
        <v>0.19</v>
      </c>
      <c r="P701" s="401">
        <f t="shared" si="110"/>
        <v>150749.99999999997</v>
      </c>
      <c r="Q701" s="403">
        <f t="shared" si="111"/>
        <v>50125</v>
      </c>
      <c r="R701" s="475">
        <v>0.19</v>
      </c>
      <c r="S701" s="403">
        <f t="shared" si="112"/>
        <v>150375</v>
      </c>
    </row>
    <row r="702" spans="1:19" ht="41.4" x14ac:dyDescent="0.3">
      <c r="A702" s="162">
        <v>5</v>
      </c>
      <c r="B702" s="232" t="s">
        <v>1200</v>
      </c>
      <c r="C702" s="232" t="s">
        <v>1110</v>
      </c>
      <c r="D702" s="232" t="s">
        <v>1155</v>
      </c>
      <c r="E702" s="162">
        <v>41</v>
      </c>
      <c r="F702" s="219" t="s">
        <v>1208</v>
      </c>
      <c r="G702" s="162" t="s">
        <v>1209</v>
      </c>
      <c r="H702" s="162">
        <f t="shared" si="107"/>
        <v>11</v>
      </c>
      <c r="I702" s="162">
        <v>10</v>
      </c>
      <c r="J702" s="162">
        <v>1</v>
      </c>
      <c r="K702" s="236">
        <v>65000</v>
      </c>
      <c r="L702" s="475">
        <v>0.19</v>
      </c>
      <c r="M702" s="479">
        <f t="shared" si="108"/>
        <v>65000</v>
      </c>
      <c r="N702" s="236">
        <f t="shared" si="109"/>
        <v>65324.999999999993</v>
      </c>
      <c r="O702" s="475">
        <v>0.19</v>
      </c>
      <c r="P702" s="401">
        <f t="shared" si="110"/>
        <v>65324.999999999993</v>
      </c>
      <c r="Q702" s="403">
        <f t="shared" si="111"/>
        <v>65162.5</v>
      </c>
      <c r="R702" s="475">
        <v>0.19</v>
      </c>
      <c r="S702" s="403">
        <f t="shared" si="112"/>
        <v>65162.5</v>
      </c>
    </row>
    <row r="703" spans="1:19" ht="27.6" x14ac:dyDescent="0.3">
      <c r="A703" s="162">
        <v>5</v>
      </c>
      <c r="B703" s="232" t="s">
        <v>1200</v>
      </c>
      <c r="C703" s="232" t="s">
        <v>1110</v>
      </c>
      <c r="D703" s="232" t="s">
        <v>1155</v>
      </c>
      <c r="E703" s="162">
        <v>42</v>
      </c>
      <c r="F703" s="219" t="s">
        <v>1210</v>
      </c>
      <c r="G703" s="162" t="s">
        <v>25</v>
      </c>
      <c r="H703" s="162">
        <f t="shared" si="107"/>
        <v>12</v>
      </c>
      <c r="I703" s="162">
        <v>10</v>
      </c>
      <c r="J703" s="162">
        <v>2</v>
      </c>
      <c r="K703" s="236">
        <v>32000</v>
      </c>
      <c r="L703" s="475">
        <v>0.19</v>
      </c>
      <c r="M703" s="479">
        <f t="shared" si="108"/>
        <v>64000</v>
      </c>
      <c r="N703" s="236">
        <f t="shared" si="109"/>
        <v>32159.999999999996</v>
      </c>
      <c r="O703" s="475">
        <v>0.19</v>
      </c>
      <c r="P703" s="401">
        <f t="shared" si="110"/>
        <v>64319.999999999993</v>
      </c>
      <c r="Q703" s="403">
        <f t="shared" si="111"/>
        <v>32080</v>
      </c>
      <c r="R703" s="475">
        <v>0.19</v>
      </c>
      <c r="S703" s="403">
        <f t="shared" si="112"/>
        <v>64160</v>
      </c>
    </row>
    <row r="704" spans="1:19" ht="27.6" x14ac:dyDescent="0.3">
      <c r="A704" s="162">
        <v>5</v>
      </c>
      <c r="B704" s="232" t="s">
        <v>1211</v>
      </c>
      <c r="C704" s="232" t="s">
        <v>1110</v>
      </c>
      <c r="D704" s="232" t="s">
        <v>1155</v>
      </c>
      <c r="E704" s="162">
        <v>43</v>
      </c>
      <c r="F704" s="219" t="s">
        <v>1212</v>
      </c>
      <c r="G704" s="162" t="s">
        <v>25</v>
      </c>
      <c r="H704" s="162">
        <f t="shared" si="107"/>
        <v>12</v>
      </c>
      <c r="I704" s="162">
        <v>10</v>
      </c>
      <c r="J704" s="162">
        <v>2</v>
      </c>
      <c r="K704" s="236">
        <v>25000</v>
      </c>
      <c r="L704" s="475">
        <v>0.19</v>
      </c>
      <c r="M704" s="479">
        <f t="shared" si="108"/>
        <v>50000</v>
      </c>
      <c r="N704" s="236">
        <f t="shared" si="109"/>
        <v>25124.999999999996</v>
      </c>
      <c r="O704" s="475">
        <v>0.19</v>
      </c>
      <c r="P704" s="401">
        <f t="shared" si="110"/>
        <v>50249.999999999993</v>
      </c>
      <c r="Q704" s="403">
        <f t="shared" si="111"/>
        <v>25062.5</v>
      </c>
      <c r="R704" s="475">
        <v>0.19</v>
      </c>
      <c r="S704" s="403">
        <f t="shared" si="112"/>
        <v>50125</v>
      </c>
    </row>
    <row r="705" spans="1:22" ht="41.4" x14ac:dyDescent="0.3">
      <c r="A705" s="162">
        <v>5</v>
      </c>
      <c r="B705" s="232" t="s">
        <v>1178</v>
      </c>
      <c r="C705" s="232" t="s">
        <v>1110</v>
      </c>
      <c r="D705" s="232" t="s">
        <v>1155</v>
      </c>
      <c r="E705" s="162">
        <v>44</v>
      </c>
      <c r="F705" s="219" t="s">
        <v>1213</v>
      </c>
      <c r="G705" s="162" t="s">
        <v>1214</v>
      </c>
      <c r="H705" s="162">
        <f t="shared" si="107"/>
        <v>11</v>
      </c>
      <c r="I705" s="162">
        <v>10</v>
      </c>
      <c r="J705" s="162">
        <v>1</v>
      </c>
      <c r="K705" s="236">
        <v>185000</v>
      </c>
      <c r="L705" s="475">
        <v>0.19</v>
      </c>
      <c r="M705" s="479">
        <f t="shared" si="108"/>
        <v>185000</v>
      </c>
      <c r="N705" s="236">
        <f t="shared" si="109"/>
        <v>185924.99999999997</v>
      </c>
      <c r="O705" s="475">
        <v>0.19</v>
      </c>
      <c r="P705" s="401">
        <f t="shared" si="110"/>
        <v>185924.99999999997</v>
      </c>
      <c r="Q705" s="403">
        <f t="shared" si="111"/>
        <v>185462.5</v>
      </c>
      <c r="R705" s="475">
        <v>0.19</v>
      </c>
      <c r="S705" s="403">
        <f t="shared" si="112"/>
        <v>185462.5</v>
      </c>
    </row>
    <row r="706" spans="1:22" ht="82.8" x14ac:dyDescent="0.3">
      <c r="A706" s="162">
        <v>5</v>
      </c>
      <c r="B706" s="232" t="s">
        <v>1178</v>
      </c>
      <c r="C706" s="232" t="s">
        <v>1110</v>
      </c>
      <c r="D706" s="232" t="s">
        <v>1155</v>
      </c>
      <c r="E706" s="162">
        <v>45</v>
      </c>
      <c r="F706" s="219" t="s">
        <v>1215</v>
      </c>
      <c r="G706" s="162" t="s">
        <v>25</v>
      </c>
      <c r="H706" s="162">
        <f t="shared" si="107"/>
        <v>26</v>
      </c>
      <c r="I706" s="162">
        <v>10</v>
      </c>
      <c r="J706" s="162">
        <v>16</v>
      </c>
      <c r="K706" s="236">
        <v>23500</v>
      </c>
      <c r="L706" s="475">
        <v>0.19</v>
      </c>
      <c r="M706" s="479">
        <f t="shared" si="108"/>
        <v>376000</v>
      </c>
      <c r="N706" s="236">
        <f t="shared" si="109"/>
        <v>23617.499999999996</v>
      </c>
      <c r="O706" s="475">
        <v>0.19</v>
      </c>
      <c r="P706" s="401">
        <f t="shared" si="110"/>
        <v>377879.99999999994</v>
      </c>
      <c r="Q706" s="403">
        <f t="shared" si="111"/>
        <v>23558.75</v>
      </c>
      <c r="R706" s="475">
        <v>0.19</v>
      </c>
      <c r="S706" s="403">
        <f t="shared" si="112"/>
        <v>376940</v>
      </c>
    </row>
    <row r="707" spans="1:22" ht="82.8" x14ac:dyDescent="0.3">
      <c r="A707" s="162">
        <v>5</v>
      </c>
      <c r="B707" s="232" t="s">
        <v>1178</v>
      </c>
      <c r="C707" s="232" t="s">
        <v>1110</v>
      </c>
      <c r="D707" s="232" t="s">
        <v>1155</v>
      </c>
      <c r="E707" s="162">
        <v>46</v>
      </c>
      <c r="F707" s="219" t="s">
        <v>1216</v>
      </c>
      <c r="G707" s="162" t="s">
        <v>25</v>
      </c>
      <c r="H707" s="162">
        <f t="shared" si="107"/>
        <v>26</v>
      </c>
      <c r="I707" s="162">
        <v>10</v>
      </c>
      <c r="J707" s="162">
        <v>16</v>
      </c>
      <c r="K707" s="236">
        <v>24000</v>
      </c>
      <c r="L707" s="475">
        <v>0.19</v>
      </c>
      <c r="M707" s="479">
        <f t="shared" si="108"/>
        <v>384000</v>
      </c>
      <c r="N707" s="236">
        <f t="shared" si="109"/>
        <v>24119.999999999996</v>
      </c>
      <c r="O707" s="475">
        <v>0.19</v>
      </c>
      <c r="P707" s="401">
        <f t="shared" si="110"/>
        <v>385919.99999999994</v>
      </c>
      <c r="Q707" s="403">
        <f t="shared" si="111"/>
        <v>24060</v>
      </c>
      <c r="R707" s="475">
        <v>0.19</v>
      </c>
      <c r="S707" s="403">
        <f t="shared" si="112"/>
        <v>384960</v>
      </c>
    </row>
    <row r="708" spans="1:22" ht="41.4" x14ac:dyDescent="0.3">
      <c r="A708" s="162">
        <v>5</v>
      </c>
      <c r="B708" s="232" t="s">
        <v>1178</v>
      </c>
      <c r="C708" s="232" t="s">
        <v>1110</v>
      </c>
      <c r="D708" s="232" t="s">
        <v>1155</v>
      </c>
      <c r="E708" s="162">
        <v>47</v>
      </c>
      <c r="F708" s="219" t="s">
        <v>1217</v>
      </c>
      <c r="G708" s="162" t="s">
        <v>25</v>
      </c>
      <c r="H708" s="162">
        <f t="shared" si="107"/>
        <v>30</v>
      </c>
      <c r="I708" s="162">
        <v>10</v>
      </c>
      <c r="J708" s="162">
        <v>20</v>
      </c>
      <c r="K708" s="236">
        <v>25000</v>
      </c>
      <c r="L708" s="475">
        <v>0.19</v>
      </c>
      <c r="M708" s="479">
        <f t="shared" si="108"/>
        <v>500000</v>
      </c>
      <c r="N708" s="236">
        <f t="shared" si="109"/>
        <v>25124.999999999996</v>
      </c>
      <c r="O708" s="475">
        <v>0.19</v>
      </c>
      <c r="P708" s="401">
        <f t="shared" si="110"/>
        <v>502499.99999999994</v>
      </c>
      <c r="Q708" s="403">
        <f t="shared" si="111"/>
        <v>25062.5</v>
      </c>
      <c r="R708" s="475">
        <v>0.19</v>
      </c>
      <c r="S708" s="403">
        <f t="shared" si="112"/>
        <v>501250</v>
      </c>
    </row>
    <row r="709" spans="1:22" ht="41.4" x14ac:dyDescent="0.3">
      <c r="A709" s="162">
        <v>5</v>
      </c>
      <c r="B709" s="232" t="s">
        <v>1218</v>
      </c>
      <c r="C709" s="232" t="s">
        <v>1219</v>
      </c>
      <c r="D709" s="232" t="s">
        <v>1155</v>
      </c>
      <c r="E709" s="162">
        <v>48</v>
      </c>
      <c r="F709" s="219" t="s">
        <v>1220</v>
      </c>
      <c r="G709" s="162" t="s">
        <v>25</v>
      </c>
      <c r="H709" s="162">
        <f t="shared" si="107"/>
        <v>12</v>
      </c>
      <c r="I709" s="162">
        <v>10</v>
      </c>
      <c r="J709" s="162">
        <v>2</v>
      </c>
      <c r="K709" s="236">
        <v>190000</v>
      </c>
      <c r="L709" s="475">
        <v>0.19</v>
      </c>
      <c r="M709" s="479">
        <f t="shared" si="108"/>
        <v>380000</v>
      </c>
      <c r="N709" s="236">
        <f t="shared" si="109"/>
        <v>190949.99999999997</v>
      </c>
      <c r="O709" s="475">
        <v>0.19</v>
      </c>
      <c r="P709" s="401">
        <f t="shared" si="110"/>
        <v>381899.99999999994</v>
      </c>
      <c r="Q709" s="403">
        <f t="shared" si="111"/>
        <v>190475</v>
      </c>
      <c r="R709" s="475">
        <v>0.19</v>
      </c>
      <c r="S709" s="403">
        <f t="shared" si="112"/>
        <v>380950</v>
      </c>
    </row>
    <row r="710" spans="1:22" x14ac:dyDescent="0.3">
      <c r="A710" s="402"/>
      <c r="B710" s="402"/>
      <c r="C710" s="402"/>
      <c r="D710" s="402"/>
      <c r="E710" s="473"/>
      <c r="F710" s="402"/>
      <c r="G710" s="402"/>
      <c r="H710" s="402"/>
      <c r="I710" s="402"/>
      <c r="J710" s="402"/>
      <c r="K710" s="402"/>
      <c r="L710" s="402"/>
      <c r="M710" s="479">
        <f>SUM(M662:M709)</f>
        <v>5958950</v>
      </c>
      <c r="N710" s="400"/>
      <c r="O710" s="400"/>
      <c r="P710" s="401">
        <f>SUM(P662:P709)</f>
        <v>5988744.75</v>
      </c>
      <c r="Q710" s="402"/>
      <c r="R710" s="402"/>
      <c r="S710" s="403">
        <f>SUM(S662:S709)</f>
        <v>5973847.375</v>
      </c>
    </row>
    <row r="712" spans="1:22" ht="15" customHeight="1" x14ac:dyDescent="0.3">
      <c r="A712" s="541" t="s">
        <v>1221</v>
      </c>
      <c r="B712" s="541"/>
      <c r="C712" s="541"/>
      <c r="D712" s="541"/>
      <c r="E712" s="541"/>
      <c r="F712" s="541"/>
      <c r="G712" s="541"/>
      <c r="H712" s="541"/>
      <c r="I712" s="541"/>
      <c r="J712" s="541"/>
      <c r="K712" s="541"/>
      <c r="L712" s="541"/>
      <c r="M712" s="541"/>
      <c r="N712" s="541"/>
      <c r="O712" s="541"/>
      <c r="P712" s="541"/>
      <c r="Q712" s="541"/>
      <c r="R712" s="541"/>
      <c r="S712" s="541"/>
      <c r="T712" s="541"/>
      <c r="U712" s="541"/>
      <c r="V712" s="541"/>
    </row>
    <row r="713" spans="1:22" ht="15" customHeight="1" x14ac:dyDescent="0.3">
      <c r="A713" s="541"/>
      <c r="B713" s="541"/>
      <c r="C713" s="541"/>
      <c r="D713" s="541"/>
      <c r="E713" s="699" t="s">
        <v>1221</v>
      </c>
      <c r="F713" s="700"/>
      <c r="G713" s="700"/>
      <c r="H713" s="701"/>
      <c r="I713" s="541"/>
      <c r="J713" s="541"/>
      <c r="K713" s="541"/>
      <c r="L713" s="541"/>
      <c r="M713" s="541"/>
      <c r="N713" s="541"/>
      <c r="O713" s="541"/>
      <c r="P713" s="541"/>
      <c r="Q713" s="541"/>
      <c r="R713" s="541"/>
      <c r="S713" s="541"/>
      <c r="T713" s="541"/>
      <c r="U713" s="541"/>
      <c r="V713" s="541"/>
    </row>
    <row r="714" spans="1:22" ht="15.6" x14ac:dyDescent="0.3">
      <c r="A714" s="709" t="s">
        <v>83</v>
      </c>
      <c r="B714" s="709" t="s">
        <v>84</v>
      </c>
      <c r="C714" s="709" t="s">
        <v>85</v>
      </c>
      <c r="D714" s="711" t="s">
        <v>86</v>
      </c>
      <c r="E714" s="709" t="s">
        <v>6</v>
      </c>
      <c r="F714" s="709" t="s">
        <v>87</v>
      </c>
      <c r="G714" s="709" t="s">
        <v>88</v>
      </c>
      <c r="H714" s="702" t="s">
        <v>89</v>
      </c>
      <c r="I714" s="124"/>
      <c r="J714" s="705" t="s">
        <v>89</v>
      </c>
      <c r="K714" s="710" t="s">
        <v>818</v>
      </c>
      <c r="L714" s="710"/>
      <c r="M714" s="710"/>
      <c r="N714" s="704" t="s">
        <v>819</v>
      </c>
      <c r="O714" s="704"/>
      <c r="P714" s="704"/>
      <c r="Q714" s="704" t="s">
        <v>882</v>
      </c>
      <c r="R714" s="704"/>
      <c r="S714" s="704"/>
      <c r="T714" s="704" t="s">
        <v>15</v>
      </c>
      <c r="U714" s="704"/>
      <c r="V714" s="704"/>
    </row>
    <row r="715" spans="1:22" ht="46.8" x14ac:dyDescent="0.3">
      <c r="A715" s="709"/>
      <c r="B715" s="709"/>
      <c r="C715" s="709"/>
      <c r="D715" s="711"/>
      <c r="E715" s="709"/>
      <c r="F715" s="709"/>
      <c r="G715" s="709"/>
      <c r="H715" s="703"/>
      <c r="I715" s="124"/>
      <c r="J715" s="705"/>
      <c r="K715" s="25" t="s">
        <v>382</v>
      </c>
      <c r="L715" s="25" t="s">
        <v>17</v>
      </c>
      <c r="M715" s="25" t="s">
        <v>18</v>
      </c>
      <c r="N715" s="25" t="s">
        <v>367</v>
      </c>
      <c r="O715" s="25" t="s">
        <v>17</v>
      </c>
      <c r="P715" s="248" t="s">
        <v>18</v>
      </c>
      <c r="Q715" s="25" t="s">
        <v>367</v>
      </c>
      <c r="R715" s="25" t="s">
        <v>17</v>
      </c>
      <c r="S715" s="25" t="s">
        <v>18</v>
      </c>
      <c r="T715" s="25" t="s">
        <v>367</v>
      </c>
      <c r="U715" s="25" t="s">
        <v>17</v>
      </c>
      <c r="V715" s="25" t="s">
        <v>18</v>
      </c>
    </row>
    <row r="716" spans="1:22" s="449" customFormat="1" ht="129.6" x14ac:dyDescent="0.3">
      <c r="A716" s="181">
        <v>5</v>
      </c>
      <c r="B716" s="182" t="s">
        <v>534</v>
      </c>
      <c r="C716" s="183" t="s">
        <v>886</v>
      </c>
      <c r="D716" s="184">
        <v>12352300</v>
      </c>
      <c r="E716" s="185">
        <v>1</v>
      </c>
      <c r="F716" s="426" t="s">
        <v>1222</v>
      </c>
      <c r="G716" s="215" t="s">
        <v>1223</v>
      </c>
      <c r="H716" s="215">
        <f>I716+J716</f>
        <v>12</v>
      </c>
      <c r="I716" s="215">
        <v>10</v>
      </c>
      <c r="J716" s="427">
        <v>2</v>
      </c>
      <c r="K716" s="193">
        <v>18921</v>
      </c>
      <c r="L716" s="194">
        <v>0.19</v>
      </c>
      <c r="M716" s="196">
        <v>37842</v>
      </c>
      <c r="N716" s="399">
        <v>21750</v>
      </c>
      <c r="O716" s="194">
        <v>0.19</v>
      </c>
      <c r="P716" s="401">
        <v>43500</v>
      </c>
      <c r="Q716" s="422">
        <v>12834.975</v>
      </c>
      <c r="R716" s="194">
        <v>0.19</v>
      </c>
      <c r="S716" s="399">
        <v>25669.95</v>
      </c>
      <c r="T716" s="196">
        <f>SUM(K716+N716+Q716)/3</f>
        <v>17835.325000000001</v>
      </c>
      <c r="U716" s="194">
        <v>0.19</v>
      </c>
      <c r="V716" s="196">
        <f>T716*J716</f>
        <v>35670.65</v>
      </c>
    </row>
    <row r="717" spans="1:22" s="449" customFormat="1" ht="129.6" x14ac:dyDescent="0.3">
      <c r="A717" s="181">
        <v>5</v>
      </c>
      <c r="B717" s="183" t="s">
        <v>534</v>
      </c>
      <c r="C717" s="183" t="s">
        <v>889</v>
      </c>
      <c r="D717" s="184">
        <v>12352100</v>
      </c>
      <c r="E717" s="109">
        <v>2</v>
      </c>
      <c r="F717" s="428" t="s">
        <v>1224</v>
      </c>
      <c r="G717" s="188" t="s">
        <v>1225</v>
      </c>
      <c r="H717" s="215">
        <f t="shared" ref="H717:H751" si="113">I717+J717</f>
        <v>15</v>
      </c>
      <c r="I717" s="215">
        <v>10</v>
      </c>
      <c r="J717" s="109">
        <v>5</v>
      </c>
      <c r="K717" s="193">
        <v>374850</v>
      </c>
      <c r="L717" s="194">
        <v>0.19</v>
      </c>
      <c r="M717" s="196">
        <v>1874250</v>
      </c>
      <c r="N717" s="399">
        <v>55000</v>
      </c>
      <c r="O717" s="194">
        <v>0.19</v>
      </c>
      <c r="P717" s="401">
        <v>275000</v>
      </c>
      <c r="Q717" s="422">
        <v>374850</v>
      </c>
      <c r="R717" s="194">
        <v>0.19</v>
      </c>
      <c r="S717" s="399">
        <v>1874250</v>
      </c>
      <c r="T717" s="196">
        <f t="shared" ref="T717:T751" si="114">SUM(K717+N717+Q717)/3</f>
        <v>268233.33333333331</v>
      </c>
      <c r="U717" s="194">
        <v>0.19</v>
      </c>
      <c r="V717" s="196">
        <f t="shared" ref="V717:V751" si="115">T717*J717</f>
        <v>1341166.6666666665</v>
      </c>
    </row>
    <row r="718" spans="1:22" s="449" customFormat="1" ht="129.6" x14ac:dyDescent="0.3">
      <c r="A718" s="181">
        <v>5</v>
      </c>
      <c r="B718" s="183" t="s">
        <v>534</v>
      </c>
      <c r="C718" s="183" t="s">
        <v>889</v>
      </c>
      <c r="D718" s="184">
        <v>12352100</v>
      </c>
      <c r="E718" s="185">
        <v>3</v>
      </c>
      <c r="F718" s="217" t="s">
        <v>1226</v>
      </c>
      <c r="G718" s="217" t="s">
        <v>1227</v>
      </c>
      <c r="H718" s="215">
        <f t="shared" si="113"/>
        <v>15</v>
      </c>
      <c r="I718" s="215">
        <v>10</v>
      </c>
      <c r="J718" s="109">
        <v>5</v>
      </c>
      <c r="K718" s="346">
        <v>20706</v>
      </c>
      <c r="L718" s="212">
        <v>0.19</v>
      </c>
      <c r="M718" s="176">
        <v>103530</v>
      </c>
      <c r="N718" s="178">
        <v>22000</v>
      </c>
      <c r="O718" s="212">
        <v>0.19</v>
      </c>
      <c r="P718" s="204">
        <v>110000</v>
      </c>
      <c r="Q718" s="508">
        <v>22610</v>
      </c>
      <c r="R718" s="212">
        <v>0.19</v>
      </c>
      <c r="S718" s="178">
        <v>113050</v>
      </c>
      <c r="T718" s="176">
        <f t="shared" si="114"/>
        <v>21772</v>
      </c>
      <c r="U718" s="212">
        <v>0.19</v>
      </c>
      <c r="V718" s="196">
        <f t="shared" si="115"/>
        <v>108860</v>
      </c>
    </row>
    <row r="719" spans="1:22" s="449" customFormat="1" ht="57.6" x14ac:dyDescent="0.3">
      <c r="A719" s="181">
        <v>5</v>
      </c>
      <c r="B719" s="183" t="s">
        <v>534</v>
      </c>
      <c r="C719" s="183" t="s">
        <v>889</v>
      </c>
      <c r="D719" s="184">
        <v>12352100</v>
      </c>
      <c r="E719" s="185">
        <v>4</v>
      </c>
      <c r="F719" s="217" t="s">
        <v>1228</v>
      </c>
      <c r="G719" s="217" t="s">
        <v>1229</v>
      </c>
      <c r="H719" s="215">
        <f t="shared" si="113"/>
        <v>15</v>
      </c>
      <c r="I719" s="215">
        <v>10</v>
      </c>
      <c r="J719" s="109">
        <v>5</v>
      </c>
      <c r="K719" s="509">
        <v>0</v>
      </c>
      <c r="L719" s="510">
        <v>0.19</v>
      </c>
      <c r="M719" s="511">
        <v>0</v>
      </c>
      <c r="N719" s="178">
        <v>8500</v>
      </c>
      <c r="O719" s="212">
        <v>0.19</v>
      </c>
      <c r="P719" s="204">
        <v>42500</v>
      </c>
      <c r="Q719" s="508">
        <v>22949</v>
      </c>
      <c r="R719" s="212">
        <v>0.19</v>
      </c>
      <c r="S719" s="178">
        <v>114745</v>
      </c>
      <c r="T719" s="176">
        <f>SUM(K719+N719+Q719)/2</f>
        <v>15724.5</v>
      </c>
      <c r="U719" s="212">
        <v>0.19</v>
      </c>
      <c r="V719" s="196">
        <f t="shared" si="115"/>
        <v>78622.5</v>
      </c>
    </row>
    <row r="720" spans="1:22" s="449" customFormat="1" ht="69" x14ac:dyDescent="0.3">
      <c r="A720" s="181">
        <v>5</v>
      </c>
      <c r="B720" s="190">
        <v>141103147</v>
      </c>
      <c r="C720" s="190">
        <v>286917</v>
      </c>
      <c r="D720" s="190">
        <v>41121806</v>
      </c>
      <c r="E720" s="109">
        <v>5</v>
      </c>
      <c r="F720" s="430" t="s">
        <v>1230</v>
      </c>
      <c r="G720" s="190" t="s">
        <v>71</v>
      </c>
      <c r="H720" s="215">
        <f t="shared" si="113"/>
        <v>11</v>
      </c>
      <c r="I720" s="215">
        <v>10</v>
      </c>
      <c r="J720" s="190">
        <v>1</v>
      </c>
      <c r="K720" s="346">
        <v>974400</v>
      </c>
      <c r="L720" s="212">
        <v>0.19</v>
      </c>
      <c r="M720" s="176">
        <v>974400</v>
      </c>
      <c r="N720" s="178"/>
      <c r="O720" s="212">
        <v>0.19</v>
      </c>
      <c r="P720" s="204">
        <v>0</v>
      </c>
      <c r="Q720" s="508">
        <v>830620</v>
      </c>
      <c r="R720" s="212">
        <v>0.19</v>
      </c>
      <c r="S720" s="178">
        <v>830620</v>
      </c>
      <c r="T720" s="176">
        <f>SUM(K720+N720+Q720)/2</f>
        <v>902510</v>
      </c>
      <c r="U720" s="212">
        <v>0.19</v>
      </c>
      <c r="V720" s="196">
        <f t="shared" si="115"/>
        <v>902510</v>
      </c>
    </row>
    <row r="721" spans="1:22" s="449" customFormat="1" ht="82.8" x14ac:dyDescent="0.3">
      <c r="A721" s="181">
        <v>5</v>
      </c>
      <c r="B721" s="431">
        <v>147131154</v>
      </c>
      <c r="C721" s="16">
        <v>234983</v>
      </c>
      <c r="D721" s="432">
        <v>51171617</v>
      </c>
      <c r="E721" s="185">
        <v>6</v>
      </c>
      <c r="F721" s="429" t="s">
        <v>1231</v>
      </c>
      <c r="G721" s="189" t="s">
        <v>1232</v>
      </c>
      <c r="H721" s="215">
        <f t="shared" si="113"/>
        <v>14</v>
      </c>
      <c r="I721" s="215">
        <v>10</v>
      </c>
      <c r="J721" s="189">
        <v>4</v>
      </c>
      <c r="K721" s="346">
        <v>29631</v>
      </c>
      <c r="L721" s="212">
        <v>0.19</v>
      </c>
      <c r="M721" s="176">
        <v>118524</v>
      </c>
      <c r="N721" s="178">
        <v>32000</v>
      </c>
      <c r="O721" s="212">
        <v>0.19</v>
      </c>
      <c r="P721" s="204">
        <v>128000</v>
      </c>
      <c r="Q721" s="508">
        <v>142067</v>
      </c>
      <c r="R721" s="212">
        <v>0.19</v>
      </c>
      <c r="S721" s="178">
        <v>568268</v>
      </c>
      <c r="T721" s="176">
        <f t="shared" si="114"/>
        <v>67899.333333333328</v>
      </c>
      <c r="U721" s="212">
        <v>0.19</v>
      </c>
      <c r="V721" s="196">
        <f t="shared" si="115"/>
        <v>271597.33333333331</v>
      </c>
    </row>
    <row r="722" spans="1:22" s="449" customFormat="1" ht="100.8" x14ac:dyDescent="0.3">
      <c r="A722" s="181">
        <v>5</v>
      </c>
      <c r="B722" s="183" t="s">
        <v>534</v>
      </c>
      <c r="C722" s="183" t="s">
        <v>889</v>
      </c>
      <c r="D722" s="184">
        <v>12352100</v>
      </c>
      <c r="E722" s="185">
        <v>7</v>
      </c>
      <c r="F722" s="217" t="s">
        <v>1233</v>
      </c>
      <c r="G722" s="217" t="s">
        <v>1234</v>
      </c>
      <c r="H722" s="215">
        <f t="shared" si="113"/>
        <v>13</v>
      </c>
      <c r="I722" s="215">
        <v>10</v>
      </c>
      <c r="J722" s="109">
        <v>3</v>
      </c>
      <c r="K722" s="346"/>
      <c r="L722" s="212">
        <v>0.19</v>
      </c>
      <c r="M722" s="176">
        <v>0</v>
      </c>
      <c r="N722" s="178">
        <v>30000</v>
      </c>
      <c r="O722" s="212">
        <v>0.19</v>
      </c>
      <c r="P722" s="204">
        <v>90000</v>
      </c>
      <c r="Q722" s="508">
        <v>27200</v>
      </c>
      <c r="R722" s="212">
        <v>0.19</v>
      </c>
      <c r="S722" s="178">
        <v>81600</v>
      </c>
      <c r="T722" s="176">
        <f>SUM(K722+N722+Q722)/2</f>
        <v>28600</v>
      </c>
      <c r="U722" s="212">
        <v>0.19</v>
      </c>
      <c r="V722" s="196">
        <f t="shared" si="115"/>
        <v>85800</v>
      </c>
    </row>
    <row r="723" spans="1:22" s="449" customFormat="1" ht="86.4" x14ac:dyDescent="0.3">
      <c r="A723" s="181">
        <v>5</v>
      </c>
      <c r="B723" s="183" t="s">
        <v>534</v>
      </c>
      <c r="C723" s="183" t="s">
        <v>889</v>
      </c>
      <c r="D723" s="184">
        <v>12352100</v>
      </c>
      <c r="E723" s="109">
        <v>8</v>
      </c>
      <c r="F723" s="217" t="s">
        <v>1235</v>
      </c>
      <c r="G723" s="400" t="s">
        <v>1236</v>
      </c>
      <c r="H723" s="215">
        <f t="shared" si="113"/>
        <v>12</v>
      </c>
      <c r="I723" s="215">
        <v>10</v>
      </c>
      <c r="J723" s="109">
        <v>2</v>
      </c>
      <c r="K723" s="346">
        <v>165767</v>
      </c>
      <c r="L723" s="212">
        <v>0.19</v>
      </c>
      <c r="M723" s="176">
        <v>331534</v>
      </c>
      <c r="N723" s="178"/>
      <c r="O723" s="212">
        <v>0.19</v>
      </c>
      <c r="P723" s="204">
        <v>0</v>
      </c>
      <c r="Q723" s="508">
        <v>337960</v>
      </c>
      <c r="R723" s="212">
        <v>0.19</v>
      </c>
      <c r="S723" s="178">
        <v>675920</v>
      </c>
      <c r="T723" s="176">
        <f>SUM(K723+N723+Q723)/2</f>
        <v>251863.5</v>
      </c>
      <c r="U723" s="212">
        <v>0.19</v>
      </c>
      <c r="V723" s="196">
        <f t="shared" si="115"/>
        <v>503727</v>
      </c>
    </row>
    <row r="724" spans="1:22" s="449" customFormat="1" ht="72" x14ac:dyDescent="0.3">
      <c r="A724" s="181">
        <v>5</v>
      </c>
      <c r="B724" s="183" t="s">
        <v>534</v>
      </c>
      <c r="C724" s="183" t="s">
        <v>889</v>
      </c>
      <c r="D724" s="184">
        <v>12352100</v>
      </c>
      <c r="E724" s="185">
        <v>9</v>
      </c>
      <c r="F724" s="217" t="s">
        <v>1237</v>
      </c>
      <c r="G724" s="400" t="s">
        <v>897</v>
      </c>
      <c r="H724" s="215">
        <f t="shared" si="113"/>
        <v>13</v>
      </c>
      <c r="I724" s="215">
        <v>10</v>
      </c>
      <c r="J724" s="109">
        <v>3</v>
      </c>
      <c r="K724" s="346">
        <v>7600</v>
      </c>
      <c r="L724" s="212">
        <v>0.19</v>
      </c>
      <c r="M724" s="176">
        <v>22800</v>
      </c>
      <c r="N724" s="178">
        <v>6500</v>
      </c>
      <c r="O724" s="212">
        <v>0.19</v>
      </c>
      <c r="P724" s="204">
        <v>19500</v>
      </c>
      <c r="Q724" s="508">
        <v>238000</v>
      </c>
      <c r="R724" s="212">
        <v>0.19</v>
      </c>
      <c r="S724" s="178">
        <v>714000</v>
      </c>
      <c r="T724" s="176">
        <f t="shared" si="114"/>
        <v>84033.333333333328</v>
      </c>
      <c r="U724" s="212">
        <v>0.19</v>
      </c>
      <c r="V724" s="196">
        <f t="shared" si="115"/>
        <v>252100</v>
      </c>
    </row>
    <row r="725" spans="1:22" s="449" customFormat="1" ht="129.6" x14ac:dyDescent="0.3">
      <c r="A725" s="16">
        <v>5</v>
      </c>
      <c r="B725" s="183" t="s">
        <v>534</v>
      </c>
      <c r="C725" s="183" t="s">
        <v>902</v>
      </c>
      <c r="D725" s="184">
        <v>12352100</v>
      </c>
      <c r="E725" s="185">
        <v>10</v>
      </c>
      <c r="F725" s="217" t="s">
        <v>1238</v>
      </c>
      <c r="G725" s="400" t="s">
        <v>1223</v>
      </c>
      <c r="H725" s="215">
        <f t="shared" si="113"/>
        <v>11</v>
      </c>
      <c r="I725" s="215">
        <v>10</v>
      </c>
      <c r="J725" s="109">
        <v>1</v>
      </c>
      <c r="K725" s="346">
        <v>26061</v>
      </c>
      <c r="L725" s="212">
        <v>0.19</v>
      </c>
      <c r="M725" s="176">
        <f t="shared" ref="M725:M726" si="116">K725*J725</f>
        <v>26061</v>
      </c>
      <c r="N725" s="178">
        <v>30400</v>
      </c>
      <c r="O725" s="212">
        <v>0.19</v>
      </c>
      <c r="P725" s="204">
        <f t="shared" ref="P725:P726" si="117">N725*J725</f>
        <v>30400</v>
      </c>
      <c r="Q725" s="508">
        <v>185470</v>
      </c>
      <c r="R725" s="212">
        <v>0.19</v>
      </c>
      <c r="S725" s="178">
        <f t="shared" ref="S725:S726" si="118">Q725*J725</f>
        <v>185470</v>
      </c>
      <c r="T725" s="176">
        <f t="shared" si="114"/>
        <v>80643.666666666672</v>
      </c>
      <c r="U725" s="212">
        <v>0.19</v>
      </c>
      <c r="V725" s="196">
        <f t="shared" si="115"/>
        <v>80643.666666666672</v>
      </c>
    </row>
    <row r="726" spans="1:22" s="449" customFormat="1" ht="129.6" x14ac:dyDescent="0.3">
      <c r="A726" s="16">
        <v>5</v>
      </c>
      <c r="B726" s="183" t="s">
        <v>534</v>
      </c>
      <c r="C726" s="183" t="s">
        <v>902</v>
      </c>
      <c r="D726" s="184">
        <v>12352100</v>
      </c>
      <c r="E726" s="109">
        <v>11</v>
      </c>
      <c r="F726" s="217" t="s">
        <v>1239</v>
      </c>
      <c r="G726" s="217" t="s">
        <v>1240</v>
      </c>
      <c r="H726" s="215">
        <f t="shared" si="113"/>
        <v>11</v>
      </c>
      <c r="I726" s="215">
        <v>10</v>
      </c>
      <c r="J726" s="109">
        <v>1</v>
      </c>
      <c r="K726" s="346">
        <v>11186</v>
      </c>
      <c r="L726" s="212">
        <v>0.19</v>
      </c>
      <c r="M726" s="176">
        <f t="shared" si="116"/>
        <v>11186</v>
      </c>
      <c r="N726" s="178">
        <v>12300</v>
      </c>
      <c r="O726" s="212">
        <v>0.19</v>
      </c>
      <c r="P726" s="204">
        <f t="shared" si="117"/>
        <v>12300</v>
      </c>
      <c r="Q726" s="508">
        <v>71909</v>
      </c>
      <c r="R726" s="212">
        <v>0.19</v>
      </c>
      <c r="S726" s="178">
        <f t="shared" si="118"/>
        <v>71909</v>
      </c>
      <c r="T726" s="176">
        <f t="shared" si="114"/>
        <v>31798.333333333332</v>
      </c>
      <c r="U726" s="212">
        <v>0.19</v>
      </c>
      <c r="V726" s="196">
        <f t="shared" si="115"/>
        <v>31798.333333333332</v>
      </c>
    </row>
    <row r="727" spans="1:22" s="449" customFormat="1" ht="129.6" x14ac:dyDescent="0.3">
      <c r="A727" s="16">
        <v>5</v>
      </c>
      <c r="B727" s="183" t="s">
        <v>534</v>
      </c>
      <c r="C727" s="183" t="s">
        <v>902</v>
      </c>
      <c r="D727" s="184">
        <v>12352100</v>
      </c>
      <c r="E727" s="185">
        <v>12</v>
      </c>
      <c r="F727" s="217" t="s">
        <v>1241</v>
      </c>
      <c r="G727" s="217" t="s">
        <v>1242</v>
      </c>
      <c r="H727" s="215">
        <f t="shared" si="113"/>
        <v>11</v>
      </c>
      <c r="I727" s="215">
        <v>10</v>
      </c>
      <c r="J727" s="109">
        <v>1</v>
      </c>
      <c r="K727" s="346">
        <v>18207</v>
      </c>
      <c r="L727" s="212">
        <v>0.19</v>
      </c>
      <c r="M727" s="176">
        <v>18207</v>
      </c>
      <c r="N727" s="178">
        <v>19450</v>
      </c>
      <c r="O727" s="212">
        <v>0.19</v>
      </c>
      <c r="P727" s="204">
        <v>19450</v>
      </c>
      <c r="Q727" s="508">
        <v>64599</v>
      </c>
      <c r="R727" s="212">
        <v>0.19</v>
      </c>
      <c r="S727" s="178">
        <v>64599</v>
      </c>
      <c r="T727" s="176">
        <f t="shared" si="114"/>
        <v>34085.333333333336</v>
      </c>
      <c r="U727" s="212">
        <v>0.19</v>
      </c>
      <c r="V727" s="196">
        <f t="shared" si="115"/>
        <v>34085.333333333336</v>
      </c>
    </row>
    <row r="728" spans="1:22" s="449" customFormat="1" ht="86.4" x14ac:dyDescent="0.3">
      <c r="A728" s="181">
        <v>5</v>
      </c>
      <c r="B728" s="183" t="s">
        <v>534</v>
      </c>
      <c r="C728" s="183" t="s">
        <v>902</v>
      </c>
      <c r="D728" s="184">
        <v>12352100</v>
      </c>
      <c r="E728" s="185">
        <v>13</v>
      </c>
      <c r="F728" s="217" t="s">
        <v>1243</v>
      </c>
      <c r="G728" s="189" t="s">
        <v>1232</v>
      </c>
      <c r="H728" s="215">
        <f t="shared" si="113"/>
        <v>11</v>
      </c>
      <c r="I728" s="215">
        <v>10</v>
      </c>
      <c r="J728" s="109">
        <v>1</v>
      </c>
      <c r="K728" s="346">
        <v>17136</v>
      </c>
      <c r="L728" s="212">
        <v>0.19</v>
      </c>
      <c r="M728" s="176">
        <v>17136</v>
      </c>
      <c r="N728" s="178">
        <v>18200</v>
      </c>
      <c r="O728" s="212">
        <v>0.19</v>
      </c>
      <c r="P728" s="204">
        <v>18200</v>
      </c>
      <c r="Q728" s="508">
        <v>18359</v>
      </c>
      <c r="R728" s="212">
        <v>0.19</v>
      </c>
      <c r="S728" s="178">
        <v>18359</v>
      </c>
      <c r="T728" s="176">
        <f t="shared" si="114"/>
        <v>17898.333333333332</v>
      </c>
      <c r="U728" s="212">
        <v>0.19</v>
      </c>
      <c r="V728" s="196">
        <f t="shared" si="115"/>
        <v>17898.333333333332</v>
      </c>
    </row>
    <row r="729" spans="1:22" s="449" customFormat="1" ht="110.4" x14ac:dyDescent="0.3">
      <c r="A729" s="181">
        <v>5</v>
      </c>
      <c r="B729" s="183" t="s">
        <v>534</v>
      </c>
      <c r="C729" s="183" t="s">
        <v>902</v>
      </c>
      <c r="D729" s="184">
        <v>12352100</v>
      </c>
      <c r="E729" s="109">
        <v>14</v>
      </c>
      <c r="F729" s="429" t="s">
        <v>1244</v>
      </c>
      <c r="G729" s="189" t="s">
        <v>1232</v>
      </c>
      <c r="H729" s="215">
        <f t="shared" si="113"/>
        <v>15</v>
      </c>
      <c r="I729" s="215">
        <v>10</v>
      </c>
      <c r="J729" s="189">
        <v>5</v>
      </c>
      <c r="K729" s="346"/>
      <c r="L729" s="212">
        <v>0.19</v>
      </c>
      <c r="M729" s="176">
        <v>0</v>
      </c>
      <c r="N729" s="178">
        <v>25300</v>
      </c>
      <c r="O729" s="212">
        <v>0.19</v>
      </c>
      <c r="P729" s="204">
        <v>126500</v>
      </c>
      <c r="Q729" s="508"/>
      <c r="R729" s="212">
        <v>0.19</v>
      </c>
      <c r="S729" s="178">
        <v>0</v>
      </c>
      <c r="T729" s="176">
        <f>SUM(K729+N729+Q729)/1</f>
        <v>25300</v>
      </c>
      <c r="U729" s="212">
        <v>0.19</v>
      </c>
      <c r="V729" s="196">
        <f t="shared" si="115"/>
        <v>126500</v>
      </c>
    </row>
    <row r="730" spans="1:22" s="449" customFormat="1" ht="28.8" x14ac:dyDescent="0.3">
      <c r="A730" s="181">
        <v>5</v>
      </c>
      <c r="B730" s="190">
        <v>141103148</v>
      </c>
      <c r="C730" s="190">
        <v>282948</v>
      </c>
      <c r="D730" s="190">
        <v>41116105</v>
      </c>
      <c r="E730" s="185">
        <v>15</v>
      </c>
      <c r="F730" s="217" t="s">
        <v>1245</v>
      </c>
      <c r="G730" s="189" t="s">
        <v>1223</v>
      </c>
      <c r="H730" s="215">
        <f t="shared" si="113"/>
        <v>13</v>
      </c>
      <c r="I730" s="215">
        <v>10</v>
      </c>
      <c r="J730" s="109">
        <v>3</v>
      </c>
      <c r="K730" s="346">
        <v>21063</v>
      </c>
      <c r="L730" s="212">
        <v>0.19</v>
      </c>
      <c r="M730" s="176">
        <v>63189</v>
      </c>
      <c r="N730" s="178">
        <v>23450</v>
      </c>
      <c r="O730" s="212">
        <v>0.19</v>
      </c>
      <c r="P730" s="204">
        <v>70350</v>
      </c>
      <c r="Q730" s="508">
        <v>514351</v>
      </c>
      <c r="R730" s="212">
        <v>0.19</v>
      </c>
      <c r="S730" s="178">
        <v>1543053</v>
      </c>
      <c r="T730" s="176">
        <f t="shared" si="114"/>
        <v>186288</v>
      </c>
      <c r="U730" s="212">
        <v>0.19</v>
      </c>
      <c r="V730" s="196">
        <f t="shared" si="115"/>
        <v>558864</v>
      </c>
    </row>
    <row r="731" spans="1:22" s="449" customFormat="1" ht="129.6" x14ac:dyDescent="0.3">
      <c r="A731" s="181">
        <v>5</v>
      </c>
      <c r="B731" s="190">
        <v>141103148</v>
      </c>
      <c r="C731" s="190">
        <v>282948</v>
      </c>
      <c r="D731" s="190">
        <v>41116105</v>
      </c>
      <c r="E731" s="185">
        <v>16</v>
      </c>
      <c r="F731" s="217" t="s">
        <v>1246</v>
      </c>
      <c r="G731" s="189" t="s">
        <v>1247</v>
      </c>
      <c r="H731" s="215">
        <f t="shared" si="113"/>
        <v>15</v>
      </c>
      <c r="I731" s="215">
        <v>10</v>
      </c>
      <c r="J731" s="109">
        <v>5</v>
      </c>
      <c r="K731" s="346">
        <v>77707</v>
      </c>
      <c r="L731" s="212">
        <v>0.19</v>
      </c>
      <c r="M731" s="176">
        <v>388535</v>
      </c>
      <c r="N731" s="178">
        <v>83000</v>
      </c>
      <c r="O731" s="212">
        <v>0.19</v>
      </c>
      <c r="P731" s="204">
        <v>415000</v>
      </c>
      <c r="Q731" s="508">
        <v>206510</v>
      </c>
      <c r="R731" s="212">
        <v>0.19</v>
      </c>
      <c r="S731" s="178">
        <v>1032550</v>
      </c>
      <c r="T731" s="176">
        <f t="shared" si="114"/>
        <v>122405.66666666667</v>
      </c>
      <c r="U731" s="212">
        <v>0.19</v>
      </c>
      <c r="V731" s="196">
        <f t="shared" si="115"/>
        <v>612028.33333333337</v>
      </c>
    </row>
    <row r="732" spans="1:22" s="449" customFormat="1" ht="28.8" x14ac:dyDescent="0.3">
      <c r="A732" s="181">
        <v>5</v>
      </c>
      <c r="B732" s="190">
        <v>141103148</v>
      </c>
      <c r="C732" s="190">
        <v>282948</v>
      </c>
      <c r="D732" s="190">
        <v>41116105</v>
      </c>
      <c r="E732" s="109">
        <v>17</v>
      </c>
      <c r="F732" s="217" t="s">
        <v>1248</v>
      </c>
      <c r="G732" s="217" t="s">
        <v>1249</v>
      </c>
      <c r="H732" s="215">
        <f t="shared" si="113"/>
        <v>12</v>
      </c>
      <c r="I732" s="215">
        <v>10</v>
      </c>
      <c r="J732" s="109">
        <v>2</v>
      </c>
      <c r="K732" s="346">
        <v>35462</v>
      </c>
      <c r="L732" s="212">
        <v>0.19</v>
      </c>
      <c r="M732" s="176">
        <v>70924</v>
      </c>
      <c r="N732" s="178">
        <v>41000</v>
      </c>
      <c r="O732" s="212">
        <v>0.19</v>
      </c>
      <c r="P732" s="204">
        <v>82000</v>
      </c>
      <c r="Q732" s="508">
        <v>42075</v>
      </c>
      <c r="R732" s="212">
        <v>0.19</v>
      </c>
      <c r="S732" s="178">
        <v>84150</v>
      </c>
      <c r="T732" s="176">
        <f t="shared" si="114"/>
        <v>39512.333333333336</v>
      </c>
      <c r="U732" s="212">
        <v>0.19</v>
      </c>
      <c r="V732" s="196">
        <f t="shared" si="115"/>
        <v>79024.666666666672</v>
      </c>
    </row>
    <row r="733" spans="1:22" s="449" customFormat="1" ht="43.2" x14ac:dyDescent="0.3">
      <c r="A733" s="181">
        <v>5</v>
      </c>
      <c r="B733" s="190">
        <v>141103148</v>
      </c>
      <c r="C733" s="190">
        <v>282948</v>
      </c>
      <c r="D733" s="190">
        <v>41116105</v>
      </c>
      <c r="E733" s="185">
        <v>18</v>
      </c>
      <c r="F733" s="217" t="s">
        <v>1250</v>
      </c>
      <c r="G733" s="217" t="s">
        <v>1234</v>
      </c>
      <c r="H733" s="215">
        <f t="shared" si="113"/>
        <v>13</v>
      </c>
      <c r="I733" s="215">
        <v>10</v>
      </c>
      <c r="J733" s="109">
        <v>3</v>
      </c>
      <c r="K733" s="346"/>
      <c r="L733" s="212">
        <v>0.19</v>
      </c>
      <c r="M733" s="176">
        <v>0</v>
      </c>
      <c r="N733" s="178">
        <v>25000</v>
      </c>
      <c r="O733" s="212">
        <v>0.19</v>
      </c>
      <c r="P733" s="204">
        <v>75000</v>
      </c>
      <c r="Q733" s="508">
        <v>292190</v>
      </c>
      <c r="R733" s="212">
        <v>0.19</v>
      </c>
      <c r="S733" s="178">
        <v>876570</v>
      </c>
      <c r="T733" s="176">
        <f>SUM(K733+N733+Q733)/2</f>
        <v>158595</v>
      </c>
      <c r="U733" s="212">
        <v>0.19</v>
      </c>
      <c r="V733" s="196">
        <f t="shared" si="115"/>
        <v>475785</v>
      </c>
    </row>
    <row r="734" spans="1:22" s="449" customFormat="1" ht="15.6" x14ac:dyDescent="0.3">
      <c r="A734" s="181">
        <v>5</v>
      </c>
      <c r="B734" s="182" t="s">
        <v>534</v>
      </c>
      <c r="C734" s="183" t="s">
        <v>886</v>
      </c>
      <c r="D734" s="184">
        <v>12352300</v>
      </c>
      <c r="E734" s="185">
        <v>19</v>
      </c>
      <c r="F734" s="217" t="s">
        <v>1251</v>
      </c>
      <c r="G734" s="400" t="s">
        <v>1252</v>
      </c>
      <c r="H734" s="215">
        <f t="shared" si="113"/>
        <v>15</v>
      </c>
      <c r="I734" s="215">
        <v>10</v>
      </c>
      <c r="J734" s="109">
        <v>5</v>
      </c>
      <c r="K734" s="346">
        <v>55930</v>
      </c>
      <c r="L734" s="212">
        <v>0.19</v>
      </c>
      <c r="M734" s="176">
        <v>279650</v>
      </c>
      <c r="N734" s="178">
        <v>63000</v>
      </c>
      <c r="O734" s="212">
        <v>0.19</v>
      </c>
      <c r="P734" s="204">
        <v>315000</v>
      </c>
      <c r="Q734" s="508">
        <v>52905</v>
      </c>
      <c r="R734" s="212">
        <v>0.19</v>
      </c>
      <c r="S734" s="178">
        <v>264525</v>
      </c>
      <c r="T734" s="176">
        <f t="shared" si="114"/>
        <v>57278.333333333336</v>
      </c>
      <c r="U734" s="212">
        <v>0.19</v>
      </c>
      <c r="V734" s="196">
        <f t="shared" si="115"/>
        <v>286391.66666666669</v>
      </c>
    </row>
    <row r="735" spans="1:22" s="449" customFormat="1" ht="158.4" x14ac:dyDescent="0.3">
      <c r="A735" s="188">
        <v>5</v>
      </c>
      <c r="B735" s="191" t="s">
        <v>534</v>
      </c>
      <c r="C735" s="191" t="s">
        <v>902</v>
      </c>
      <c r="D735" s="192">
        <v>12352100</v>
      </c>
      <c r="E735" s="109">
        <v>20</v>
      </c>
      <c r="F735" s="188" t="s">
        <v>1253</v>
      </c>
      <c r="G735" s="188" t="s">
        <v>1254</v>
      </c>
      <c r="H735" s="215">
        <f t="shared" si="113"/>
        <v>12</v>
      </c>
      <c r="I735" s="215">
        <v>10</v>
      </c>
      <c r="J735" s="400">
        <v>2</v>
      </c>
      <c r="K735" s="346">
        <v>71757</v>
      </c>
      <c r="L735" s="212">
        <v>0.19</v>
      </c>
      <c r="M735" s="176">
        <v>143514</v>
      </c>
      <c r="N735" s="178">
        <v>73000</v>
      </c>
      <c r="O735" s="212">
        <v>0.19</v>
      </c>
      <c r="P735" s="204">
        <v>146000</v>
      </c>
      <c r="Q735" s="508"/>
      <c r="R735" s="212">
        <v>0.19</v>
      </c>
      <c r="S735" s="178">
        <v>0</v>
      </c>
      <c r="T735" s="176">
        <f>SUM(K735+N735+Q735)/2</f>
        <v>72378.5</v>
      </c>
      <c r="U735" s="212">
        <v>0.19</v>
      </c>
      <c r="V735" s="196">
        <f t="shared" si="115"/>
        <v>144757</v>
      </c>
    </row>
    <row r="736" spans="1:22" s="449" customFormat="1" ht="158.4" x14ac:dyDescent="0.3">
      <c r="A736" s="188">
        <v>5</v>
      </c>
      <c r="B736" s="191" t="s">
        <v>534</v>
      </c>
      <c r="C736" s="191" t="s">
        <v>902</v>
      </c>
      <c r="D736" s="192">
        <v>12352100</v>
      </c>
      <c r="E736" s="185">
        <v>21</v>
      </c>
      <c r="F736" s="188" t="s">
        <v>1255</v>
      </c>
      <c r="G736" s="188" t="s">
        <v>1254</v>
      </c>
      <c r="H736" s="215">
        <f t="shared" si="113"/>
        <v>12</v>
      </c>
      <c r="I736" s="215">
        <v>10</v>
      </c>
      <c r="J736" s="400">
        <v>2</v>
      </c>
      <c r="K736" s="346">
        <v>143633</v>
      </c>
      <c r="L736" s="212">
        <v>0.19</v>
      </c>
      <c r="M736" s="176">
        <v>287266</v>
      </c>
      <c r="N736" s="178">
        <v>145300</v>
      </c>
      <c r="O736" s="212">
        <v>0.19</v>
      </c>
      <c r="P736" s="204">
        <v>290600</v>
      </c>
      <c r="Q736" s="508">
        <v>101489</v>
      </c>
      <c r="R736" s="212">
        <v>0.19</v>
      </c>
      <c r="S736" s="178">
        <v>202978</v>
      </c>
      <c r="T736" s="176">
        <f t="shared" si="114"/>
        <v>130140.66666666667</v>
      </c>
      <c r="U736" s="212">
        <v>0.19</v>
      </c>
      <c r="V736" s="196">
        <f t="shared" si="115"/>
        <v>260281.33333333334</v>
      </c>
    </row>
    <row r="737" spans="1:50" s="449" customFormat="1" ht="129.6" x14ac:dyDescent="0.3">
      <c r="A737" s="188">
        <v>5</v>
      </c>
      <c r="B737" s="191" t="s">
        <v>534</v>
      </c>
      <c r="C737" s="191" t="s">
        <v>902</v>
      </c>
      <c r="D737" s="192">
        <v>12352100</v>
      </c>
      <c r="E737" s="185">
        <v>22</v>
      </c>
      <c r="F737" s="188" t="s">
        <v>1256</v>
      </c>
      <c r="G737" s="188" t="s">
        <v>1254</v>
      </c>
      <c r="H737" s="215">
        <f t="shared" si="113"/>
        <v>12</v>
      </c>
      <c r="I737" s="215">
        <v>10</v>
      </c>
      <c r="J737" s="400">
        <v>2</v>
      </c>
      <c r="K737" s="346"/>
      <c r="L737" s="212">
        <v>0.19</v>
      </c>
      <c r="M737" s="176">
        <v>0</v>
      </c>
      <c r="N737" s="178">
        <v>39000</v>
      </c>
      <c r="O737" s="212">
        <v>0.19</v>
      </c>
      <c r="P737" s="204">
        <v>78000</v>
      </c>
      <c r="Q737" s="508"/>
      <c r="R737" s="212">
        <v>0.19</v>
      </c>
      <c r="S737" s="178">
        <v>0</v>
      </c>
      <c r="T737" s="176">
        <f>SUM(K737+N737+Q737)/1</f>
        <v>39000</v>
      </c>
      <c r="U737" s="212">
        <v>0.19</v>
      </c>
      <c r="V737" s="196">
        <f t="shared" si="115"/>
        <v>78000</v>
      </c>
    </row>
    <row r="738" spans="1:50" s="449" customFormat="1" ht="158.4" x14ac:dyDescent="0.3">
      <c r="A738" s="188">
        <v>5</v>
      </c>
      <c r="B738" s="191" t="s">
        <v>534</v>
      </c>
      <c r="C738" s="191" t="s">
        <v>902</v>
      </c>
      <c r="D738" s="192">
        <v>12352100</v>
      </c>
      <c r="E738" s="109">
        <v>23</v>
      </c>
      <c r="F738" s="188" t="s">
        <v>1257</v>
      </c>
      <c r="G738" s="188" t="s">
        <v>1254</v>
      </c>
      <c r="H738" s="215">
        <f t="shared" si="113"/>
        <v>14</v>
      </c>
      <c r="I738" s="215">
        <v>10</v>
      </c>
      <c r="J738" s="400">
        <v>4</v>
      </c>
      <c r="K738" s="346">
        <v>84014</v>
      </c>
      <c r="L738" s="212">
        <v>0.19</v>
      </c>
      <c r="M738" s="176">
        <v>336056</v>
      </c>
      <c r="N738" s="178">
        <v>87500</v>
      </c>
      <c r="O738" s="212">
        <v>0.19</v>
      </c>
      <c r="P738" s="204">
        <v>350000</v>
      </c>
      <c r="Q738" s="508"/>
      <c r="R738" s="212">
        <v>0.19</v>
      </c>
      <c r="S738" s="178">
        <v>0</v>
      </c>
      <c r="T738" s="176">
        <f>SUM(K738+N738+Q738)/2</f>
        <v>85757</v>
      </c>
      <c r="U738" s="212">
        <v>0.19</v>
      </c>
      <c r="V738" s="196">
        <f t="shared" si="115"/>
        <v>343028</v>
      </c>
    </row>
    <row r="739" spans="1:50" s="449" customFormat="1" ht="55.2" x14ac:dyDescent="0.3">
      <c r="A739" s="249">
        <v>5</v>
      </c>
      <c r="B739" s="250" t="s">
        <v>534</v>
      </c>
      <c r="C739" s="251" t="s">
        <v>886</v>
      </c>
      <c r="D739" s="9">
        <v>12352300</v>
      </c>
      <c r="E739" s="185">
        <v>24</v>
      </c>
      <c r="F739" s="486" t="s">
        <v>1258</v>
      </c>
      <c r="G739" s="82" t="s">
        <v>1259</v>
      </c>
      <c r="H739" s="215">
        <f t="shared" si="113"/>
        <v>15</v>
      </c>
      <c r="I739" s="215">
        <v>10</v>
      </c>
      <c r="J739" s="268">
        <v>5</v>
      </c>
      <c r="K739" s="512">
        <v>73185</v>
      </c>
      <c r="L739" s="513">
        <v>0.19</v>
      </c>
      <c r="M739" s="514">
        <v>365925</v>
      </c>
      <c r="N739" s="512">
        <v>22779</v>
      </c>
      <c r="O739" s="513">
        <v>0.19</v>
      </c>
      <c r="P739" s="514">
        <v>113895</v>
      </c>
      <c r="Q739" s="514">
        <v>47982</v>
      </c>
      <c r="R739" s="513">
        <v>0.19</v>
      </c>
      <c r="S739" s="514">
        <v>239910</v>
      </c>
      <c r="T739" s="176">
        <f t="shared" si="114"/>
        <v>47982</v>
      </c>
      <c r="U739" s="212">
        <v>0.19</v>
      </c>
      <c r="V739" s="196">
        <f t="shared" si="115"/>
        <v>239910</v>
      </c>
    </row>
    <row r="740" spans="1:50" s="449" customFormat="1" ht="138" x14ac:dyDescent="0.3">
      <c r="A740" s="249">
        <v>5</v>
      </c>
      <c r="B740" s="266">
        <v>141103148</v>
      </c>
      <c r="C740" s="266">
        <v>282948</v>
      </c>
      <c r="D740" s="266">
        <v>41116105</v>
      </c>
      <c r="E740" s="185">
        <v>25</v>
      </c>
      <c r="F740" s="486" t="s">
        <v>1246</v>
      </c>
      <c r="G740" s="255" t="s">
        <v>1247</v>
      </c>
      <c r="H740" s="215">
        <f t="shared" si="113"/>
        <v>15</v>
      </c>
      <c r="I740" s="215">
        <v>10</v>
      </c>
      <c r="J740" s="484">
        <v>5</v>
      </c>
      <c r="K740" s="512">
        <v>77707</v>
      </c>
      <c r="L740" s="513">
        <v>0.19</v>
      </c>
      <c r="M740" s="514">
        <v>388535</v>
      </c>
      <c r="N740" s="512">
        <v>51627.5</v>
      </c>
      <c r="O740" s="513">
        <v>0.19</v>
      </c>
      <c r="P740" s="514">
        <v>258137.5</v>
      </c>
      <c r="Q740" s="514">
        <v>64667.25</v>
      </c>
      <c r="R740" s="513">
        <v>0.19</v>
      </c>
      <c r="S740" s="514">
        <v>323336.25</v>
      </c>
      <c r="T740" s="176">
        <f t="shared" si="114"/>
        <v>64667.25</v>
      </c>
      <c r="U740" s="212">
        <v>0.19</v>
      </c>
      <c r="V740" s="196">
        <f t="shared" si="115"/>
        <v>323336.25</v>
      </c>
    </row>
    <row r="741" spans="1:50" s="449" customFormat="1" ht="15.6" x14ac:dyDescent="0.3">
      <c r="A741" s="249">
        <v>5</v>
      </c>
      <c r="B741" s="250" t="s">
        <v>534</v>
      </c>
      <c r="C741" s="251" t="s">
        <v>886</v>
      </c>
      <c r="D741" s="9">
        <v>12352300</v>
      </c>
      <c r="E741" s="109">
        <v>26</v>
      </c>
      <c r="F741" s="486" t="s">
        <v>1251</v>
      </c>
      <c r="G741" s="484" t="s">
        <v>1252</v>
      </c>
      <c r="H741" s="215">
        <f t="shared" si="113"/>
        <v>13</v>
      </c>
      <c r="I741" s="215">
        <v>10</v>
      </c>
      <c r="J741" s="484">
        <v>3</v>
      </c>
      <c r="K741" s="512">
        <v>52241</v>
      </c>
      <c r="L741" s="513">
        <v>0.19</v>
      </c>
      <c r="M741" s="514">
        <v>156723</v>
      </c>
      <c r="N741" s="512">
        <v>52905</v>
      </c>
      <c r="O741" s="513">
        <v>0.19</v>
      </c>
      <c r="P741" s="514">
        <v>158715</v>
      </c>
      <c r="Q741" s="514">
        <v>52573</v>
      </c>
      <c r="R741" s="513">
        <v>0.19</v>
      </c>
      <c r="S741" s="514">
        <v>157719</v>
      </c>
      <c r="T741" s="176">
        <f t="shared" si="114"/>
        <v>52573</v>
      </c>
      <c r="U741" s="212">
        <v>0.19</v>
      </c>
      <c r="V741" s="196">
        <f t="shared" si="115"/>
        <v>157719</v>
      </c>
    </row>
    <row r="742" spans="1:50" s="449" customFormat="1" ht="26.4" x14ac:dyDescent="0.3">
      <c r="A742" s="266">
        <v>5</v>
      </c>
      <c r="B742" s="266">
        <v>141103147</v>
      </c>
      <c r="C742" s="266">
        <v>276822</v>
      </c>
      <c r="D742" s="266">
        <v>41121802</v>
      </c>
      <c r="E742" s="185">
        <v>27</v>
      </c>
      <c r="F742" s="485" t="s">
        <v>1260</v>
      </c>
      <c r="G742" s="486" t="s">
        <v>1261</v>
      </c>
      <c r="H742" s="215">
        <f t="shared" si="113"/>
        <v>25</v>
      </c>
      <c r="I742" s="215">
        <v>10</v>
      </c>
      <c r="J742" s="486">
        <v>15</v>
      </c>
      <c r="K742" s="515">
        <v>61285</v>
      </c>
      <c r="L742" s="513">
        <v>0.19</v>
      </c>
      <c r="M742" s="514">
        <v>919275</v>
      </c>
      <c r="N742" s="516">
        <v>57120</v>
      </c>
      <c r="O742" s="513">
        <v>0.19</v>
      </c>
      <c r="P742" s="514">
        <v>856800</v>
      </c>
      <c r="Q742" s="514">
        <v>59202.5</v>
      </c>
      <c r="R742" s="513">
        <v>0.19</v>
      </c>
      <c r="S742" s="514">
        <v>888037.5</v>
      </c>
      <c r="T742" s="176">
        <f t="shared" si="114"/>
        <v>59202.5</v>
      </c>
      <c r="U742" s="212">
        <v>0.19</v>
      </c>
      <c r="V742" s="196">
        <f t="shared" si="115"/>
        <v>888037.5</v>
      </c>
    </row>
    <row r="743" spans="1:50" s="449" customFormat="1" ht="26.4" x14ac:dyDescent="0.3">
      <c r="A743" s="9">
        <v>5</v>
      </c>
      <c r="B743" s="251" t="s">
        <v>538</v>
      </c>
      <c r="C743" s="251" t="s">
        <v>1262</v>
      </c>
      <c r="D743" s="9">
        <v>12352100</v>
      </c>
      <c r="E743" s="185">
        <v>28</v>
      </c>
      <c r="F743" s="256" t="s">
        <v>1263</v>
      </c>
      <c r="G743" s="255" t="s">
        <v>920</v>
      </c>
      <c r="H743" s="215">
        <f t="shared" si="113"/>
        <v>15</v>
      </c>
      <c r="I743" s="215">
        <v>10</v>
      </c>
      <c r="J743" s="505">
        <v>5</v>
      </c>
      <c r="K743" s="512">
        <v>5950</v>
      </c>
      <c r="L743" s="513">
        <v>0.19</v>
      </c>
      <c r="M743" s="514">
        <v>29750</v>
      </c>
      <c r="N743" s="512">
        <v>15979</v>
      </c>
      <c r="O743" s="513">
        <v>0.19</v>
      </c>
      <c r="P743" s="514">
        <v>79895</v>
      </c>
      <c r="Q743" s="514">
        <v>10964.5</v>
      </c>
      <c r="R743" s="513">
        <v>0.19</v>
      </c>
      <c r="S743" s="514">
        <v>54822.5</v>
      </c>
      <c r="T743" s="176">
        <f t="shared" si="114"/>
        <v>10964.5</v>
      </c>
      <c r="U743" s="212">
        <v>0.19</v>
      </c>
      <c r="V743" s="196">
        <f t="shared" si="115"/>
        <v>54822.5</v>
      </c>
    </row>
    <row r="744" spans="1:50" s="449" customFormat="1" ht="26.4" x14ac:dyDescent="0.3">
      <c r="A744" s="9">
        <v>5</v>
      </c>
      <c r="B744" s="251" t="s">
        <v>534</v>
      </c>
      <c r="C744" s="251" t="s">
        <v>889</v>
      </c>
      <c r="D744" s="9">
        <v>12352100</v>
      </c>
      <c r="E744" s="109">
        <v>29</v>
      </c>
      <c r="F744" s="256" t="s">
        <v>1264</v>
      </c>
      <c r="G744" s="255" t="s">
        <v>920</v>
      </c>
      <c r="H744" s="215">
        <f t="shared" si="113"/>
        <v>15</v>
      </c>
      <c r="I744" s="215">
        <v>10</v>
      </c>
      <c r="J744" s="505">
        <v>5</v>
      </c>
      <c r="K744" s="254">
        <v>9520</v>
      </c>
      <c r="L744" s="253">
        <v>0.19</v>
      </c>
      <c r="M744" s="482">
        <v>47600</v>
      </c>
      <c r="N744" s="254">
        <v>15979</v>
      </c>
      <c r="O744" s="253">
        <v>0.19</v>
      </c>
      <c r="P744" s="482">
        <v>79895</v>
      </c>
      <c r="Q744" s="482">
        <v>12749.5</v>
      </c>
      <c r="R744" s="253">
        <v>0.19</v>
      </c>
      <c r="S744" s="482">
        <v>63747.5</v>
      </c>
      <c r="T744" s="196">
        <f t="shared" si="114"/>
        <v>12749.5</v>
      </c>
      <c r="U744" s="194">
        <v>0.19</v>
      </c>
      <c r="V744" s="196">
        <f t="shared" si="115"/>
        <v>63747.5</v>
      </c>
    </row>
    <row r="745" spans="1:50" s="449" customFormat="1" ht="66" x14ac:dyDescent="0.3">
      <c r="A745" s="23">
        <v>5</v>
      </c>
      <c r="B745" s="495" t="s">
        <v>1265</v>
      </c>
      <c r="C745" s="495" t="s">
        <v>1266</v>
      </c>
      <c r="D745" s="9">
        <v>46181541</v>
      </c>
      <c r="E745" s="185">
        <v>30</v>
      </c>
      <c r="F745" s="255" t="s">
        <v>1267</v>
      </c>
      <c r="G745" s="265" t="s">
        <v>1268</v>
      </c>
      <c r="H745" s="215">
        <f t="shared" si="113"/>
        <v>13</v>
      </c>
      <c r="I745" s="215">
        <v>10</v>
      </c>
      <c r="J745" s="265">
        <v>3</v>
      </c>
      <c r="K745" s="257">
        <v>85085</v>
      </c>
      <c r="L745" s="253">
        <v>0.19</v>
      </c>
      <c r="M745" s="482">
        <v>255255</v>
      </c>
      <c r="N745" s="483">
        <v>108571</v>
      </c>
      <c r="O745" s="253">
        <v>0.19</v>
      </c>
      <c r="P745" s="482">
        <v>325713</v>
      </c>
      <c r="Q745" s="482">
        <v>96828</v>
      </c>
      <c r="R745" s="253">
        <v>0.19</v>
      </c>
      <c r="S745" s="482">
        <v>290484</v>
      </c>
      <c r="T745" s="196">
        <f t="shared" si="114"/>
        <v>96828</v>
      </c>
      <c r="U745" s="194">
        <v>0.19</v>
      </c>
      <c r="V745" s="196">
        <f t="shared" si="115"/>
        <v>290484</v>
      </c>
    </row>
    <row r="746" spans="1:50" s="449" customFormat="1" ht="66" x14ac:dyDescent="0.3">
      <c r="A746" s="23">
        <v>5</v>
      </c>
      <c r="B746" s="495" t="s">
        <v>1265</v>
      </c>
      <c r="C746" s="495" t="s">
        <v>1266</v>
      </c>
      <c r="D746" s="9">
        <v>46181542</v>
      </c>
      <c r="E746" s="185">
        <v>31</v>
      </c>
      <c r="F746" s="255" t="s">
        <v>1269</v>
      </c>
      <c r="G746" s="265" t="s">
        <v>1268</v>
      </c>
      <c r="H746" s="215">
        <f t="shared" si="113"/>
        <v>15</v>
      </c>
      <c r="I746" s="215">
        <v>10</v>
      </c>
      <c r="J746" s="265">
        <v>5</v>
      </c>
      <c r="K746" s="257">
        <v>85085</v>
      </c>
      <c r="L746" s="253">
        <v>0.19</v>
      </c>
      <c r="M746" s="482">
        <v>425425</v>
      </c>
      <c r="N746" s="483">
        <v>108571</v>
      </c>
      <c r="O746" s="253">
        <v>0.19</v>
      </c>
      <c r="P746" s="482">
        <v>542855</v>
      </c>
      <c r="Q746" s="482">
        <v>96828</v>
      </c>
      <c r="R746" s="253">
        <v>0.19</v>
      </c>
      <c r="S746" s="482">
        <v>484140</v>
      </c>
      <c r="T746" s="196">
        <f t="shared" si="114"/>
        <v>96828</v>
      </c>
      <c r="U746" s="194">
        <v>0.19</v>
      </c>
      <c r="V746" s="196">
        <f t="shared" si="115"/>
        <v>484140</v>
      </c>
    </row>
    <row r="747" spans="1:50" s="449" customFormat="1" ht="66" x14ac:dyDescent="0.3">
      <c r="A747" s="23">
        <v>5</v>
      </c>
      <c r="B747" s="495" t="s">
        <v>1265</v>
      </c>
      <c r="C747" s="495" t="s">
        <v>1266</v>
      </c>
      <c r="D747" s="9">
        <v>46181543</v>
      </c>
      <c r="E747" s="109">
        <v>32</v>
      </c>
      <c r="F747" s="255" t="s">
        <v>1270</v>
      </c>
      <c r="G747" s="265" t="s">
        <v>1268</v>
      </c>
      <c r="H747" s="215">
        <f t="shared" si="113"/>
        <v>13</v>
      </c>
      <c r="I747" s="215">
        <v>10</v>
      </c>
      <c r="J747" s="265">
        <v>3</v>
      </c>
      <c r="K747" s="257">
        <v>85085</v>
      </c>
      <c r="L747" s="253">
        <v>0.19</v>
      </c>
      <c r="M747" s="482">
        <v>255255</v>
      </c>
      <c r="N747" s="483">
        <v>108571</v>
      </c>
      <c r="O747" s="253">
        <v>0.19</v>
      </c>
      <c r="P747" s="482">
        <v>325713</v>
      </c>
      <c r="Q747" s="482">
        <v>96828</v>
      </c>
      <c r="R747" s="253">
        <v>0.19</v>
      </c>
      <c r="S747" s="482">
        <v>290484</v>
      </c>
      <c r="T747" s="196">
        <f t="shared" si="114"/>
        <v>96828</v>
      </c>
      <c r="U747" s="194">
        <v>0.19</v>
      </c>
      <c r="V747" s="196">
        <f t="shared" si="115"/>
        <v>290484</v>
      </c>
    </row>
    <row r="748" spans="1:50" s="449" customFormat="1" ht="66" x14ac:dyDescent="0.3">
      <c r="A748" s="9">
        <v>5</v>
      </c>
      <c r="B748" s="251" t="s">
        <v>955</v>
      </c>
      <c r="C748" s="251" t="s">
        <v>956</v>
      </c>
      <c r="D748" s="9">
        <v>41122400</v>
      </c>
      <c r="E748" s="185">
        <v>33</v>
      </c>
      <c r="F748" s="255" t="s">
        <v>1271</v>
      </c>
      <c r="G748" s="265" t="s">
        <v>1272</v>
      </c>
      <c r="H748" s="215">
        <f t="shared" si="113"/>
        <v>13</v>
      </c>
      <c r="I748" s="215">
        <v>10</v>
      </c>
      <c r="J748" s="267">
        <v>3</v>
      </c>
      <c r="K748" s="254">
        <v>40936</v>
      </c>
      <c r="L748" s="253">
        <v>0.19</v>
      </c>
      <c r="M748" s="482">
        <v>122808</v>
      </c>
      <c r="N748" s="499">
        <v>61199</v>
      </c>
      <c r="O748" s="253">
        <v>0.19</v>
      </c>
      <c r="P748" s="482">
        <v>183597</v>
      </c>
      <c r="Q748" s="482">
        <v>51067.5</v>
      </c>
      <c r="R748" s="253">
        <v>0.19</v>
      </c>
      <c r="S748" s="482">
        <v>153202.5</v>
      </c>
      <c r="T748" s="196">
        <f t="shared" si="114"/>
        <v>51067.5</v>
      </c>
      <c r="U748" s="194">
        <v>0.19</v>
      </c>
      <c r="V748" s="196">
        <f t="shared" si="115"/>
        <v>153202.5</v>
      </c>
    </row>
    <row r="749" spans="1:50" s="449" customFormat="1" ht="66" x14ac:dyDescent="0.3">
      <c r="A749" s="9">
        <v>5</v>
      </c>
      <c r="B749" s="251" t="s">
        <v>955</v>
      </c>
      <c r="C749" s="251" t="s">
        <v>956</v>
      </c>
      <c r="D749" s="9">
        <v>41122400</v>
      </c>
      <c r="E749" s="185">
        <v>34</v>
      </c>
      <c r="F749" s="255" t="s">
        <v>1273</v>
      </c>
      <c r="G749" s="265" t="s">
        <v>1272</v>
      </c>
      <c r="H749" s="215">
        <f t="shared" si="113"/>
        <v>13</v>
      </c>
      <c r="I749" s="215">
        <v>10</v>
      </c>
      <c r="J749" s="267">
        <v>3</v>
      </c>
      <c r="K749" s="254">
        <v>35700</v>
      </c>
      <c r="L749" s="253">
        <v>0.19</v>
      </c>
      <c r="M749" s="482">
        <v>107100</v>
      </c>
      <c r="N749" s="499">
        <v>57120</v>
      </c>
      <c r="O749" s="253">
        <v>0.19</v>
      </c>
      <c r="P749" s="482">
        <v>171360</v>
      </c>
      <c r="Q749" s="482">
        <v>46410</v>
      </c>
      <c r="R749" s="253">
        <v>0.19</v>
      </c>
      <c r="S749" s="482">
        <v>139230</v>
      </c>
      <c r="T749" s="196">
        <f t="shared" si="114"/>
        <v>46410</v>
      </c>
      <c r="U749" s="194">
        <v>0.19</v>
      </c>
      <c r="V749" s="196">
        <f t="shared" si="115"/>
        <v>139230</v>
      </c>
    </row>
    <row r="750" spans="1:50" s="449" customFormat="1" ht="66" x14ac:dyDescent="0.3">
      <c r="A750" s="9">
        <v>5</v>
      </c>
      <c r="B750" s="251" t="s">
        <v>955</v>
      </c>
      <c r="C750" s="251" t="s">
        <v>956</v>
      </c>
      <c r="D750" s="9">
        <v>41122400</v>
      </c>
      <c r="E750" s="109">
        <v>35</v>
      </c>
      <c r="F750" s="255" t="s">
        <v>1274</v>
      </c>
      <c r="G750" s="265" t="s">
        <v>1272</v>
      </c>
      <c r="H750" s="215">
        <f t="shared" si="113"/>
        <v>13</v>
      </c>
      <c r="I750" s="215">
        <v>10</v>
      </c>
      <c r="J750" s="267">
        <v>3</v>
      </c>
      <c r="K750" s="254">
        <v>17850</v>
      </c>
      <c r="L750" s="253">
        <v>0.19</v>
      </c>
      <c r="M750" s="482">
        <v>53550</v>
      </c>
      <c r="N750" s="499">
        <v>5950</v>
      </c>
      <c r="O750" s="253">
        <v>0.19</v>
      </c>
      <c r="P750" s="482">
        <v>17850</v>
      </c>
      <c r="Q750" s="482">
        <v>11900</v>
      </c>
      <c r="R750" s="253">
        <v>0.19</v>
      </c>
      <c r="S750" s="482">
        <v>35700</v>
      </c>
      <c r="T750" s="196">
        <f t="shared" si="114"/>
        <v>11900</v>
      </c>
      <c r="U750" s="194">
        <v>0.19</v>
      </c>
      <c r="V750" s="196">
        <f t="shared" si="115"/>
        <v>35700</v>
      </c>
    </row>
    <row r="751" spans="1:50" s="449" customFormat="1" ht="15.6" x14ac:dyDescent="0.3">
      <c r="A751" s="266">
        <v>5</v>
      </c>
      <c r="B751" s="266">
        <v>141103147</v>
      </c>
      <c r="C751" s="266">
        <v>233789</v>
      </c>
      <c r="D751" s="266">
        <v>41123403</v>
      </c>
      <c r="E751" s="185">
        <v>36</v>
      </c>
      <c r="F751" s="485" t="s">
        <v>1275</v>
      </c>
      <c r="G751" s="486" t="s">
        <v>1276</v>
      </c>
      <c r="H751" s="215">
        <f t="shared" si="113"/>
        <v>20</v>
      </c>
      <c r="I751" s="215">
        <v>10</v>
      </c>
      <c r="J751" s="486">
        <v>10</v>
      </c>
      <c r="K751" s="263">
        <v>50000</v>
      </c>
      <c r="L751" s="253">
        <v>0</v>
      </c>
      <c r="M751" s="482">
        <v>500000</v>
      </c>
      <c r="N751" s="492">
        <v>42500</v>
      </c>
      <c r="O751" s="253">
        <v>0.19</v>
      </c>
      <c r="P751" s="482">
        <v>425000</v>
      </c>
      <c r="Q751" s="482">
        <v>46250</v>
      </c>
      <c r="R751" s="253">
        <v>0.19</v>
      </c>
      <c r="S751" s="482">
        <v>462500</v>
      </c>
      <c r="T751" s="196">
        <f t="shared" si="114"/>
        <v>46250</v>
      </c>
      <c r="U751" s="194">
        <v>0.19</v>
      </c>
      <c r="V751" s="196">
        <f t="shared" si="115"/>
        <v>462500</v>
      </c>
    </row>
    <row r="752" spans="1:50" s="203" customFormat="1" x14ac:dyDescent="0.3">
      <c r="E752" s="507"/>
      <c r="M752" s="506">
        <f>SUM(M716:M751)</f>
        <v>8731805</v>
      </c>
      <c r="N752" s="720"/>
      <c r="O752" s="720"/>
      <c r="P752" s="239">
        <f>SUM(P716:P751)</f>
        <v>6276725.5</v>
      </c>
      <c r="Q752" s="720"/>
      <c r="R752" s="720"/>
      <c r="S752" s="206">
        <f>SUM(S716:S751)</f>
        <v>12925599.199999999</v>
      </c>
      <c r="T752" s="720"/>
      <c r="U752" s="720"/>
      <c r="V752" s="506">
        <f>SUM(V716:V750)</f>
        <v>9829953.0666666664</v>
      </c>
      <c r="X752" s="449"/>
      <c r="Y752" s="449"/>
      <c r="Z752" s="449"/>
      <c r="AA752" s="449"/>
      <c r="AB752" s="449"/>
      <c r="AC752" s="449"/>
      <c r="AD752" s="449"/>
      <c r="AE752" s="449"/>
      <c r="AF752" s="449"/>
      <c r="AG752" s="449"/>
      <c r="AH752" s="449"/>
      <c r="AI752" s="449"/>
      <c r="AJ752" s="449"/>
      <c r="AK752" s="449"/>
      <c r="AL752" s="449"/>
      <c r="AM752" s="449"/>
      <c r="AN752" s="449"/>
      <c r="AO752" s="449"/>
      <c r="AP752" s="449"/>
      <c r="AQ752" s="449"/>
      <c r="AR752" s="449"/>
      <c r="AS752" s="449"/>
      <c r="AT752" s="449"/>
      <c r="AU752" s="449"/>
      <c r="AV752" s="449"/>
      <c r="AW752" s="449"/>
      <c r="AX752" s="449"/>
    </row>
    <row r="754" spans="1:50" ht="15" customHeight="1" x14ac:dyDescent="0.3">
      <c r="A754" s="611" t="s">
        <v>1277</v>
      </c>
      <c r="B754" s="612"/>
      <c r="C754" s="612"/>
      <c r="D754" s="612"/>
      <c r="E754" s="612"/>
      <c r="F754" s="612"/>
      <c r="G754" s="612"/>
      <c r="H754" s="612"/>
      <c r="I754" s="612"/>
      <c r="J754" s="612"/>
      <c r="K754" s="612"/>
      <c r="L754" s="612"/>
      <c r="M754" s="612"/>
      <c r="N754" s="612"/>
      <c r="O754" s="612"/>
      <c r="P754" s="612"/>
      <c r="Q754" s="612"/>
      <c r="R754" s="612"/>
      <c r="S754" s="613"/>
      <c r="T754" s="541"/>
      <c r="U754" s="541"/>
      <c r="V754" s="541"/>
    </row>
    <row r="755" spans="1:50" ht="15" customHeight="1" x14ac:dyDescent="0.3">
      <c r="A755" s="614"/>
      <c r="B755" s="615"/>
      <c r="C755" s="615"/>
      <c r="D755" s="615"/>
      <c r="E755" s="721" t="s">
        <v>1277</v>
      </c>
      <c r="F755" s="721"/>
      <c r="G755" s="721"/>
      <c r="H755" s="721"/>
      <c r="I755" s="615"/>
      <c r="J755" s="615"/>
      <c r="K755" s="615"/>
      <c r="L755" s="615"/>
      <c r="M755" s="615"/>
      <c r="N755" s="615"/>
      <c r="O755" s="615"/>
      <c r="P755" s="615"/>
      <c r="Q755" s="615"/>
      <c r="R755" s="615"/>
      <c r="S755" s="616"/>
      <c r="T755" s="541"/>
      <c r="U755" s="541"/>
      <c r="V755" s="541"/>
    </row>
    <row r="756" spans="1:50" ht="15.6" x14ac:dyDescent="0.3">
      <c r="A756" s="709" t="s">
        <v>83</v>
      </c>
      <c r="B756" s="709" t="s">
        <v>84</v>
      </c>
      <c r="C756" s="709" t="s">
        <v>85</v>
      </c>
      <c r="D756" s="711" t="s">
        <v>86</v>
      </c>
      <c r="E756" s="709" t="s">
        <v>6</v>
      </c>
      <c r="F756" s="709" t="s">
        <v>87</v>
      </c>
      <c r="G756" s="709" t="s">
        <v>88</v>
      </c>
      <c r="H756" s="702" t="s">
        <v>89</v>
      </c>
      <c r="I756" s="124"/>
      <c r="J756" s="705" t="s">
        <v>89</v>
      </c>
      <c r="K756" s="710" t="s">
        <v>818</v>
      </c>
      <c r="L756" s="710"/>
      <c r="M756" s="710"/>
      <c r="N756" s="704" t="s">
        <v>819</v>
      </c>
      <c r="O756" s="704"/>
      <c r="P756" s="704"/>
      <c r="Q756" s="704" t="s">
        <v>15</v>
      </c>
      <c r="R756" s="704"/>
      <c r="S756" s="704"/>
      <c r="U756" s="197"/>
      <c r="V756" s="197"/>
      <c r="W756" s="197"/>
      <c r="AV756"/>
      <c r="AW756"/>
      <c r="AX756"/>
    </row>
    <row r="757" spans="1:50" ht="46.8" x14ac:dyDescent="0.3">
      <c r="A757" s="709"/>
      <c r="B757" s="709"/>
      <c r="C757" s="709"/>
      <c r="D757" s="711"/>
      <c r="E757" s="709"/>
      <c r="F757" s="709"/>
      <c r="G757" s="709"/>
      <c r="H757" s="703"/>
      <c r="I757" s="124"/>
      <c r="J757" s="705"/>
      <c r="K757" s="25" t="s">
        <v>382</v>
      </c>
      <c r="L757" s="25" t="s">
        <v>17</v>
      </c>
      <c r="M757" s="25" t="s">
        <v>18</v>
      </c>
      <c r="N757" s="25" t="s">
        <v>367</v>
      </c>
      <c r="O757" s="25" t="s">
        <v>17</v>
      </c>
      <c r="P757" s="248" t="s">
        <v>18</v>
      </c>
      <c r="Q757" s="25" t="s">
        <v>367</v>
      </c>
      <c r="R757" s="25" t="s">
        <v>17</v>
      </c>
      <c r="S757" s="25" t="s">
        <v>18</v>
      </c>
      <c r="U757" s="197"/>
      <c r="V757" s="197"/>
      <c r="W757" s="197"/>
      <c r="AV757"/>
      <c r="AW757"/>
      <c r="AX757"/>
    </row>
    <row r="758" spans="1:50" s="545" customFormat="1" ht="41.4" x14ac:dyDescent="0.3">
      <c r="A758" s="16">
        <v>5</v>
      </c>
      <c r="B758" s="16">
        <v>111161532</v>
      </c>
      <c r="C758" s="183" t="s">
        <v>1278</v>
      </c>
      <c r="D758" s="16">
        <v>11161701</v>
      </c>
      <c r="E758" s="16">
        <v>1</v>
      </c>
      <c r="F758" s="533" t="s">
        <v>1279</v>
      </c>
      <c r="G758" s="184" t="s">
        <v>25</v>
      </c>
      <c r="H758" s="184">
        <f>I758+J758</f>
        <v>11</v>
      </c>
      <c r="I758" s="184">
        <v>10</v>
      </c>
      <c r="J758" s="184">
        <v>1</v>
      </c>
      <c r="K758" s="534">
        <v>1954999.83</v>
      </c>
      <c r="L758" s="540">
        <v>0.19</v>
      </c>
      <c r="M758" s="554">
        <f>K758*J758</f>
        <v>1954999.83</v>
      </c>
      <c r="N758" s="549">
        <v>2172222.4300000002</v>
      </c>
      <c r="O758" s="540">
        <v>0.19</v>
      </c>
      <c r="P758" s="550">
        <f>N758*J758</f>
        <v>2172222.4300000002</v>
      </c>
      <c r="Q758" s="549">
        <f>SUM(K758+N758)/2</f>
        <v>2063611.1300000001</v>
      </c>
      <c r="R758" s="540">
        <v>0.19</v>
      </c>
      <c r="S758" s="549">
        <f>Q758*J758</f>
        <v>2063611.1300000001</v>
      </c>
      <c r="T758" s="544"/>
      <c r="U758" s="544"/>
      <c r="V758" s="544"/>
    </row>
    <row r="759" spans="1:50" s="545" customFormat="1" ht="13.8" x14ac:dyDescent="0.3">
      <c r="A759" s="16">
        <v>5</v>
      </c>
      <c r="B759" s="16">
        <v>111161532</v>
      </c>
      <c r="C759" s="535">
        <v>238455</v>
      </c>
      <c r="D759" s="16">
        <v>11161801</v>
      </c>
      <c r="E759" s="16">
        <v>2</v>
      </c>
      <c r="F759" s="533" t="s">
        <v>1280</v>
      </c>
      <c r="G759" s="184" t="s">
        <v>1281</v>
      </c>
      <c r="H759" s="184">
        <f t="shared" ref="H759:H787" si="119">I759+J759</f>
        <v>110</v>
      </c>
      <c r="I759" s="184">
        <v>10</v>
      </c>
      <c r="J759" s="184">
        <v>100</v>
      </c>
      <c r="K759" s="534">
        <v>6596.17</v>
      </c>
      <c r="L759" s="540">
        <v>0.19</v>
      </c>
      <c r="M759" s="554">
        <f t="shared" ref="M759:M787" si="120">K759*J759</f>
        <v>659617</v>
      </c>
      <c r="N759" s="549">
        <v>7329.21</v>
      </c>
      <c r="O759" s="540">
        <v>0.19</v>
      </c>
      <c r="P759" s="550">
        <f t="shared" ref="P759:P787" si="121">N759*J759</f>
        <v>732921</v>
      </c>
      <c r="Q759" s="549">
        <f t="shared" ref="Q759:Q787" si="122">SUM(K759+N759)/2</f>
        <v>6962.6900000000005</v>
      </c>
      <c r="R759" s="540">
        <v>0.19</v>
      </c>
      <c r="S759" s="549">
        <f t="shared" ref="S759:S787" si="123">Q759*J759</f>
        <v>696269</v>
      </c>
      <c r="T759" s="544"/>
      <c r="U759" s="544"/>
      <c r="V759" s="544"/>
    </row>
    <row r="760" spans="1:50" s="545" customFormat="1" ht="13.8" x14ac:dyDescent="0.3">
      <c r="A760" s="16">
        <v>5</v>
      </c>
      <c r="B760" s="542">
        <v>112171513</v>
      </c>
      <c r="C760" s="542">
        <v>254153</v>
      </c>
      <c r="D760" s="542">
        <v>12171500</v>
      </c>
      <c r="E760" s="16">
        <v>3</v>
      </c>
      <c r="F760" s="539" t="s">
        <v>1282</v>
      </c>
      <c r="G760" s="184" t="s">
        <v>269</v>
      </c>
      <c r="H760" s="184">
        <f t="shared" si="119"/>
        <v>20</v>
      </c>
      <c r="I760" s="184">
        <v>10</v>
      </c>
      <c r="J760" s="18">
        <v>10</v>
      </c>
      <c r="K760" s="537">
        <v>28900.34</v>
      </c>
      <c r="L760" s="540">
        <v>0.19</v>
      </c>
      <c r="M760" s="554">
        <f t="shared" si="120"/>
        <v>289003.40000000002</v>
      </c>
      <c r="N760" s="549">
        <v>32111</v>
      </c>
      <c r="O760" s="540">
        <v>0.19</v>
      </c>
      <c r="P760" s="550">
        <f t="shared" si="121"/>
        <v>321110</v>
      </c>
      <c r="Q760" s="549">
        <f t="shared" si="122"/>
        <v>30505.67</v>
      </c>
      <c r="R760" s="540">
        <v>0.19</v>
      </c>
      <c r="S760" s="549">
        <f t="shared" si="123"/>
        <v>305056.69999999995</v>
      </c>
      <c r="T760" s="544"/>
      <c r="U760" s="544"/>
      <c r="V760" s="544"/>
    </row>
    <row r="761" spans="1:50" s="545" customFormat="1" ht="13.8" x14ac:dyDescent="0.3">
      <c r="A761" s="16">
        <v>5</v>
      </c>
      <c r="B761" s="542">
        <v>112171513</v>
      </c>
      <c r="C761" s="542">
        <v>254593</v>
      </c>
      <c r="D761" s="542">
        <v>12171500</v>
      </c>
      <c r="E761" s="16">
        <v>4</v>
      </c>
      <c r="F761" s="539" t="s">
        <v>1283</v>
      </c>
      <c r="G761" s="184" t="s">
        <v>269</v>
      </c>
      <c r="H761" s="184">
        <f t="shared" si="119"/>
        <v>11</v>
      </c>
      <c r="I761" s="184">
        <v>10</v>
      </c>
      <c r="J761" s="18">
        <v>1</v>
      </c>
      <c r="K761" s="537">
        <v>39099.83</v>
      </c>
      <c r="L761" s="540">
        <v>0.19</v>
      </c>
      <c r="M761" s="554">
        <f t="shared" si="120"/>
        <v>39099.83</v>
      </c>
      <c r="N761" s="549">
        <v>43444.52</v>
      </c>
      <c r="O761" s="540">
        <v>0.19</v>
      </c>
      <c r="P761" s="550">
        <f t="shared" si="121"/>
        <v>43444.52</v>
      </c>
      <c r="Q761" s="549">
        <f t="shared" si="122"/>
        <v>41272.175000000003</v>
      </c>
      <c r="R761" s="540">
        <v>0.19</v>
      </c>
      <c r="S761" s="549">
        <f t="shared" si="123"/>
        <v>41272.175000000003</v>
      </c>
      <c r="T761" s="544"/>
      <c r="U761" s="544"/>
      <c r="V761" s="544"/>
    </row>
    <row r="762" spans="1:50" s="545" customFormat="1" ht="13.8" x14ac:dyDescent="0.3">
      <c r="A762" s="16">
        <v>5</v>
      </c>
      <c r="B762" s="542">
        <v>112171513</v>
      </c>
      <c r="C762" s="542">
        <v>254593</v>
      </c>
      <c r="D762" s="542">
        <v>12171500</v>
      </c>
      <c r="E762" s="16">
        <v>5</v>
      </c>
      <c r="F762" s="539" t="s">
        <v>1284</v>
      </c>
      <c r="G762" s="184" t="s">
        <v>269</v>
      </c>
      <c r="H762" s="184">
        <f t="shared" si="119"/>
        <v>11</v>
      </c>
      <c r="I762" s="184">
        <v>10</v>
      </c>
      <c r="J762" s="18">
        <v>1</v>
      </c>
      <c r="K762" s="537">
        <v>49300.51</v>
      </c>
      <c r="L762" s="540">
        <v>0.19</v>
      </c>
      <c r="M762" s="554">
        <f t="shared" si="120"/>
        <v>49300.51</v>
      </c>
      <c r="N762" s="549">
        <v>54778.080000000002</v>
      </c>
      <c r="O762" s="540">
        <v>0.19</v>
      </c>
      <c r="P762" s="550">
        <f t="shared" si="121"/>
        <v>54778.080000000002</v>
      </c>
      <c r="Q762" s="549">
        <f t="shared" si="122"/>
        <v>52039.294999999998</v>
      </c>
      <c r="R762" s="540">
        <v>0.19</v>
      </c>
      <c r="S762" s="549">
        <f t="shared" si="123"/>
        <v>52039.294999999998</v>
      </c>
      <c r="T762" s="544"/>
      <c r="U762" s="544"/>
      <c r="V762" s="544"/>
    </row>
    <row r="763" spans="1:50" s="545" customFormat="1" ht="13.8" x14ac:dyDescent="0.3">
      <c r="A763" s="16">
        <v>5</v>
      </c>
      <c r="B763" s="542">
        <v>112171513</v>
      </c>
      <c r="C763" s="542">
        <v>254593</v>
      </c>
      <c r="D763" s="542">
        <v>12171500</v>
      </c>
      <c r="E763" s="16">
        <v>6</v>
      </c>
      <c r="F763" s="539" t="s">
        <v>1285</v>
      </c>
      <c r="G763" s="184" t="s">
        <v>269</v>
      </c>
      <c r="H763" s="184">
        <f t="shared" si="119"/>
        <v>11</v>
      </c>
      <c r="I763" s="184">
        <v>10</v>
      </c>
      <c r="J763" s="18">
        <v>1</v>
      </c>
      <c r="K763" s="537">
        <v>134299.83000000002</v>
      </c>
      <c r="L763" s="540">
        <v>0.19</v>
      </c>
      <c r="M763" s="554">
        <f t="shared" si="120"/>
        <v>134299.83000000002</v>
      </c>
      <c r="N763" s="549">
        <v>149222.43</v>
      </c>
      <c r="O763" s="540">
        <v>0.19</v>
      </c>
      <c r="P763" s="550">
        <f t="shared" si="121"/>
        <v>149222.43</v>
      </c>
      <c r="Q763" s="549">
        <f t="shared" si="122"/>
        <v>141761.13</v>
      </c>
      <c r="R763" s="540">
        <v>0.19</v>
      </c>
      <c r="S763" s="549">
        <f t="shared" si="123"/>
        <v>141761.13</v>
      </c>
      <c r="T763" s="544"/>
      <c r="U763" s="544"/>
      <c r="V763" s="544"/>
    </row>
    <row r="764" spans="1:50" s="545" customFormat="1" ht="13.8" x14ac:dyDescent="0.3">
      <c r="A764" s="16">
        <v>5</v>
      </c>
      <c r="B764" s="542">
        <v>112171513</v>
      </c>
      <c r="C764" s="542">
        <v>254593</v>
      </c>
      <c r="D764" s="542">
        <v>12171500</v>
      </c>
      <c r="E764" s="16">
        <v>7</v>
      </c>
      <c r="F764" s="539" t="s">
        <v>1286</v>
      </c>
      <c r="G764" s="184" t="s">
        <v>269</v>
      </c>
      <c r="H764" s="184">
        <f t="shared" si="119"/>
        <v>11</v>
      </c>
      <c r="I764" s="184">
        <v>10</v>
      </c>
      <c r="J764" s="18">
        <v>1</v>
      </c>
      <c r="K764" s="537">
        <v>56100.17</v>
      </c>
      <c r="L764" s="540">
        <v>0.19</v>
      </c>
      <c r="M764" s="554">
        <f t="shared" si="120"/>
        <v>56100.17</v>
      </c>
      <c r="N764" s="549">
        <v>62333.39</v>
      </c>
      <c r="O764" s="540">
        <v>0.19</v>
      </c>
      <c r="P764" s="550">
        <f t="shared" si="121"/>
        <v>62333.39</v>
      </c>
      <c r="Q764" s="549">
        <f t="shared" si="122"/>
        <v>59216.78</v>
      </c>
      <c r="R764" s="540">
        <v>0.19</v>
      </c>
      <c r="S764" s="549">
        <f t="shared" si="123"/>
        <v>59216.78</v>
      </c>
      <c r="T764" s="544"/>
      <c r="U764" s="544"/>
      <c r="V764" s="544"/>
    </row>
    <row r="765" spans="1:50" s="545" customFormat="1" ht="13.8" x14ac:dyDescent="0.3">
      <c r="A765" s="16">
        <v>5</v>
      </c>
      <c r="B765" s="542">
        <v>112171513</v>
      </c>
      <c r="C765" s="542">
        <v>254593</v>
      </c>
      <c r="D765" s="542">
        <v>12171500</v>
      </c>
      <c r="E765" s="16">
        <v>8</v>
      </c>
      <c r="F765" s="539" t="s">
        <v>1287</v>
      </c>
      <c r="G765" s="184" t="s">
        <v>269</v>
      </c>
      <c r="H765" s="184">
        <f t="shared" si="119"/>
        <v>11</v>
      </c>
      <c r="I765" s="184">
        <v>10</v>
      </c>
      <c r="J765" s="18">
        <v>1</v>
      </c>
      <c r="K765" s="537">
        <v>90099.66</v>
      </c>
      <c r="L765" s="540">
        <v>0.19</v>
      </c>
      <c r="M765" s="554">
        <f t="shared" si="120"/>
        <v>90099.66</v>
      </c>
      <c r="N765" s="549">
        <v>100111.13</v>
      </c>
      <c r="O765" s="540">
        <v>0.19</v>
      </c>
      <c r="P765" s="550">
        <f t="shared" si="121"/>
        <v>100111.13</v>
      </c>
      <c r="Q765" s="549">
        <f t="shared" si="122"/>
        <v>95105.395000000004</v>
      </c>
      <c r="R765" s="540">
        <v>0.19</v>
      </c>
      <c r="S765" s="549">
        <f t="shared" si="123"/>
        <v>95105.395000000004</v>
      </c>
      <c r="T765" s="544"/>
      <c r="U765" s="544"/>
      <c r="V765" s="544"/>
    </row>
    <row r="766" spans="1:50" s="545" customFormat="1" ht="13.8" x14ac:dyDescent="0.3">
      <c r="A766" s="16">
        <v>5</v>
      </c>
      <c r="B766" s="542">
        <v>112171513</v>
      </c>
      <c r="C766" s="542">
        <v>254593</v>
      </c>
      <c r="D766" s="542">
        <v>12171500</v>
      </c>
      <c r="E766" s="16">
        <v>9</v>
      </c>
      <c r="F766" s="539" t="s">
        <v>1288</v>
      </c>
      <c r="G766" s="184" t="s">
        <v>269</v>
      </c>
      <c r="H766" s="184">
        <f t="shared" si="119"/>
        <v>11</v>
      </c>
      <c r="I766" s="184">
        <v>10</v>
      </c>
      <c r="J766" s="18">
        <v>1</v>
      </c>
      <c r="K766" s="537">
        <v>83300</v>
      </c>
      <c r="L766" s="540">
        <v>0.19</v>
      </c>
      <c r="M766" s="554">
        <f t="shared" si="120"/>
        <v>83300</v>
      </c>
      <c r="N766" s="549">
        <v>92555.82</v>
      </c>
      <c r="O766" s="540">
        <v>0.19</v>
      </c>
      <c r="P766" s="550">
        <f t="shared" si="121"/>
        <v>92555.82</v>
      </c>
      <c r="Q766" s="549">
        <f t="shared" si="122"/>
        <v>87927.91</v>
      </c>
      <c r="R766" s="540">
        <v>0.19</v>
      </c>
      <c r="S766" s="549">
        <f t="shared" si="123"/>
        <v>87927.91</v>
      </c>
      <c r="T766" s="544"/>
      <c r="U766" s="544"/>
      <c r="V766" s="544"/>
    </row>
    <row r="767" spans="1:50" s="545" customFormat="1" ht="13.8" x14ac:dyDescent="0.3">
      <c r="A767" s="16">
        <v>5</v>
      </c>
      <c r="B767" s="542">
        <v>112171513</v>
      </c>
      <c r="C767" s="542">
        <v>254593</v>
      </c>
      <c r="D767" s="542">
        <v>12171500</v>
      </c>
      <c r="E767" s="16">
        <v>10</v>
      </c>
      <c r="F767" s="539" t="s">
        <v>1289</v>
      </c>
      <c r="G767" s="184" t="s">
        <v>269</v>
      </c>
      <c r="H767" s="184">
        <f t="shared" si="119"/>
        <v>11</v>
      </c>
      <c r="I767" s="184">
        <v>10</v>
      </c>
      <c r="J767" s="18">
        <v>1</v>
      </c>
      <c r="K767" s="537">
        <v>73100.509999999995</v>
      </c>
      <c r="L767" s="540">
        <v>0.19</v>
      </c>
      <c r="M767" s="554">
        <f t="shared" si="120"/>
        <v>73100.509999999995</v>
      </c>
      <c r="N767" s="549">
        <v>81222.259999999995</v>
      </c>
      <c r="O767" s="540">
        <v>0.19</v>
      </c>
      <c r="P767" s="550">
        <f t="shared" si="121"/>
        <v>81222.259999999995</v>
      </c>
      <c r="Q767" s="549">
        <f t="shared" si="122"/>
        <v>77161.384999999995</v>
      </c>
      <c r="R767" s="540">
        <v>0.19</v>
      </c>
      <c r="S767" s="549">
        <f t="shared" si="123"/>
        <v>77161.384999999995</v>
      </c>
      <c r="T767" s="544"/>
      <c r="U767" s="544"/>
      <c r="V767" s="544"/>
    </row>
    <row r="768" spans="1:50" s="545" customFormat="1" ht="13.8" x14ac:dyDescent="0.3">
      <c r="A768" s="16">
        <v>5</v>
      </c>
      <c r="B768" s="542">
        <v>112171513</v>
      </c>
      <c r="C768" s="542">
        <v>254593</v>
      </c>
      <c r="D768" s="542">
        <v>12171500</v>
      </c>
      <c r="E768" s="16">
        <v>11</v>
      </c>
      <c r="F768" s="539" t="s">
        <v>1290</v>
      </c>
      <c r="G768" s="184" t="s">
        <v>269</v>
      </c>
      <c r="H768" s="184">
        <f t="shared" si="119"/>
        <v>11</v>
      </c>
      <c r="I768" s="184">
        <v>10</v>
      </c>
      <c r="J768" s="18">
        <v>1</v>
      </c>
      <c r="K768" s="537">
        <v>117299.49</v>
      </c>
      <c r="L768" s="540">
        <v>0.19</v>
      </c>
      <c r="M768" s="554">
        <f t="shared" si="120"/>
        <v>117299.49</v>
      </c>
      <c r="N768" s="549">
        <v>130332.37</v>
      </c>
      <c r="O768" s="540">
        <v>0.19</v>
      </c>
      <c r="P768" s="550">
        <f t="shared" si="121"/>
        <v>130332.37</v>
      </c>
      <c r="Q768" s="549">
        <f t="shared" si="122"/>
        <v>123815.93</v>
      </c>
      <c r="R768" s="540">
        <v>0.19</v>
      </c>
      <c r="S768" s="549">
        <f t="shared" si="123"/>
        <v>123815.93</v>
      </c>
      <c r="T768" s="544"/>
      <c r="U768" s="544"/>
      <c r="V768" s="544"/>
    </row>
    <row r="769" spans="1:22" s="545" customFormat="1" ht="13.8" x14ac:dyDescent="0.3">
      <c r="A769" s="16">
        <v>5</v>
      </c>
      <c r="B769" s="16">
        <v>123121710</v>
      </c>
      <c r="C769" s="535">
        <v>279526</v>
      </c>
      <c r="D769" s="16">
        <v>44121618</v>
      </c>
      <c r="E769" s="16">
        <v>12</v>
      </c>
      <c r="F769" s="539" t="s">
        <v>1291</v>
      </c>
      <c r="G769" s="535" t="s">
        <v>920</v>
      </c>
      <c r="H769" s="184">
        <f t="shared" si="119"/>
        <v>12</v>
      </c>
      <c r="I769" s="184">
        <v>10</v>
      </c>
      <c r="J769" s="18">
        <v>2</v>
      </c>
      <c r="K769" s="537">
        <v>458999.66000000003</v>
      </c>
      <c r="L769" s="540">
        <v>0.19</v>
      </c>
      <c r="M769" s="554">
        <f t="shared" si="120"/>
        <v>917999.32000000007</v>
      </c>
      <c r="N769" s="549">
        <v>509999.49</v>
      </c>
      <c r="O769" s="540">
        <v>0.19</v>
      </c>
      <c r="P769" s="550">
        <f t="shared" si="121"/>
        <v>1019998.98</v>
      </c>
      <c r="Q769" s="549">
        <f t="shared" si="122"/>
        <v>484499.57500000001</v>
      </c>
      <c r="R769" s="540">
        <v>0.19</v>
      </c>
      <c r="S769" s="549">
        <f t="shared" si="123"/>
        <v>968999.15</v>
      </c>
      <c r="T769" s="544"/>
      <c r="U769" s="544"/>
      <c r="V769" s="544"/>
    </row>
    <row r="770" spans="1:22" s="545" customFormat="1" ht="13.8" x14ac:dyDescent="0.3">
      <c r="A770" s="16">
        <v>5</v>
      </c>
      <c r="B770" s="16">
        <v>110121510</v>
      </c>
      <c r="C770" s="535">
        <v>251443</v>
      </c>
      <c r="D770" s="16">
        <v>12352204</v>
      </c>
      <c r="E770" s="16">
        <v>13</v>
      </c>
      <c r="F770" s="539" t="s">
        <v>1292</v>
      </c>
      <c r="G770" s="535" t="s">
        <v>269</v>
      </c>
      <c r="H770" s="184">
        <f t="shared" si="119"/>
        <v>11</v>
      </c>
      <c r="I770" s="184">
        <v>10</v>
      </c>
      <c r="J770" s="18">
        <v>1</v>
      </c>
      <c r="K770" s="537">
        <v>56100.17</v>
      </c>
      <c r="L770" s="540">
        <v>0.19</v>
      </c>
      <c r="M770" s="554">
        <f t="shared" si="120"/>
        <v>56100.17</v>
      </c>
      <c r="N770" s="549">
        <v>62333.39</v>
      </c>
      <c r="O770" s="540">
        <v>0.19</v>
      </c>
      <c r="P770" s="550">
        <f t="shared" si="121"/>
        <v>62333.39</v>
      </c>
      <c r="Q770" s="549">
        <f t="shared" si="122"/>
        <v>59216.78</v>
      </c>
      <c r="R770" s="540">
        <v>0.19</v>
      </c>
      <c r="S770" s="549">
        <f t="shared" si="123"/>
        <v>59216.78</v>
      </c>
      <c r="T770" s="544"/>
      <c r="U770" s="544"/>
      <c r="V770" s="544"/>
    </row>
    <row r="771" spans="1:22" s="545" customFormat="1" ht="13.8" x14ac:dyDescent="0.3">
      <c r="A771" s="16">
        <v>5</v>
      </c>
      <c r="B771" s="16">
        <v>11111610</v>
      </c>
      <c r="C771" s="535">
        <v>268893</v>
      </c>
      <c r="D771" s="16">
        <v>11111610</v>
      </c>
      <c r="E771" s="16">
        <v>14</v>
      </c>
      <c r="F771" s="539" t="s">
        <v>1293</v>
      </c>
      <c r="G771" s="535" t="s">
        <v>1294</v>
      </c>
      <c r="H771" s="184">
        <f t="shared" si="119"/>
        <v>12</v>
      </c>
      <c r="I771" s="184">
        <v>10</v>
      </c>
      <c r="J771" s="18">
        <v>2</v>
      </c>
      <c r="K771" s="537">
        <v>297500</v>
      </c>
      <c r="L771" s="540">
        <v>0.19</v>
      </c>
      <c r="M771" s="554">
        <f t="shared" si="120"/>
        <v>595000</v>
      </c>
      <c r="N771" s="549">
        <v>330555.82</v>
      </c>
      <c r="O771" s="540">
        <v>0.19</v>
      </c>
      <c r="P771" s="550">
        <f t="shared" si="121"/>
        <v>661111.64</v>
      </c>
      <c r="Q771" s="549">
        <f t="shared" si="122"/>
        <v>314027.91000000003</v>
      </c>
      <c r="R771" s="540">
        <v>0.19</v>
      </c>
      <c r="S771" s="549">
        <f t="shared" si="123"/>
        <v>628055.82000000007</v>
      </c>
      <c r="T771" s="544"/>
      <c r="U771" s="544"/>
      <c r="V771" s="544"/>
    </row>
    <row r="772" spans="1:22" s="545" customFormat="1" ht="13.8" x14ac:dyDescent="0.3">
      <c r="A772" s="16">
        <v>5</v>
      </c>
      <c r="B772" s="543">
        <v>131191519</v>
      </c>
      <c r="C772" s="535">
        <v>284710</v>
      </c>
      <c r="D772" s="16">
        <v>23131507</v>
      </c>
      <c r="E772" s="16">
        <v>15</v>
      </c>
      <c r="F772" s="539" t="s">
        <v>1295</v>
      </c>
      <c r="G772" s="535" t="s">
        <v>920</v>
      </c>
      <c r="H772" s="184">
        <f t="shared" si="119"/>
        <v>60</v>
      </c>
      <c r="I772" s="184">
        <v>10</v>
      </c>
      <c r="J772" s="18">
        <v>50</v>
      </c>
      <c r="K772" s="537">
        <v>1887.3400000000001</v>
      </c>
      <c r="L772" s="540">
        <v>0.19</v>
      </c>
      <c r="M772" s="554">
        <f t="shared" si="120"/>
        <v>94367</v>
      </c>
      <c r="N772" s="549">
        <v>2096.7800000000002</v>
      </c>
      <c r="O772" s="540">
        <v>0.19</v>
      </c>
      <c r="P772" s="550">
        <f t="shared" si="121"/>
        <v>104839.00000000001</v>
      </c>
      <c r="Q772" s="549">
        <f t="shared" si="122"/>
        <v>1992.0600000000002</v>
      </c>
      <c r="R772" s="540">
        <v>0.19</v>
      </c>
      <c r="S772" s="549">
        <f t="shared" si="123"/>
        <v>99603.000000000015</v>
      </c>
      <c r="T772" s="544"/>
      <c r="U772" s="544"/>
      <c r="V772" s="544"/>
    </row>
    <row r="773" spans="1:22" s="545" customFormat="1" ht="13.8" x14ac:dyDescent="0.3">
      <c r="A773" s="16">
        <v>5</v>
      </c>
      <c r="B773" s="543">
        <v>131191519</v>
      </c>
      <c r="C773" s="535">
        <v>284710</v>
      </c>
      <c r="D773" s="16">
        <v>23131507</v>
      </c>
      <c r="E773" s="16">
        <v>16</v>
      </c>
      <c r="F773" s="539" t="s">
        <v>1296</v>
      </c>
      <c r="G773" s="535" t="s">
        <v>71</v>
      </c>
      <c r="H773" s="184">
        <f t="shared" si="119"/>
        <v>60</v>
      </c>
      <c r="I773" s="184">
        <v>10</v>
      </c>
      <c r="J773" s="18">
        <v>50</v>
      </c>
      <c r="K773" s="537">
        <v>1852.83</v>
      </c>
      <c r="L773" s="540">
        <v>0.19</v>
      </c>
      <c r="M773" s="554">
        <f t="shared" si="120"/>
        <v>92641.5</v>
      </c>
      <c r="N773" s="549">
        <v>2058.6999999999998</v>
      </c>
      <c r="O773" s="540">
        <v>0.19</v>
      </c>
      <c r="P773" s="550">
        <f t="shared" si="121"/>
        <v>102934.99999999999</v>
      </c>
      <c r="Q773" s="549">
        <f t="shared" si="122"/>
        <v>1955.7649999999999</v>
      </c>
      <c r="R773" s="540">
        <v>0.19</v>
      </c>
      <c r="S773" s="549">
        <f t="shared" si="123"/>
        <v>97788.25</v>
      </c>
      <c r="T773" s="544"/>
      <c r="U773" s="544"/>
      <c r="V773" s="544"/>
    </row>
    <row r="774" spans="1:22" s="545" customFormat="1" ht="13.8" x14ac:dyDescent="0.3">
      <c r="A774" s="16">
        <v>5</v>
      </c>
      <c r="B774" s="543">
        <v>131191519</v>
      </c>
      <c r="C774" s="535">
        <v>284710</v>
      </c>
      <c r="D774" s="16">
        <v>23131507</v>
      </c>
      <c r="E774" s="16">
        <v>17</v>
      </c>
      <c r="F774" s="539" t="s">
        <v>1297</v>
      </c>
      <c r="G774" s="535" t="s">
        <v>71</v>
      </c>
      <c r="H774" s="184">
        <f t="shared" si="119"/>
        <v>60</v>
      </c>
      <c r="I774" s="184">
        <v>10</v>
      </c>
      <c r="J774" s="18">
        <v>50</v>
      </c>
      <c r="K774" s="537">
        <v>1852.83</v>
      </c>
      <c r="L774" s="540">
        <v>0.19</v>
      </c>
      <c r="M774" s="554">
        <f t="shared" si="120"/>
        <v>92641.5</v>
      </c>
      <c r="N774" s="549">
        <v>2058.6999999999998</v>
      </c>
      <c r="O774" s="540">
        <v>0.19</v>
      </c>
      <c r="P774" s="550">
        <f t="shared" si="121"/>
        <v>102934.99999999999</v>
      </c>
      <c r="Q774" s="549">
        <f t="shared" si="122"/>
        <v>1955.7649999999999</v>
      </c>
      <c r="R774" s="540">
        <v>0.19</v>
      </c>
      <c r="S774" s="549">
        <f t="shared" si="123"/>
        <v>97788.25</v>
      </c>
      <c r="T774" s="544"/>
      <c r="U774" s="544"/>
      <c r="V774" s="544"/>
    </row>
    <row r="775" spans="1:22" s="545" customFormat="1" ht="13.8" x14ac:dyDescent="0.3">
      <c r="A775" s="16">
        <v>5</v>
      </c>
      <c r="B775" s="16">
        <v>110121510</v>
      </c>
      <c r="C775" s="535">
        <v>251443</v>
      </c>
      <c r="D775" s="16">
        <v>12352204</v>
      </c>
      <c r="E775" s="16">
        <v>18</v>
      </c>
      <c r="F775" s="539" t="s">
        <v>1298</v>
      </c>
      <c r="G775" s="535" t="s">
        <v>1299</v>
      </c>
      <c r="H775" s="184">
        <f t="shared" si="119"/>
        <v>11</v>
      </c>
      <c r="I775" s="184">
        <v>10</v>
      </c>
      <c r="J775" s="18">
        <v>1</v>
      </c>
      <c r="K775" s="537">
        <v>157250.17000000001</v>
      </c>
      <c r="L775" s="540">
        <v>0.19</v>
      </c>
      <c r="M775" s="554">
        <f t="shared" si="120"/>
        <v>157250.17000000001</v>
      </c>
      <c r="N775" s="549">
        <v>174722.94</v>
      </c>
      <c r="O775" s="540">
        <v>0.19</v>
      </c>
      <c r="P775" s="550">
        <f t="shared" si="121"/>
        <v>174722.94</v>
      </c>
      <c r="Q775" s="549">
        <f t="shared" si="122"/>
        <v>165986.55499999999</v>
      </c>
      <c r="R775" s="540">
        <v>0.19</v>
      </c>
      <c r="S775" s="549">
        <f t="shared" si="123"/>
        <v>165986.55499999999</v>
      </c>
      <c r="T775" s="544"/>
      <c r="U775" s="544"/>
      <c r="V775" s="544"/>
    </row>
    <row r="776" spans="1:22" s="545" customFormat="1" ht="13.8" x14ac:dyDescent="0.3">
      <c r="A776" s="16">
        <v>5</v>
      </c>
      <c r="B776" s="16">
        <v>141103148</v>
      </c>
      <c r="C776" s="535">
        <v>287113</v>
      </c>
      <c r="D776" s="16">
        <v>12352106</v>
      </c>
      <c r="E776" s="16">
        <v>19</v>
      </c>
      <c r="F776" s="539" t="s">
        <v>1300</v>
      </c>
      <c r="G776" s="535" t="s">
        <v>269</v>
      </c>
      <c r="H776" s="184">
        <f t="shared" si="119"/>
        <v>50</v>
      </c>
      <c r="I776" s="184">
        <v>10</v>
      </c>
      <c r="J776" s="18">
        <v>40</v>
      </c>
      <c r="K776" s="537">
        <v>9713.9699999999993</v>
      </c>
      <c r="L776" s="540">
        <v>0.19</v>
      </c>
      <c r="M776" s="554">
        <f t="shared" si="120"/>
        <v>388558.8</v>
      </c>
      <c r="N776" s="549">
        <v>10793.3</v>
      </c>
      <c r="O776" s="540">
        <v>0.19</v>
      </c>
      <c r="P776" s="550">
        <f t="shared" si="121"/>
        <v>431732</v>
      </c>
      <c r="Q776" s="549">
        <f t="shared" si="122"/>
        <v>10253.634999999998</v>
      </c>
      <c r="R776" s="540">
        <v>0.19</v>
      </c>
      <c r="S776" s="549">
        <f t="shared" si="123"/>
        <v>410145.39999999991</v>
      </c>
      <c r="T776" s="544"/>
      <c r="U776" s="544"/>
      <c r="V776" s="544"/>
    </row>
    <row r="777" spans="1:22" s="545" customFormat="1" ht="13.8" x14ac:dyDescent="0.3">
      <c r="A777" s="16">
        <v>5</v>
      </c>
      <c r="B777" s="16">
        <v>141103148</v>
      </c>
      <c r="C777" s="535">
        <v>272530</v>
      </c>
      <c r="D777" s="16">
        <v>51191601</v>
      </c>
      <c r="E777" s="16">
        <v>20</v>
      </c>
      <c r="F777" s="539" t="s">
        <v>1301</v>
      </c>
      <c r="G777" s="535" t="s">
        <v>269</v>
      </c>
      <c r="H777" s="184">
        <f t="shared" si="119"/>
        <v>50</v>
      </c>
      <c r="I777" s="184">
        <v>10</v>
      </c>
      <c r="J777" s="18">
        <v>40</v>
      </c>
      <c r="K777" s="537">
        <v>12656.84</v>
      </c>
      <c r="L777" s="540">
        <v>0.19</v>
      </c>
      <c r="M777" s="554">
        <f t="shared" si="120"/>
        <v>506273.6</v>
      </c>
      <c r="N777" s="549">
        <v>14063.42</v>
      </c>
      <c r="O777" s="540">
        <v>0.19</v>
      </c>
      <c r="P777" s="550">
        <f t="shared" si="121"/>
        <v>562536.80000000005</v>
      </c>
      <c r="Q777" s="549">
        <f t="shared" si="122"/>
        <v>13360.130000000001</v>
      </c>
      <c r="R777" s="540">
        <v>0.19</v>
      </c>
      <c r="S777" s="549">
        <f t="shared" si="123"/>
        <v>534405.20000000007</v>
      </c>
      <c r="T777" s="544"/>
      <c r="U777" s="544"/>
      <c r="V777" s="544"/>
    </row>
    <row r="778" spans="1:22" s="545" customFormat="1" ht="13.8" x14ac:dyDescent="0.3">
      <c r="A778" s="16">
        <v>5</v>
      </c>
      <c r="B778" s="16">
        <v>150171559</v>
      </c>
      <c r="C778" s="535">
        <v>283304</v>
      </c>
      <c r="D778" s="16">
        <v>12352105</v>
      </c>
      <c r="E778" s="16">
        <v>21</v>
      </c>
      <c r="F778" s="539" t="s">
        <v>1302</v>
      </c>
      <c r="G778" s="535" t="s">
        <v>1299</v>
      </c>
      <c r="H778" s="184">
        <f t="shared" si="119"/>
        <v>50</v>
      </c>
      <c r="I778" s="184">
        <v>10</v>
      </c>
      <c r="J778" s="18">
        <v>40</v>
      </c>
      <c r="K778" s="537">
        <v>9928.17</v>
      </c>
      <c r="L778" s="540">
        <v>0.19</v>
      </c>
      <c r="M778" s="554">
        <f t="shared" si="120"/>
        <v>397126.8</v>
      </c>
      <c r="N778" s="549">
        <v>11031.3</v>
      </c>
      <c r="O778" s="540">
        <v>0.19</v>
      </c>
      <c r="P778" s="550">
        <f t="shared" si="121"/>
        <v>441252</v>
      </c>
      <c r="Q778" s="549">
        <f t="shared" si="122"/>
        <v>10479.735000000001</v>
      </c>
      <c r="R778" s="540">
        <v>0.19</v>
      </c>
      <c r="S778" s="549">
        <f t="shared" si="123"/>
        <v>419189.4</v>
      </c>
      <c r="T778" s="544"/>
      <c r="U778" s="544"/>
      <c r="V778" s="544"/>
    </row>
    <row r="779" spans="1:22" s="545" customFormat="1" ht="13.8" x14ac:dyDescent="0.3">
      <c r="A779" s="16">
        <v>5</v>
      </c>
      <c r="B779" s="16">
        <v>142281606</v>
      </c>
      <c r="C779" s="535">
        <v>244049</v>
      </c>
      <c r="D779" s="16">
        <v>12352302</v>
      </c>
      <c r="E779" s="16">
        <v>22</v>
      </c>
      <c r="F779" s="539" t="s">
        <v>1303</v>
      </c>
      <c r="G779" s="535" t="s">
        <v>1304</v>
      </c>
      <c r="H779" s="184">
        <f t="shared" si="119"/>
        <v>20</v>
      </c>
      <c r="I779" s="184">
        <v>10</v>
      </c>
      <c r="J779" s="18">
        <v>10</v>
      </c>
      <c r="K779" s="537">
        <v>9285.57</v>
      </c>
      <c r="L779" s="540">
        <v>0.19</v>
      </c>
      <c r="M779" s="554">
        <f t="shared" si="120"/>
        <v>92855.7</v>
      </c>
      <c r="N779" s="549">
        <v>10317.299999999999</v>
      </c>
      <c r="O779" s="540">
        <v>0.19</v>
      </c>
      <c r="P779" s="550">
        <f t="shared" si="121"/>
        <v>103173</v>
      </c>
      <c r="Q779" s="549">
        <f t="shared" si="122"/>
        <v>9801.4349999999995</v>
      </c>
      <c r="R779" s="540">
        <v>0.19</v>
      </c>
      <c r="S779" s="549">
        <f t="shared" si="123"/>
        <v>98014.349999999991</v>
      </c>
      <c r="T779" s="544"/>
      <c r="U779" s="544"/>
      <c r="V779" s="544"/>
    </row>
    <row r="780" spans="1:22" s="545" customFormat="1" ht="13.8" x14ac:dyDescent="0.3">
      <c r="A780" s="16">
        <v>5</v>
      </c>
      <c r="B780" s="16">
        <v>141103148</v>
      </c>
      <c r="C780" s="535">
        <v>282957</v>
      </c>
      <c r="D780" s="16">
        <v>12352105</v>
      </c>
      <c r="E780" s="16">
        <v>23</v>
      </c>
      <c r="F780" s="539" t="s">
        <v>1305</v>
      </c>
      <c r="G780" s="535" t="s">
        <v>269</v>
      </c>
      <c r="H780" s="184">
        <f t="shared" si="119"/>
        <v>12</v>
      </c>
      <c r="I780" s="184">
        <v>10</v>
      </c>
      <c r="J780" s="18">
        <v>2</v>
      </c>
      <c r="K780" s="537">
        <v>71400</v>
      </c>
      <c r="L780" s="540">
        <v>0.19</v>
      </c>
      <c r="M780" s="554">
        <f t="shared" si="120"/>
        <v>142800</v>
      </c>
      <c r="N780" s="551">
        <v>79333.73</v>
      </c>
      <c r="O780" s="540">
        <v>0.19</v>
      </c>
      <c r="P780" s="550">
        <f t="shared" si="121"/>
        <v>158667.46</v>
      </c>
      <c r="Q780" s="549">
        <f t="shared" si="122"/>
        <v>75366.864999999991</v>
      </c>
      <c r="R780" s="540">
        <v>0.19</v>
      </c>
      <c r="S780" s="549">
        <f t="shared" si="123"/>
        <v>150733.72999999998</v>
      </c>
    </row>
    <row r="781" spans="1:22" s="545" customFormat="1" ht="13.8" x14ac:dyDescent="0.3">
      <c r="A781" s="16">
        <v>5</v>
      </c>
      <c r="B781" s="16">
        <v>141103147</v>
      </c>
      <c r="C781" s="535">
        <v>249717</v>
      </c>
      <c r="D781" s="16">
        <v>12352302</v>
      </c>
      <c r="E781" s="16">
        <v>24</v>
      </c>
      <c r="F781" s="539" t="s">
        <v>1306</v>
      </c>
      <c r="G781" s="535" t="s">
        <v>269</v>
      </c>
      <c r="H781" s="184">
        <f t="shared" si="119"/>
        <v>60</v>
      </c>
      <c r="I781" s="184">
        <v>10</v>
      </c>
      <c r="J781" s="18">
        <v>50</v>
      </c>
      <c r="K781" s="537">
        <v>1905.19</v>
      </c>
      <c r="L781" s="540">
        <v>0.19</v>
      </c>
      <c r="M781" s="554">
        <f t="shared" si="120"/>
        <v>95259.5</v>
      </c>
      <c r="N781" s="551">
        <v>2117.0100000000002</v>
      </c>
      <c r="O781" s="540">
        <v>0.19</v>
      </c>
      <c r="P781" s="550">
        <f t="shared" si="121"/>
        <v>105850.50000000001</v>
      </c>
      <c r="Q781" s="549">
        <f t="shared" si="122"/>
        <v>2011.1000000000001</v>
      </c>
      <c r="R781" s="540">
        <v>0.19</v>
      </c>
      <c r="S781" s="549">
        <f t="shared" si="123"/>
        <v>100555</v>
      </c>
    </row>
    <row r="782" spans="1:22" s="545" customFormat="1" ht="13.8" x14ac:dyDescent="0.3">
      <c r="A782" s="16">
        <v>5</v>
      </c>
      <c r="B782" s="16">
        <v>141103148</v>
      </c>
      <c r="C782" s="535">
        <v>288457</v>
      </c>
      <c r="D782" s="16">
        <v>12352316</v>
      </c>
      <c r="E782" s="16">
        <v>25</v>
      </c>
      <c r="F782" s="539" t="s">
        <v>1307</v>
      </c>
      <c r="G782" s="535" t="s">
        <v>269</v>
      </c>
      <c r="H782" s="184">
        <f t="shared" si="119"/>
        <v>30</v>
      </c>
      <c r="I782" s="184">
        <v>10</v>
      </c>
      <c r="J782" s="18">
        <v>20</v>
      </c>
      <c r="K782" s="537">
        <v>17714.34</v>
      </c>
      <c r="L782" s="540">
        <v>0.19</v>
      </c>
      <c r="M782" s="554">
        <f t="shared" si="120"/>
        <v>354286.8</v>
      </c>
      <c r="N782" s="551">
        <v>19682.599999999999</v>
      </c>
      <c r="O782" s="540">
        <v>0.19</v>
      </c>
      <c r="P782" s="550">
        <f t="shared" si="121"/>
        <v>393652</v>
      </c>
      <c r="Q782" s="549">
        <f t="shared" si="122"/>
        <v>18698.47</v>
      </c>
      <c r="R782" s="540">
        <v>0.19</v>
      </c>
      <c r="S782" s="549">
        <f t="shared" si="123"/>
        <v>373969.4</v>
      </c>
    </row>
    <row r="783" spans="1:22" s="545" customFormat="1" ht="13.8" x14ac:dyDescent="0.3">
      <c r="A783" s="16">
        <v>5</v>
      </c>
      <c r="B783" s="16">
        <v>141103147</v>
      </c>
      <c r="C783" s="535">
        <v>260197</v>
      </c>
      <c r="D783" s="16">
        <v>12352304</v>
      </c>
      <c r="E783" s="16">
        <v>26</v>
      </c>
      <c r="F783" s="539" t="s">
        <v>1308</v>
      </c>
      <c r="G783" s="535" t="s">
        <v>1304</v>
      </c>
      <c r="H783" s="184">
        <f t="shared" si="119"/>
        <v>90</v>
      </c>
      <c r="I783" s="184">
        <v>10</v>
      </c>
      <c r="J783" s="18">
        <v>80</v>
      </c>
      <c r="K783" s="537">
        <v>7616</v>
      </c>
      <c r="L783" s="540">
        <v>0.19</v>
      </c>
      <c r="M783" s="554">
        <f t="shared" si="120"/>
        <v>609280</v>
      </c>
      <c r="N783" s="551">
        <v>8462.09</v>
      </c>
      <c r="O783" s="540">
        <v>0.19</v>
      </c>
      <c r="P783" s="550">
        <f t="shared" si="121"/>
        <v>676967.2</v>
      </c>
      <c r="Q783" s="549">
        <f t="shared" si="122"/>
        <v>8039.0450000000001</v>
      </c>
      <c r="R783" s="540">
        <v>0.19</v>
      </c>
      <c r="S783" s="549">
        <f t="shared" si="123"/>
        <v>643123.6</v>
      </c>
    </row>
    <row r="784" spans="1:22" s="545" customFormat="1" ht="13.8" x14ac:dyDescent="0.3">
      <c r="A784" s="16">
        <v>5</v>
      </c>
      <c r="B784" s="16">
        <v>141103147</v>
      </c>
      <c r="C784" s="535">
        <v>260197</v>
      </c>
      <c r="D784" s="16">
        <v>12352108</v>
      </c>
      <c r="E784" s="16">
        <v>27</v>
      </c>
      <c r="F784" s="539" t="s">
        <v>1309</v>
      </c>
      <c r="G784" s="535" t="s">
        <v>134</v>
      </c>
      <c r="H784" s="184">
        <f t="shared" si="119"/>
        <v>11</v>
      </c>
      <c r="I784" s="184">
        <v>10</v>
      </c>
      <c r="J784" s="18">
        <v>1</v>
      </c>
      <c r="K784" s="537">
        <v>84490</v>
      </c>
      <c r="L784" s="540">
        <v>0.19</v>
      </c>
      <c r="M784" s="554">
        <f t="shared" si="120"/>
        <v>84490</v>
      </c>
      <c r="N784" s="551">
        <v>93877.91</v>
      </c>
      <c r="O784" s="540">
        <v>0.19</v>
      </c>
      <c r="P784" s="550">
        <f t="shared" si="121"/>
        <v>93877.91</v>
      </c>
      <c r="Q784" s="549">
        <f t="shared" si="122"/>
        <v>89183.955000000002</v>
      </c>
      <c r="R784" s="540">
        <v>0.19</v>
      </c>
      <c r="S784" s="549">
        <f t="shared" si="123"/>
        <v>89183.955000000002</v>
      </c>
    </row>
    <row r="785" spans="1:22" s="545" customFormat="1" ht="15" customHeight="1" x14ac:dyDescent="0.3">
      <c r="A785" s="16">
        <v>5</v>
      </c>
      <c r="B785" s="16">
        <v>147122123</v>
      </c>
      <c r="C785" s="535">
        <v>254144</v>
      </c>
      <c r="D785" s="16">
        <v>12352108</v>
      </c>
      <c r="E785" s="16">
        <v>28</v>
      </c>
      <c r="F785" s="539" t="s">
        <v>1310</v>
      </c>
      <c r="G785" s="535" t="s">
        <v>134</v>
      </c>
      <c r="H785" s="184">
        <f t="shared" si="119"/>
        <v>11</v>
      </c>
      <c r="I785" s="184">
        <v>10</v>
      </c>
      <c r="J785" s="18">
        <v>1</v>
      </c>
      <c r="K785" s="537">
        <v>108800.51</v>
      </c>
      <c r="L785" s="540">
        <v>0.19</v>
      </c>
      <c r="M785" s="554">
        <f t="shared" si="120"/>
        <v>108800.51</v>
      </c>
      <c r="N785" s="551">
        <v>120889.72</v>
      </c>
      <c r="O785" s="540">
        <v>0.19</v>
      </c>
      <c r="P785" s="550">
        <f t="shared" si="121"/>
        <v>120889.72</v>
      </c>
      <c r="Q785" s="549">
        <f t="shared" si="122"/>
        <v>114845.11499999999</v>
      </c>
      <c r="R785" s="540">
        <v>0.19</v>
      </c>
      <c r="S785" s="549">
        <f t="shared" si="123"/>
        <v>114845.11499999999</v>
      </c>
      <c r="T785" s="546"/>
      <c r="U785" s="546"/>
      <c r="V785" s="546"/>
    </row>
    <row r="786" spans="1:22" s="545" customFormat="1" ht="15" customHeight="1" x14ac:dyDescent="0.3">
      <c r="A786" s="16">
        <v>5</v>
      </c>
      <c r="B786" s="16">
        <v>147122123</v>
      </c>
      <c r="C786" s="535">
        <v>254144</v>
      </c>
      <c r="D786" s="16">
        <v>12352108</v>
      </c>
      <c r="E786" s="16">
        <v>29</v>
      </c>
      <c r="F786" s="539" t="s">
        <v>1311</v>
      </c>
      <c r="G786" s="535" t="s">
        <v>134</v>
      </c>
      <c r="H786" s="184">
        <f t="shared" si="119"/>
        <v>11</v>
      </c>
      <c r="I786" s="184">
        <v>10</v>
      </c>
      <c r="J786" s="18">
        <v>1</v>
      </c>
      <c r="K786" s="537">
        <v>151300.17000000001</v>
      </c>
      <c r="L786" s="540">
        <v>0.19</v>
      </c>
      <c r="M786" s="554">
        <f t="shared" si="120"/>
        <v>151300.17000000001</v>
      </c>
      <c r="N786" s="551">
        <v>168111.3</v>
      </c>
      <c r="O786" s="540">
        <v>0.19</v>
      </c>
      <c r="P786" s="550">
        <f t="shared" si="121"/>
        <v>168111.3</v>
      </c>
      <c r="Q786" s="549">
        <f t="shared" si="122"/>
        <v>159705.73499999999</v>
      </c>
      <c r="R786" s="540">
        <v>0.19</v>
      </c>
      <c r="S786" s="549">
        <f t="shared" si="123"/>
        <v>159705.73499999999</v>
      </c>
      <c r="T786" s="546"/>
      <c r="U786" s="546"/>
      <c r="V786" s="546"/>
    </row>
    <row r="787" spans="1:22" s="545" customFormat="1" ht="15" customHeight="1" x14ac:dyDescent="0.3">
      <c r="A787" s="16">
        <v>5</v>
      </c>
      <c r="B787" s="16">
        <v>141103148</v>
      </c>
      <c r="C787" s="535">
        <v>278386</v>
      </c>
      <c r="D787" s="16">
        <v>12352312</v>
      </c>
      <c r="E787" s="16">
        <v>30</v>
      </c>
      <c r="F787" s="539" t="s">
        <v>1312</v>
      </c>
      <c r="G787" s="535" t="s">
        <v>269</v>
      </c>
      <c r="H787" s="184">
        <f t="shared" si="119"/>
        <v>15</v>
      </c>
      <c r="I787" s="184">
        <v>10</v>
      </c>
      <c r="J787" s="18">
        <v>5</v>
      </c>
      <c r="K787" s="537">
        <v>870400.51</v>
      </c>
      <c r="L787" s="540">
        <v>0.19</v>
      </c>
      <c r="M787" s="554">
        <f t="shared" si="120"/>
        <v>4352002.55</v>
      </c>
      <c r="N787" s="551">
        <v>967111.81</v>
      </c>
      <c r="O787" s="540">
        <v>0.19</v>
      </c>
      <c r="P787" s="550">
        <f t="shared" si="121"/>
        <v>4835559.0500000007</v>
      </c>
      <c r="Q787" s="549">
        <f t="shared" si="122"/>
        <v>918756.16</v>
      </c>
      <c r="R787" s="540">
        <v>0.19</v>
      </c>
      <c r="S787" s="549">
        <f t="shared" si="123"/>
        <v>4593780.8</v>
      </c>
      <c r="T787" s="546"/>
      <c r="U787" s="546"/>
      <c r="V787" s="546"/>
    </row>
    <row r="788" spans="1:22" s="545" customFormat="1" ht="15" customHeight="1" x14ac:dyDescent="0.3">
      <c r="A788" s="717"/>
      <c r="B788" s="718"/>
      <c r="C788" s="718"/>
      <c r="D788" s="718"/>
      <c r="E788" s="718"/>
      <c r="F788" s="718"/>
      <c r="G788" s="718"/>
      <c r="H788" s="718"/>
      <c r="I788" s="718"/>
      <c r="J788" s="718"/>
      <c r="K788" s="718"/>
      <c r="L788" s="719"/>
      <c r="M788" s="553">
        <f>SUM(M758:M787)</f>
        <v>12835254.32</v>
      </c>
      <c r="N788" s="551"/>
      <c r="O788" s="551"/>
      <c r="P788" s="552">
        <f>SUM(P758:P787)</f>
        <v>14261398.320000002</v>
      </c>
      <c r="Q788" s="551"/>
      <c r="R788" s="551"/>
      <c r="S788" s="599">
        <f>SUM(S758:S787)</f>
        <v>13548326.32</v>
      </c>
      <c r="T788" s="546"/>
      <c r="U788" s="546"/>
      <c r="V788" s="546"/>
    </row>
    <row r="789" spans="1:22" s="545" customFormat="1" ht="13.8" x14ac:dyDescent="0.3">
      <c r="E789" s="548"/>
      <c r="M789" s="546"/>
      <c r="N789" s="546"/>
      <c r="O789" s="546"/>
      <c r="P789" s="547"/>
    </row>
    <row r="791" spans="1:22" ht="14.55" customHeight="1" x14ac:dyDescent="0.3">
      <c r="A791" s="541" t="s">
        <v>1313</v>
      </c>
      <c r="B791" s="541"/>
      <c r="C791" s="541"/>
      <c r="D791" s="541"/>
      <c r="E791" s="541"/>
      <c r="F791" s="541"/>
      <c r="G791" s="541"/>
      <c r="H791" s="541"/>
      <c r="I791" s="541"/>
      <c r="J791" s="541"/>
      <c r="K791" s="541"/>
      <c r="L791" s="541"/>
      <c r="M791" s="541"/>
      <c r="N791" s="541"/>
      <c r="O791" s="541"/>
      <c r="P791" s="541"/>
      <c r="Q791" s="541"/>
      <c r="R791" s="541"/>
      <c r="S791" s="541"/>
    </row>
    <row r="792" spans="1:22" ht="14.55" customHeight="1" x14ac:dyDescent="0.3">
      <c r="A792" s="541"/>
      <c r="B792" s="541"/>
      <c r="C792" s="541"/>
      <c r="D792" s="541"/>
      <c r="E792" s="699" t="s">
        <v>1313</v>
      </c>
      <c r="F792" s="700"/>
      <c r="G792" s="700"/>
      <c r="H792" s="701"/>
      <c r="I792" s="541"/>
      <c r="J792" s="541"/>
      <c r="K792" s="541"/>
      <c r="L792" s="541"/>
      <c r="M792" s="541"/>
      <c r="N792" s="541"/>
      <c r="O792" s="541"/>
      <c r="P792" s="541"/>
      <c r="Q792" s="541"/>
      <c r="R792" s="541"/>
      <c r="S792" s="541"/>
    </row>
    <row r="793" spans="1:22" ht="15.6" x14ac:dyDescent="0.3">
      <c r="A793" s="709" t="s">
        <v>83</v>
      </c>
      <c r="B793" s="709" t="s">
        <v>84</v>
      </c>
      <c r="C793" s="709" t="s">
        <v>85</v>
      </c>
      <c r="D793" s="711" t="s">
        <v>86</v>
      </c>
      <c r="E793" s="709" t="s">
        <v>6</v>
      </c>
      <c r="F793" s="709" t="s">
        <v>87</v>
      </c>
      <c r="G793" s="709" t="s">
        <v>88</v>
      </c>
      <c r="H793" s="702" t="s">
        <v>89</v>
      </c>
      <c r="I793" s="124"/>
      <c r="J793" s="705" t="s">
        <v>89</v>
      </c>
      <c r="K793" s="710" t="s">
        <v>818</v>
      </c>
      <c r="L793" s="710"/>
      <c r="M793" s="710"/>
      <c r="N793" s="704" t="s">
        <v>819</v>
      </c>
      <c r="O793" s="704"/>
      <c r="P793" s="704"/>
      <c r="Q793" s="705" t="s">
        <v>15</v>
      </c>
      <c r="R793" s="705"/>
      <c r="S793" s="705"/>
    </row>
    <row r="794" spans="1:22" ht="46.8" x14ac:dyDescent="0.3">
      <c r="A794" s="709"/>
      <c r="B794" s="709"/>
      <c r="C794" s="709"/>
      <c r="D794" s="711"/>
      <c r="E794" s="709"/>
      <c r="F794" s="709"/>
      <c r="G794" s="709"/>
      <c r="H794" s="703"/>
      <c r="I794" s="124"/>
      <c r="J794" s="705"/>
      <c r="K794" s="25" t="s">
        <v>382</v>
      </c>
      <c r="L794" s="25" t="s">
        <v>17</v>
      </c>
      <c r="M794" s="25" t="s">
        <v>18</v>
      </c>
      <c r="N794" s="25" t="s">
        <v>367</v>
      </c>
      <c r="O794" s="25" t="s">
        <v>17</v>
      </c>
      <c r="P794" s="248" t="s">
        <v>18</v>
      </c>
      <c r="Q794" s="25" t="s">
        <v>367</v>
      </c>
      <c r="R794" s="25" t="s">
        <v>17</v>
      </c>
      <c r="S794" s="25" t="s">
        <v>18</v>
      </c>
    </row>
    <row r="795" spans="1:22" s="449" customFormat="1" ht="92.4" x14ac:dyDescent="0.3">
      <c r="A795" s="23">
        <v>5</v>
      </c>
      <c r="B795" s="250" t="s">
        <v>534</v>
      </c>
      <c r="C795" s="251" t="s">
        <v>886</v>
      </c>
      <c r="D795" s="9">
        <v>12352300</v>
      </c>
      <c r="E795" s="445">
        <v>1</v>
      </c>
      <c r="F795" s="255" t="s">
        <v>1314</v>
      </c>
      <c r="G795" s="264" t="s">
        <v>1315</v>
      </c>
      <c r="H795" s="434">
        <f>I795+J795</f>
        <v>11</v>
      </c>
      <c r="I795" s="434">
        <v>10</v>
      </c>
      <c r="J795" s="256">
        <v>1</v>
      </c>
      <c r="K795" s="257">
        <f>222900*1.19</f>
        <v>265251</v>
      </c>
      <c r="L795" s="253">
        <v>0.19</v>
      </c>
      <c r="M795" s="482">
        <f t="shared" ref="M795:M841" si="124">K795*J795</f>
        <v>265251</v>
      </c>
      <c r="N795" s="483">
        <v>451010</v>
      </c>
      <c r="O795" s="253">
        <v>0.19</v>
      </c>
      <c r="P795" s="482">
        <f t="shared" ref="P795:P841" si="125">N795*J795</f>
        <v>451010</v>
      </c>
      <c r="Q795" s="482">
        <f t="shared" ref="Q795:Q841" si="126">SUM(K795+N795)/2</f>
        <v>358130.5</v>
      </c>
      <c r="R795" s="253">
        <v>0.19</v>
      </c>
      <c r="S795" s="482">
        <f t="shared" ref="S795:S841" si="127">Q795*J795</f>
        <v>358130.5</v>
      </c>
    </row>
    <row r="796" spans="1:22" s="449" customFormat="1" ht="55.2" x14ac:dyDescent="0.3">
      <c r="A796" s="258">
        <v>5</v>
      </c>
      <c r="B796" s="259">
        <v>141103148</v>
      </c>
      <c r="C796" s="260" t="s">
        <v>1316</v>
      </c>
      <c r="D796" s="259">
        <v>12352106</v>
      </c>
      <c r="E796" s="445">
        <v>2</v>
      </c>
      <c r="F796" s="261" t="s">
        <v>1317</v>
      </c>
      <c r="G796" s="264" t="s">
        <v>1315</v>
      </c>
      <c r="H796" s="434">
        <f t="shared" ref="H796:H860" si="128">I796+J796</f>
        <v>11</v>
      </c>
      <c r="I796" s="434">
        <v>10</v>
      </c>
      <c r="J796" s="261">
        <v>1</v>
      </c>
      <c r="K796" s="262">
        <f>114300*1.19</f>
        <v>136017</v>
      </c>
      <c r="L796" s="253">
        <v>0.19</v>
      </c>
      <c r="M796" s="482">
        <f t="shared" si="124"/>
        <v>136017</v>
      </c>
      <c r="N796" s="254">
        <v>172550</v>
      </c>
      <c r="O796" s="253">
        <v>0.19</v>
      </c>
      <c r="P796" s="482">
        <f t="shared" si="125"/>
        <v>172550</v>
      </c>
      <c r="Q796" s="482">
        <f t="shared" si="126"/>
        <v>154283.5</v>
      </c>
      <c r="R796" s="253">
        <v>0.19</v>
      </c>
      <c r="S796" s="482">
        <f t="shared" si="127"/>
        <v>154283.5</v>
      </c>
    </row>
    <row r="797" spans="1:22" s="449" customFormat="1" ht="124.2" x14ac:dyDescent="0.3">
      <c r="A797" s="249">
        <v>5</v>
      </c>
      <c r="B797" s="250" t="s">
        <v>534</v>
      </c>
      <c r="C797" s="251" t="s">
        <v>886</v>
      </c>
      <c r="D797" s="9">
        <v>12352300</v>
      </c>
      <c r="E797" s="252">
        <v>3</v>
      </c>
      <c r="F797" s="261" t="s">
        <v>1318</v>
      </c>
      <c r="G797" s="264" t="s">
        <v>1315</v>
      </c>
      <c r="H797" s="434">
        <f t="shared" si="128"/>
        <v>11</v>
      </c>
      <c r="I797" s="434">
        <v>10</v>
      </c>
      <c r="J797" s="484">
        <v>1</v>
      </c>
      <c r="K797" s="254">
        <f>234500*1.19</f>
        <v>279055</v>
      </c>
      <c r="L797" s="253">
        <v>0.19</v>
      </c>
      <c r="M797" s="482">
        <f t="shared" si="124"/>
        <v>279055</v>
      </c>
      <c r="N797" s="254">
        <v>226100</v>
      </c>
      <c r="O797" s="253">
        <v>0.19</v>
      </c>
      <c r="P797" s="482">
        <f t="shared" si="125"/>
        <v>226100</v>
      </c>
      <c r="Q797" s="482">
        <f t="shared" si="126"/>
        <v>252577.5</v>
      </c>
      <c r="R797" s="253">
        <v>0.19</v>
      </c>
      <c r="S797" s="482">
        <f t="shared" si="127"/>
        <v>252577.5</v>
      </c>
    </row>
    <row r="798" spans="1:22" s="449" customFormat="1" x14ac:dyDescent="0.3">
      <c r="A798" s="249">
        <v>5</v>
      </c>
      <c r="B798" s="250" t="s">
        <v>534</v>
      </c>
      <c r="C798" s="251" t="s">
        <v>886</v>
      </c>
      <c r="D798" s="9">
        <v>12352300</v>
      </c>
      <c r="E798" s="445">
        <v>4</v>
      </c>
      <c r="F798" s="261" t="s">
        <v>1319</v>
      </c>
      <c r="G798" s="261" t="s">
        <v>920</v>
      </c>
      <c r="H798" s="434">
        <f t="shared" si="128"/>
        <v>11</v>
      </c>
      <c r="I798" s="434">
        <v>10</v>
      </c>
      <c r="J798" s="484">
        <v>1</v>
      </c>
      <c r="K798" s="254">
        <f>1250400*1.19</f>
        <v>1487976</v>
      </c>
      <c r="L798" s="253">
        <v>0.19</v>
      </c>
      <c r="M798" s="482">
        <f t="shared" si="124"/>
        <v>1487976</v>
      </c>
      <c r="N798" s="254">
        <v>1545911</v>
      </c>
      <c r="O798" s="253">
        <v>0.19</v>
      </c>
      <c r="P798" s="482">
        <f t="shared" si="125"/>
        <v>1545911</v>
      </c>
      <c r="Q798" s="482">
        <f t="shared" si="126"/>
        <v>1516943.5</v>
      </c>
      <c r="R798" s="253">
        <v>0.19</v>
      </c>
      <c r="S798" s="482">
        <f t="shared" si="127"/>
        <v>1516943.5</v>
      </c>
    </row>
    <row r="799" spans="1:22" s="449" customFormat="1" x14ac:dyDescent="0.3">
      <c r="A799" s="249">
        <v>5</v>
      </c>
      <c r="B799" s="251" t="s">
        <v>534</v>
      </c>
      <c r="C799" s="251" t="s">
        <v>889</v>
      </c>
      <c r="D799" s="9">
        <v>12352100</v>
      </c>
      <c r="E799" s="445">
        <v>5</v>
      </c>
      <c r="F799" s="261" t="s">
        <v>1320</v>
      </c>
      <c r="G799" s="261" t="s">
        <v>1321</v>
      </c>
      <c r="H799" s="434">
        <f t="shared" si="128"/>
        <v>13</v>
      </c>
      <c r="I799" s="434">
        <v>10</v>
      </c>
      <c r="J799" s="484">
        <v>3</v>
      </c>
      <c r="K799" s="263">
        <f>1117400*1.19</f>
        <v>1329706</v>
      </c>
      <c r="L799" s="253">
        <v>0.19</v>
      </c>
      <c r="M799" s="482">
        <f t="shared" si="124"/>
        <v>3989118</v>
      </c>
      <c r="N799" s="254">
        <v>1381488</v>
      </c>
      <c r="O799" s="253">
        <v>0.19</v>
      </c>
      <c r="P799" s="482">
        <f t="shared" si="125"/>
        <v>4144464</v>
      </c>
      <c r="Q799" s="482">
        <f t="shared" si="126"/>
        <v>1355597</v>
      </c>
      <c r="R799" s="253">
        <v>0.19</v>
      </c>
      <c r="S799" s="482">
        <f t="shared" si="127"/>
        <v>4066791</v>
      </c>
    </row>
    <row r="800" spans="1:22" s="449" customFormat="1" ht="27.6" x14ac:dyDescent="0.3">
      <c r="A800" s="249">
        <v>5</v>
      </c>
      <c r="B800" s="251" t="s">
        <v>534</v>
      </c>
      <c r="C800" s="251" t="s">
        <v>889</v>
      </c>
      <c r="D800" s="9">
        <v>12352100</v>
      </c>
      <c r="E800" s="252">
        <v>6</v>
      </c>
      <c r="F800" s="486" t="s">
        <v>1322</v>
      </c>
      <c r="G800" s="486" t="s">
        <v>920</v>
      </c>
      <c r="H800" s="434">
        <f t="shared" si="128"/>
        <v>13</v>
      </c>
      <c r="I800" s="434">
        <v>10</v>
      </c>
      <c r="J800" s="484">
        <v>3</v>
      </c>
      <c r="K800" s="254">
        <f>22900*1.19</f>
        <v>27251</v>
      </c>
      <c r="L800" s="253">
        <v>0.19</v>
      </c>
      <c r="M800" s="482">
        <f t="shared" si="124"/>
        <v>81753</v>
      </c>
      <c r="N800" s="254">
        <v>27200</v>
      </c>
      <c r="O800" s="253">
        <v>0.19</v>
      </c>
      <c r="P800" s="482">
        <f t="shared" si="125"/>
        <v>81600</v>
      </c>
      <c r="Q800" s="482">
        <f t="shared" si="126"/>
        <v>27225.5</v>
      </c>
      <c r="R800" s="253">
        <v>0.19</v>
      </c>
      <c r="S800" s="482">
        <f t="shared" si="127"/>
        <v>81676.5</v>
      </c>
    </row>
    <row r="801" spans="1:19" s="449" customFormat="1" ht="41.4" x14ac:dyDescent="0.3">
      <c r="A801" s="249">
        <v>5</v>
      </c>
      <c r="B801" s="251" t="s">
        <v>534</v>
      </c>
      <c r="C801" s="251" t="s">
        <v>889</v>
      </c>
      <c r="D801" s="9">
        <v>12352100</v>
      </c>
      <c r="E801" s="445">
        <v>7</v>
      </c>
      <c r="F801" s="486" t="s">
        <v>1323</v>
      </c>
      <c r="G801" s="486" t="s">
        <v>1324</v>
      </c>
      <c r="H801" s="434">
        <f t="shared" si="128"/>
        <v>11</v>
      </c>
      <c r="I801" s="434">
        <v>10</v>
      </c>
      <c r="J801" s="484">
        <v>1</v>
      </c>
      <c r="K801" s="254">
        <f>321200*1.19</f>
        <v>382228</v>
      </c>
      <c r="L801" s="253">
        <v>0.19</v>
      </c>
      <c r="M801" s="482">
        <f t="shared" si="124"/>
        <v>382228</v>
      </c>
      <c r="N801" s="254">
        <v>1150474</v>
      </c>
      <c r="O801" s="253">
        <v>0.19</v>
      </c>
      <c r="P801" s="482">
        <f t="shared" si="125"/>
        <v>1150474</v>
      </c>
      <c r="Q801" s="482">
        <f t="shared" si="126"/>
        <v>766351</v>
      </c>
      <c r="R801" s="253">
        <v>0.19</v>
      </c>
      <c r="S801" s="482">
        <f t="shared" si="127"/>
        <v>766351</v>
      </c>
    </row>
    <row r="802" spans="1:19" s="449" customFormat="1" ht="66" x14ac:dyDescent="0.3">
      <c r="A802" s="266">
        <v>5</v>
      </c>
      <c r="B802" s="266">
        <v>141103148</v>
      </c>
      <c r="C802" s="266">
        <v>282948</v>
      </c>
      <c r="D802" s="266">
        <v>41116105</v>
      </c>
      <c r="E802" s="445">
        <v>8</v>
      </c>
      <c r="F802" s="485" t="s">
        <v>906</v>
      </c>
      <c r="G802" s="486" t="s">
        <v>71</v>
      </c>
      <c r="H802" s="434">
        <f t="shared" si="128"/>
        <v>11</v>
      </c>
      <c r="I802" s="434">
        <v>10</v>
      </c>
      <c r="J802" s="486">
        <v>1</v>
      </c>
      <c r="K802" s="254">
        <f>3307500*1.19</f>
        <v>3935925</v>
      </c>
      <c r="L802" s="253">
        <v>0.19</v>
      </c>
      <c r="M802" s="482">
        <f t="shared" si="124"/>
        <v>3935925</v>
      </c>
      <c r="N802" s="254">
        <v>4641000</v>
      </c>
      <c r="O802" s="253">
        <v>0.19</v>
      </c>
      <c r="P802" s="482">
        <f t="shared" si="125"/>
        <v>4641000</v>
      </c>
      <c r="Q802" s="482">
        <f t="shared" si="126"/>
        <v>4288462.5</v>
      </c>
      <c r="R802" s="253">
        <v>0.19</v>
      </c>
      <c r="S802" s="482">
        <f t="shared" si="127"/>
        <v>4288462.5</v>
      </c>
    </row>
    <row r="803" spans="1:19" s="449" customFormat="1" ht="132" x14ac:dyDescent="0.3">
      <c r="A803" s="9">
        <v>5</v>
      </c>
      <c r="B803" s="250" t="s">
        <v>538</v>
      </c>
      <c r="C803" s="251" t="s">
        <v>886</v>
      </c>
      <c r="D803" s="9">
        <v>41121701</v>
      </c>
      <c r="E803" s="252">
        <v>9</v>
      </c>
      <c r="F803" s="256" t="s">
        <v>1325</v>
      </c>
      <c r="G803" s="256" t="s">
        <v>920</v>
      </c>
      <c r="H803" s="434">
        <f t="shared" si="128"/>
        <v>110</v>
      </c>
      <c r="I803" s="434">
        <v>10</v>
      </c>
      <c r="J803" s="264">
        <v>100</v>
      </c>
      <c r="K803" s="254">
        <v>774</v>
      </c>
      <c r="L803" s="253">
        <v>0.19</v>
      </c>
      <c r="M803" s="482">
        <f t="shared" si="124"/>
        <v>77400</v>
      </c>
      <c r="N803" s="254">
        <v>4079</v>
      </c>
      <c r="O803" s="253">
        <v>0.19</v>
      </c>
      <c r="P803" s="482">
        <f t="shared" si="125"/>
        <v>407900</v>
      </c>
      <c r="Q803" s="482">
        <f t="shared" si="126"/>
        <v>2426.5</v>
      </c>
      <c r="R803" s="253">
        <v>0.19</v>
      </c>
      <c r="S803" s="482">
        <f t="shared" si="127"/>
        <v>242650</v>
      </c>
    </row>
    <row r="804" spans="1:19" s="449" customFormat="1" ht="27.6" x14ac:dyDescent="0.3">
      <c r="A804" s="249">
        <v>5</v>
      </c>
      <c r="B804" s="250" t="s">
        <v>534</v>
      </c>
      <c r="C804" s="251" t="s">
        <v>886</v>
      </c>
      <c r="D804" s="9">
        <v>12352300</v>
      </c>
      <c r="E804" s="445">
        <v>10</v>
      </c>
      <c r="F804" s="486" t="s">
        <v>1326</v>
      </c>
      <c r="G804" s="484" t="s">
        <v>920</v>
      </c>
      <c r="H804" s="434">
        <f t="shared" si="128"/>
        <v>15</v>
      </c>
      <c r="I804" s="434">
        <v>10</v>
      </c>
      <c r="J804" s="484">
        <v>5</v>
      </c>
      <c r="K804" s="254">
        <f>66000*1.19</f>
        <v>78540</v>
      </c>
      <c r="L804" s="253">
        <v>0.19</v>
      </c>
      <c r="M804" s="482">
        <f t="shared" si="124"/>
        <v>392700</v>
      </c>
      <c r="N804" s="254">
        <v>701624</v>
      </c>
      <c r="O804" s="253">
        <v>0.19</v>
      </c>
      <c r="P804" s="482">
        <f t="shared" si="125"/>
        <v>3508120</v>
      </c>
      <c r="Q804" s="482">
        <f t="shared" si="126"/>
        <v>390082</v>
      </c>
      <c r="R804" s="253">
        <v>0.19</v>
      </c>
      <c r="S804" s="482">
        <f t="shared" si="127"/>
        <v>1950410</v>
      </c>
    </row>
    <row r="805" spans="1:19" s="449" customFormat="1" ht="79.2" x14ac:dyDescent="0.3">
      <c r="A805" s="249">
        <v>5</v>
      </c>
      <c r="B805" s="487">
        <v>288343</v>
      </c>
      <c r="C805" s="487">
        <v>141103147</v>
      </c>
      <c r="D805" s="488">
        <v>41122605</v>
      </c>
      <c r="E805" s="445">
        <v>11</v>
      </c>
      <c r="F805" s="489" t="s">
        <v>924</v>
      </c>
      <c r="G805" s="489" t="s">
        <v>925</v>
      </c>
      <c r="H805" s="434">
        <f t="shared" si="128"/>
        <v>11</v>
      </c>
      <c r="I805" s="434">
        <v>10</v>
      </c>
      <c r="J805" s="490">
        <v>1</v>
      </c>
      <c r="K805" s="254">
        <f>172900*1.19</f>
        <v>205751</v>
      </c>
      <c r="L805" s="253">
        <v>0.19</v>
      </c>
      <c r="M805" s="482">
        <f t="shared" si="124"/>
        <v>205751</v>
      </c>
      <c r="N805" s="254">
        <v>89250</v>
      </c>
      <c r="O805" s="253">
        <v>0.19</v>
      </c>
      <c r="P805" s="482">
        <f t="shared" si="125"/>
        <v>89250</v>
      </c>
      <c r="Q805" s="482">
        <f t="shared" si="126"/>
        <v>147500.5</v>
      </c>
      <c r="R805" s="253">
        <v>0.19</v>
      </c>
      <c r="S805" s="482">
        <f t="shared" si="127"/>
        <v>147500.5</v>
      </c>
    </row>
    <row r="806" spans="1:19" s="449" customFormat="1" ht="69" x14ac:dyDescent="0.3">
      <c r="A806" s="249">
        <v>5</v>
      </c>
      <c r="B806" s="250" t="s">
        <v>534</v>
      </c>
      <c r="C806" s="251" t="s">
        <v>886</v>
      </c>
      <c r="D806" s="9">
        <v>12352300</v>
      </c>
      <c r="E806" s="252">
        <v>12</v>
      </c>
      <c r="F806" s="486" t="s">
        <v>927</v>
      </c>
      <c r="G806" s="484" t="s">
        <v>905</v>
      </c>
      <c r="H806" s="434">
        <f t="shared" si="128"/>
        <v>12</v>
      </c>
      <c r="I806" s="434">
        <v>10</v>
      </c>
      <c r="J806" s="484">
        <v>2</v>
      </c>
      <c r="K806" s="254">
        <f>360800*1.19</f>
        <v>429352</v>
      </c>
      <c r="L806" s="253">
        <v>0.19</v>
      </c>
      <c r="M806" s="482">
        <f t="shared" si="124"/>
        <v>858704</v>
      </c>
      <c r="N806" s="254">
        <v>565250</v>
      </c>
      <c r="O806" s="253">
        <v>0.19</v>
      </c>
      <c r="P806" s="482">
        <f t="shared" si="125"/>
        <v>1130500</v>
      </c>
      <c r="Q806" s="482">
        <f t="shared" si="126"/>
        <v>497301</v>
      </c>
      <c r="R806" s="253">
        <v>0.19</v>
      </c>
      <c r="S806" s="482">
        <f t="shared" si="127"/>
        <v>994602</v>
      </c>
    </row>
    <row r="807" spans="1:19" s="449" customFormat="1" ht="145.19999999999999" x14ac:dyDescent="0.3">
      <c r="A807" s="249">
        <v>5</v>
      </c>
      <c r="B807" s="251" t="s">
        <v>538</v>
      </c>
      <c r="C807" s="251" t="s">
        <v>928</v>
      </c>
      <c r="D807" s="9">
        <v>12352100</v>
      </c>
      <c r="E807" s="445">
        <v>13</v>
      </c>
      <c r="F807" s="265" t="s">
        <v>929</v>
      </c>
      <c r="G807" s="265" t="s">
        <v>930</v>
      </c>
      <c r="H807" s="434">
        <f t="shared" si="128"/>
        <v>12</v>
      </c>
      <c r="I807" s="434">
        <v>10</v>
      </c>
      <c r="J807" s="265">
        <v>2</v>
      </c>
      <c r="K807" s="254">
        <f>356300*1.19</f>
        <v>423997</v>
      </c>
      <c r="L807" s="253">
        <v>0.19</v>
      </c>
      <c r="M807" s="482">
        <f t="shared" si="124"/>
        <v>847994</v>
      </c>
      <c r="N807" s="254">
        <v>540812</v>
      </c>
      <c r="O807" s="253">
        <v>0.19</v>
      </c>
      <c r="P807" s="482">
        <f t="shared" si="125"/>
        <v>1081624</v>
      </c>
      <c r="Q807" s="482">
        <f t="shared" si="126"/>
        <v>482404.5</v>
      </c>
      <c r="R807" s="253">
        <v>0.19</v>
      </c>
      <c r="S807" s="482">
        <f t="shared" si="127"/>
        <v>964809</v>
      </c>
    </row>
    <row r="808" spans="1:19" s="449" customFormat="1" ht="237.6" x14ac:dyDescent="0.3">
      <c r="A808" s="249">
        <v>5</v>
      </c>
      <c r="B808" s="251" t="s">
        <v>931</v>
      </c>
      <c r="C808" s="251" t="s">
        <v>932</v>
      </c>
      <c r="D808" s="9">
        <v>12352100</v>
      </c>
      <c r="E808" s="445">
        <v>14</v>
      </c>
      <c r="F808" s="265" t="s">
        <v>933</v>
      </c>
      <c r="G808" s="265" t="s">
        <v>934</v>
      </c>
      <c r="H808" s="434">
        <f t="shared" si="128"/>
        <v>11</v>
      </c>
      <c r="I808" s="434">
        <v>10</v>
      </c>
      <c r="J808" s="484">
        <v>1</v>
      </c>
      <c r="K808" s="254">
        <f>151500*1.19</f>
        <v>180285</v>
      </c>
      <c r="L808" s="253">
        <v>0.19</v>
      </c>
      <c r="M808" s="482">
        <f t="shared" si="124"/>
        <v>180285</v>
      </c>
      <c r="N808" s="254">
        <v>430312</v>
      </c>
      <c r="O808" s="253">
        <v>0.19</v>
      </c>
      <c r="P808" s="482">
        <f t="shared" si="125"/>
        <v>430312</v>
      </c>
      <c r="Q808" s="482">
        <f t="shared" si="126"/>
        <v>305298.5</v>
      </c>
      <c r="R808" s="253">
        <v>0.19</v>
      </c>
      <c r="S808" s="482">
        <f t="shared" si="127"/>
        <v>305298.5</v>
      </c>
    </row>
    <row r="809" spans="1:19" s="449" customFormat="1" ht="96.6" x14ac:dyDescent="0.3">
      <c r="A809" s="249">
        <v>5</v>
      </c>
      <c r="B809" s="250" t="s">
        <v>534</v>
      </c>
      <c r="C809" s="251" t="s">
        <v>886</v>
      </c>
      <c r="D809" s="9">
        <v>12352300</v>
      </c>
      <c r="E809" s="252">
        <v>15</v>
      </c>
      <c r="F809" s="486" t="s">
        <v>938</v>
      </c>
      <c r="G809" s="82" t="s">
        <v>939</v>
      </c>
      <c r="H809" s="434">
        <f t="shared" si="128"/>
        <v>11</v>
      </c>
      <c r="I809" s="434">
        <v>10</v>
      </c>
      <c r="J809" s="82">
        <v>1</v>
      </c>
      <c r="K809" s="254">
        <f>667800*1.19</f>
        <v>794682</v>
      </c>
      <c r="L809" s="253">
        <v>0.19</v>
      </c>
      <c r="M809" s="482">
        <f t="shared" si="124"/>
        <v>794682</v>
      </c>
      <c r="N809" s="254">
        <v>380800</v>
      </c>
      <c r="O809" s="253">
        <v>0.19</v>
      </c>
      <c r="P809" s="482">
        <f t="shared" si="125"/>
        <v>380800</v>
      </c>
      <c r="Q809" s="482">
        <f t="shared" si="126"/>
        <v>587741</v>
      </c>
      <c r="R809" s="253">
        <v>0.19</v>
      </c>
      <c r="S809" s="482">
        <f t="shared" si="127"/>
        <v>587741</v>
      </c>
    </row>
    <row r="810" spans="1:19" s="449" customFormat="1" ht="66" x14ac:dyDescent="0.3">
      <c r="A810" s="249">
        <v>5</v>
      </c>
      <c r="B810" s="251" t="s">
        <v>940</v>
      </c>
      <c r="C810" s="251" t="s">
        <v>941</v>
      </c>
      <c r="D810" s="9">
        <v>41122400</v>
      </c>
      <c r="E810" s="445">
        <v>16</v>
      </c>
      <c r="F810" s="255" t="s">
        <v>942</v>
      </c>
      <c r="G810" s="265" t="s">
        <v>25</v>
      </c>
      <c r="H810" s="434">
        <f t="shared" si="128"/>
        <v>13</v>
      </c>
      <c r="I810" s="434">
        <v>10</v>
      </c>
      <c r="J810" s="265">
        <v>3</v>
      </c>
      <c r="K810" s="254">
        <f>11800*1.19</f>
        <v>14042</v>
      </c>
      <c r="L810" s="253">
        <v>0.19</v>
      </c>
      <c r="M810" s="482">
        <f t="shared" si="124"/>
        <v>42126</v>
      </c>
      <c r="N810" s="254">
        <v>17680</v>
      </c>
      <c r="O810" s="253">
        <v>0.19</v>
      </c>
      <c r="P810" s="482">
        <f t="shared" si="125"/>
        <v>53040</v>
      </c>
      <c r="Q810" s="482">
        <f t="shared" si="126"/>
        <v>15861</v>
      </c>
      <c r="R810" s="253">
        <v>0.19</v>
      </c>
      <c r="S810" s="482">
        <f t="shared" si="127"/>
        <v>47583</v>
      </c>
    </row>
    <row r="811" spans="1:19" s="449" customFormat="1" ht="39.6" x14ac:dyDescent="0.3">
      <c r="A811" s="249">
        <v>5</v>
      </c>
      <c r="B811" s="251" t="s">
        <v>940</v>
      </c>
      <c r="C811" s="251" t="s">
        <v>941</v>
      </c>
      <c r="D811" s="9">
        <v>41122400</v>
      </c>
      <c r="E811" s="445">
        <v>17</v>
      </c>
      <c r="F811" s="255" t="s">
        <v>943</v>
      </c>
      <c r="G811" s="265" t="s">
        <v>25</v>
      </c>
      <c r="H811" s="434">
        <f t="shared" si="128"/>
        <v>12</v>
      </c>
      <c r="I811" s="434">
        <v>10</v>
      </c>
      <c r="J811" s="265">
        <v>2</v>
      </c>
      <c r="K811" s="254">
        <f>57200*1.19</f>
        <v>68068</v>
      </c>
      <c r="L811" s="253">
        <v>0.19</v>
      </c>
      <c r="M811" s="482">
        <f t="shared" si="124"/>
        <v>136136</v>
      </c>
      <c r="N811" s="254">
        <v>70040</v>
      </c>
      <c r="O811" s="253">
        <v>0.19</v>
      </c>
      <c r="P811" s="482">
        <f t="shared" si="125"/>
        <v>140080</v>
      </c>
      <c r="Q811" s="482">
        <f t="shared" si="126"/>
        <v>69054</v>
      </c>
      <c r="R811" s="253">
        <v>0.19</v>
      </c>
      <c r="S811" s="482">
        <f t="shared" si="127"/>
        <v>138108</v>
      </c>
    </row>
    <row r="812" spans="1:19" s="449" customFormat="1" ht="165.6" x14ac:dyDescent="0.3">
      <c r="A812" s="445">
        <v>5</v>
      </c>
      <c r="B812" s="491">
        <v>241249</v>
      </c>
      <c r="C812" s="491">
        <v>141103148</v>
      </c>
      <c r="D812" s="491">
        <v>12142103</v>
      </c>
      <c r="E812" s="252">
        <v>18</v>
      </c>
      <c r="F812" s="486" t="s">
        <v>1327</v>
      </c>
      <c r="G812" s="484" t="s">
        <v>945</v>
      </c>
      <c r="H812" s="434">
        <f t="shared" si="128"/>
        <v>12</v>
      </c>
      <c r="I812" s="434">
        <v>10</v>
      </c>
      <c r="J812" s="484">
        <v>2</v>
      </c>
      <c r="K812" s="254">
        <f>113400*1.19</f>
        <v>134946</v>
      </c>
      <c r="L812" s="253">
        <v>0.19</v>
      </c>
      <c r="M812" s="482">
        <f t="shared" si="124"/>
        <v>269892</v>
      </c>
      <c r="N812" s="254">
        <v>175292</v>
      </c>
      <c r="O812" s="253">
        <v>0.19</v>
      </c>
      <c r="P812" s="482">
        <f t="shared" si="125"/>
        <v>350584</v>
      </c>
      <c r="Q812" s="482">
        <f t="shared" si="126"/>
        <v>155119</v>
      </c>
      <c r="R812" s="253">
        <v>0.19</v>
      </c>
      <c r="S812" s="482">
        <f t="shared" si="127"/>
        <v>310238</v>
      </c>
    </row>
    <row r="813" spans="1:19" s="449" customFormat="1" ht="69" x14ac:dyDescent="0.3">
      <c r="A813" s="258">
        <v>5</v>
      </c>
      <c r="B813" s="266">
        <v>141103147</v>
      </c>
      <c r="C813" s="260" t="s">
        <v>946</v>
      </c>
      <c r="D813" s="266">
        <v>51191602</v>
      </c>
      <c r="E813" s="445">
        <v>19</v>
      </c>
      <c r="F813" s="261" t="s">
        <v>1328</v>
      </c>
      <c r="G813" s="261" t="s">
        <v>788</v>
      </c>
      <c r="H813" s="434">
        <f t="shared" si="128"/>
        <v>11</v>
      </c>
      <c r="I813" s="434">
        <v>10</v>
      </c>
      <c r="J813" s="484">
        <v>1</v>
      </c>
      <c r="K813" s="254">
        <f>726600*1.19</f>
        <v>864654</v>
      </c>
      <c r="L813" s="253">
        <v>0.19</v>
      </c>
      <c r="M813" s="482">
        <f t="shared" si="124"/>
        <v>864654</v>
      </c>
      <c r="N813" s="254">
        <v>1102874</v>
      </c>
      <c r="O813" s="253">
        <v>0.19</v>
      </c>
      <c r="P813" s="482">
        <f t="shared" si="125"/>
        <v>1102874</v>
      </c>
      <c r="Q813" s="482">
        <f t="shared" si="126"/>
        <v>983764</v>
      </c>
      <c r="R813" s="253">
        <v>0.19</v>
      </c>
      <c r="S813" s="482">
        <f t="shared" si="127"/>
        <v>983764</v>
      </c>
    </row>
    <row r="814" spans="1:19" s="449" customFormat="1" ht="39.6" x14ac:dyDescent="0.3">
      <c r="A814" s="249">
        <v>5</v>
      </c>
      <c r="B814" s="488">
        <v>276789</v>
      </c>
      <c r="C814" s="487">
        <v>141103148</v>
      </c>
      <c r="D814" s="488">
        <v>41116105</v>
      </c>
      <c r="E814" s="445">
        <v>20</v>
      </c>
      <c r="F814" s="489" t="s">
        <v>1329</v>
      </c>
      <c r="G814" s="489" t="s">
        <v>949</v>
      </c>
      <c r="H814" s="434">
        <f t="shared" si="128"/>
        <v>11</v>
      </c>
      <c r="I814" s="434">
        <v>10</v>
      </c>
      <c r="J814" s="490">
        <v>1</v>
      </c>
      <c r="K814" s="254">
        <f>85400*1.19</f>
        <v>101626</v>
      </c>
      <c r="L814" s="253">
        <v>0.19</v>
      </c>
      <c r="M814" s="482">
        <f t="shared" si="124"/>
        <v>101626</v>
      </c>
      <c r="N814" s="254">
        <v>45220</v>
      </c>
      <c r="O814" s="253">
        <v>0.19</v>
      </c>
      <c r="P814" s="482">
        <f t="shared" si="125"/>
        <v>45220</v>
      </c>
      <c r="Q814" s="482">
        <f t="shared" si="126"/>
        <v>73423</v>
      </c>
      <c r="R814" s="253">
        <v>0.19</v>
      </c>
      <c r="S814" s="482">
        <f t="shared" si="127"/>
        <v>73423</v>
      </c>
    </row>
    <row r="815" spans="1:19" s="449" customFormat="1" ht="92.4" x14ac:dyDescent="0.3">
      <c r="A815" s="266">
        <v>5</v>
      </c>
      <c r="B815" s="266">
        <v>141103147</v>
      </c>
      <c r="C815" s="266">
        <v>261715</v>
      </c>
      <c r="D815" s="266">
        <v>41122601</v>
      </c>
      <c r="E815" s="252">
        <v>21</v>
      </c>
      <c r="F815" s="485" t="s">
        <v>1330</v>
      </c>
      <c r="G815" s="486" t="s">
        <v>1331</v>
      </c>
      <c r="H815" s="434">
        <f t="shared" si="128"/>
        <v>12</v>
      </c>
      <c r="I815" s="434">
        <v>10</v>
      </c>
      <c r="J815" s="486">
        <v>2</v>
      </c>
      <c r="K815" s="263">
        <f>457500*1.19</f>
        <v>544425</v>
      </c>
      <c r="L815" s="253">
        <v>0.19</v>
      </c>
      <c r="M815" s="482">
        <f t="shared" si="124"/>
        <v>1088850</v>
      </c>
      <c r="N815" s="492">
        <v>544407</v>
      </c>
      <c r="O815" s="253">
        <v>0.19</v>
      </c>
      <c r="P815" s="482">
        <f t="shared" si="125"/>
        <v>1088814</v>
      </c>
      <c r="Q815" s="482">
        <f t="shared" si="126"/>
        <v>544416</v>
      </c>
      <c r="R815" s="253">
        <v>0.19</v>
      </c>
      <c r="S815" s="482">
        <f t="shared" si="127"/>
        <v>1088832</v>
      </c>
    </row>
    <row r="816" spans="1:19" s="449" customFormat="1" ht="79.2" x14ac:dyDescent="0.3">
      <c r="A816" s="9">
        <v>5</v>
      </c>
      <c r="B816" s="251" t="s">
        <v>534</v>
      </c>
      <c r="C816" s="251" t="s">
        <v>952</v>
      </c>
      <c r="D816" s="9">
        <v>41121800</v>
      </c>
      <c r="E816" s="445">
        <v>22</v>
      </c>
      <c r="F816" s="256" t="s">
        <v>1332</v>
      </c>
      <c r="G816" s="265" t="s">
        <v>25</v>
      </c>
      <c r="H816" s="434">
        <f t="shared" si="128"/>
        <v>12</v>
      </c>
      <c r="I816" s="434">
        <v>10</v>
      </c>
      <c r="J816" s="267">
        <v>2</v>
      </c>
      <c r="K816" s="263">
        <f>457500*1.19</f>
        <v>544425</v>
      </c>
      <c r="L816" s="253">
        <v>0.19</v>
      </c>
      <c r="M816" s="482">
        <f t="shared" si="124"/>
        <v>1088850</v>
      </c>
      <c r="N816" s="254">
        <v>544407</v>
      </c>
      <c r="O816" s="253">
        <v>0.19</v>
      </c>
      <c r="P816" s="482">
        <f t="shared" si="125"/>
        <v>1088814</v>
      </c>
      <c r="Q816" s="482">
        <f t="shared" si="126"/>
        <v>544416</v>
      </c>
      <c r="R816" s="253">
        <v>0.19</v>
      </c>
      <c r="S816" s="482">
        <f t="shared" si="127"/>
        <v>1088832</v>
      </c>
    </row>
    <row r="817" spans="1:19" s="449" customFormat="1" ht="145.19999999999999" x14ac:dyDescent="0.3">
      <c r="A817" s="9">
        <v>5</v>
      </c>
      <c r="B817" s="251" t="s">
        <v>955</v>
      </c>
      <c r="C817" s="251" t="s">
        <v>956</v>
      </c>
      <c r="D817" s="9">
        <v>41122400</v>
      </c>
      <c r="E817" s="445">
        <v>23</v>
      </c>
      <c r="F817" s="256" t="s">
        <v>957</v>
      </c>
      <c r="G817" s="265" t="s">
        <v>25</v>
      </c>
      <c r="H817" s="434">
        <f t="shared" si="128"/>
        <v>20</v>
      </c>
      <c r="I817" s="434">
        <v>10</v>
      </c>
      <c r="J817" s="267">
        <v>10</v>
      </c>
      <c r="K817" s="254">
        <f>18350*1.19</f>
        <v>21836.5</v>
      </c>
      <c r="L817" s="253">
        <v>0.19</v>
      </c>
      <c r="M817" s="482">
        <f t="shared" si="124"/>
        <v>218365</v>
      </c>
      <c r="N817" s="254">
        <v>70448</v>
      </c>
      <c r="O817" s="253">
        <v>0.19</v>
      </c>
      <c r="P817" s="482">
        <f t="shared" si="125"/>
        <v>704480</v>
      </c>
      <c r="Q817" s="482">
        <f t="shared" si="126"/>
        <v>46142.25</v>
      </c>
      <c r="R817" s="253">
        <v>0.19</v>
      </c>
      <c r="S817" s="482">
        <f t="shared" si="127"/>
        <v>461422.5</v>
      </c>
    </row>
    <row r="818" spans="1:19" s="449" customFormat="1" x14ac:dyDescent="0.3">
      <c r="A818" s="9">
        <v>5</v>
      </c>
      <c r="B818" s="250" t="s">
        <v>534</v>
      </c>
      <c r="C818" s="251" t="s">
        <v>886</v>
      </c>
      <c r="D818" s="9">
        <v>12352300</v>
      </c>
      <c r="E818" s="252">
        <v>24</v>
      </c>
      <c r="F818" s="256" t="s">
        <v>958</v>
      </c>
      <c r="G818" s="264" t="s">
        <v>959</v>
      </c>
      <c r="H818" s="434">
        <f t="shared" si="128"/>
        <v>11</v>
      </c>
      <c r="I818" s="434">
        <v>10</v>
      </c>
      <c r="J818" s="264">
        <v>1</v>
      </c>
      <c r="K818" s="254">
        <f>270000*1.19</f>
        <v>321300</v>
      </c>
      <c r="L818" s="253">
        <v>0.19</v>
      </c>
      <c r="M818" s="482">
        <f t="shared" si="124"/>
        <v>321300</v>
      </c>
      <c r="N818" s="254">
        <v>514351</v>
      </c>
      <c r="O818" s="253">
        <v>0.19</v>
      </c>
      <c r="P818" s="482">
        <f t="shared" si="125"/>
        <v>514351</v>
      </c>
      <c r="Q818" s="482">
        <f t="shared" si="126"/>
        <v>417825.5</v>
      </c>
      <c r="R818" s="253">
        <v>0.19</v>
      </c>
      <c r="S818" s="482">
        <f t="shared" si="127"/>
        <v>417825.5</v>
      </c>
    </row>
    <row r="819" spans="1:19" s="449" customFormat="1" ht="66" x14ac:dyDescent="0.3">
      <c r="A819" s="9">
        <v>5</v>
      </c>
      <c r="B819" s="251" t="s">
        <v>538</v>
      </c>
      <c r="C819" s="251" t="s">
        <v>1333</v>
      </c>
      <c r="D819" s="9">
        <v>41122400</v>
      </c>
      <c r="E819" s="445">
        <v>25</v>
      </c>
      <c r="F819" s="256" t="s">
        <v>1334</v>
      </c>
      <c r="G819" s="265" t="s">
        <v>25</v>
      </c>
      <c r="H819" s="434">
        <f t="shared" si="128"/>
        <v>13</v>
      </c>
      <c r="I819" s="434">
        <v>10</v>
      </c>
      <c r="J819" s="267">
        <v>3</v>
      </c>
      <c r="K819" s="254">
        <f>20000*1.19</f>
        <v>23800</v>
      </c>
      <c r="L819" s="253">
        <v>0.19</v>
      </c>
      <c r="M819" s="482">
        <f t="shared" si="124"/>
        <v>71400</v>
      </c>
      <c r="N819" s="254">
        <v>54447</v>
      </c>
      <c r="O819" s="253">
        <v>0.19</v>
      </c>
      <c r="P819" s="482">
        <f t="shared" si="125"/>
        <v>163341</v>
      </c>
      <c r="Q819" s="482">
        <f t="shared" si="126"/>
        <v>39123.5</v>
      </c>
      <c r="R819" s="253">
        <v>0.19</v>
      </c>
      <c r="S819" s="482">
        <f t="shared" si="127"/>
        <v>117370.5</v>
      </c>
    </row>
    <row r="820" spans="1:19" s="449" customFormat="1" x14ac:dyDescent="0.3">
      <c r="A820" s="9">
        <v>5</v>
      </c>
      <c r="B820" s="251" t="s">
        <v>1335</v>
      </c>
      <c r="C820" s="251" t="s">
        <v>1336</v>
      </c>
      <c r="D820" s="9">
        <v>41121510</v>
      </c>
      <c r="E820" s="445">
        <v>26</v>
      </c>
      <c r="F820" s="256" t="s">
        <v>1337</v>
      </c>
      <c r="G820" s="265" t="s">
        <v>25</v>
      </c>
      <c r="H820" s="434">
        <f t="shared" si="128"/>
        <v>13</v>
      </c>
      <c r="I820" s="434">
        <v>10</v>
      </c>
      <c r="J820" s="267">
        <v>3</v>
      </c>
      <c r="K820" s="254">
        <f>15600*1.19</f>
        <v>18564</v>
      </c>
      <c r="L820" s="253">
        <v>0.19</v>
      </c>
      <c r="M820" s="482">
        <f t="shared" si="124"/>
        <v>55692</v>
      </c>
      <c r="N820" s="254">
        <v>18903</v>
      </c>
      <c r="O820" s="253">
        <v>0.19</v>
      </c>
      <c r="P820" s="482">
        <f t="shared" si="125"/>
        <v>56709</v>
      </c>
      <c r="Q820" s="482">
        <f t="shared" si="126"/>
        <v>18733.5</v>
      </c>
      <c r="R820" s="253">
        <v>0.19</v>
      </c>
      <c r="S820" s="482">
        <f t="shared" si="127"/>
        <v>56200.5</v>
      </c>
    </row>
    <row r="821" spans="1:19" s="449" customFormat="1" x14ac:dyDescent="0.3">
      <c r="A821" s="9">
        <v>5</v>
      </c>
      <c r="B821" s="251" t="s">
        <v>1335</v>
      </c>
      <c r="C821" s="251" t="s">
        <v>1338</v>
      </c>
      <c r="D821" s="9">
        <v>41121510</v>
      </c>
      <c r="E821" s="252">
        <v>27</v>
      </c>
      <c r="F821" s="256" t="s">
        <v>1339</v>
      </c>
      <c r="G821" s="265" t="s">
        <v>25</v>
      </c>
      <c r="H821" s="434">
        <f t="shared" si="128"/>
        <v>13</v>
      </c>
      <c r="I821" s="434">
        <v>10</v>
      </c>
      <c r="J821" s="267">
        <v>3</v>
      </c>
      <c r="K821" s="254">
        <f>18300*1.19</f>
        <v>21777</v>
      </c>
      <c r="L821" s="253">
        <v>0.19</v>
      </c>
      <c r="M821" s="482">
        <f t="shared" si="124"/>
        <v>65331</v>
      </c>
      <c r="N821" s="254">
        <v>20263</v>
      </c>
      <c r="O821" s="253">
        <v>0.19</v>
      </c>
      <c r="P821" s="482">
        <f t="shared" si="125"/>
        <v>60789</v>
      </c>
      <c r="Q821" s="482">
        <f t="shared" si="126"/>
        <v>21020</v>
      </c>
      <c r="R821" s="253">
        <v>0.19</v>
      </c>
      <c r="S821" s="482">
        <f t="shared" si="127"/>
        <v>63060</v>
      </c>
    </row>
    <row r="822" spans="1:19" s="449" customFormat="1" x14ac:dyDescent="0.3">
      <c r="A822" s="9">
        <v>5</v>
      </c>
      <c r="B822" s="251" t="s">
        <v>1335</v>
      </c>
      <c r="C822" s="251" t="s">
        <v>1340</v>
      </c>
      <c r="D822" s="9">
        <v>41121510</v>
      </c>
      <c r="E822" s="445">
        <v>28</v>
      </c>
      <c r="F822" s="256" t="s">
        <v>1341</v>
      </c>
      <c r="G822" s="265" t="s">
        <v>25</v>
      </c>
      <c r="H822" s="434">
        <f t="shared" si="128"/>
        <v>13</v>
      </c>
      <c r="I822" s="434">
        <v>10</v>
      </c>
      <c r="J822" s="267">
        <v>3</v>
      </c>
      <c r="K822" s="254">
        <f>21800*1.19</f>
        <v>25942</v>
      </c>
      <c r="L822" s="253">
        <v>0.19</v>
      </c>
      <c r="M822" s="482">
        <f t="shared" si="124"/>
        <v>77826</v>
      </c>
      <c r="N822" s="254">
        <v>22711</v>
      </c>
      <c r="O822" s="253">
        <v>0.19</v>
      </c>
      <c r="P822" s="482">
        <f t="shared" si="125"/>
        <v>68133</v>
      </c>
      <c r="Q822" s="482">
        <f t="shared" si="126"/>
        <v>24326.5</v>
      </c>
      <c r="R822" s="253">
        <v>0.19</v>
      </c>
      <c r="S822" s="482">
        <f t="shared" si="127"/>
        <v>72979.5</v>
      </c>
    </row>
    <row r="823" spans="1:19" s="449" customFormat="1" x14ac:dyDescent="0.3">
      <c r="A823" s="9">
        <v>5</v>
      </c>
      <c r="B823" s="251" t="s">
        <v>1335</v>
      </c>
      <c r="C823" s="251" t="s">
        <v>1342</v>
      </c>
      <c r="D823" s="9">
        <v>41121510</v>
      </c>
      <c r="E823" s="445">
        <v>29</v>
      </c>
      <c r="F823" s="256" t="s">
        <v>1343</v>
      </c>
      <c r="G823" s="265" t="s">
        <v>25</v>
      </c>
      <c r="H823" s="434">
        <f t="shared" si="128"/>
        <v>13</v>
      </c>
      <c r="I823" s="434">
        <v>10</v>
      </c>
      <c r="J823" s="267">
        <v>3</v>
      </c>
      <c r="K823" s="254">
        <f>24600*1.19</f>
        <v>29274</v>
      </c>
      <c r="L823" s="253">
        <v>0.19</v>
      </c>
      <c r="M823" s="482">
        <f t="shared" si="124"/>
        <v>87822</v>
      </c>
      <c r="N823" s="254">
        <v>24479</v>
      </c>
      <c r="O823" s="253">
        <v>0.19</v>
      </c>
      <c r="P823" s="482">
        <f t="shared" si="125"/>
        <v>73437</v>
      </c>
      <c r="Q823" s="482">
        <f t="shared" si="126"/>
        <v>26876.5</v>
      </c>
      <c r="R823" s="253">
        <v>0.19</v>
      </c>
      <c r="S823" s="482">
        <f t="shared" si="127"/>
        <v>80629.5</v>
      </c>
    </row>
    <row r="824" spans="1:19" s="449" customFormat="1" x14ac:dyDescent="0.3">
      <c r="A824" s="9">
        <v>5</v>
      </c>
      <c r="B824" s="251" t="s">
        <v>538</v>
      </c>
      <c r="C824" s="251" t="s">
        <v>1344</v>
      </c>
      <c r="D824" s="9">
        <v>41121800</v>
      </c>
      <c r="E824" s="252">
        <v>30</v>
      </c>
      <c r="F824" s="256" t="s">
        <v>1345</v>
      </c>
      <c r="G824" s="265" t="s">
        <v>1346</v>
      </c>
      <c r="H824" s="434">
        <f t="shared" si="128"/>
        <v>12</v>
      </c>
      <c r="I824" s="434">
        <v>10</v>
      </c>
      <c r="J824" s="267">
        <v>2</v>
      </c>
      <c r="K824" s="254">
        <f>104500*1.19</f>
        <v>124355</v>
      </c>
      <c r="L824" s="253">
        <v>0.19</v>
      </c>
      <c r="M824" s="482">
        <f t="shared" si="124"/>
        <v>248710</v>
      </c>
      <c r="N824" s="254">
        <v>42159</v>
      </c>
      <c r="O824" s="253">
        <v>0.19</v>
      </c>
      <c r="P824" s="482">
        <f t="shared" si="125"/>
        <v>84318</v>
      </c>
      <c r="Q824" s="482">
        <f t="shared" si="126"/>
        <v>83257</v>
      </c>
      <c r="R824" s="253">
        <v>0.19</v>
      </c>
      <c r="S824" s="482">
        <f t="shared" si="127"/>
        <v>166514</v>
      </c>
    </row>
    <row r="825" spans="1:19" s="449" customFormat="1" x14ac:dyDescent="0.3">
      <c r="A825" s="9">
        <v>5</v>
      </c>
      <c r="B825" s="251" t="s">
        <v>538</v>
      </c>
      <c r="C825" s="251" t="s">
        <v>1344</v>
      </c>
      <c r="D825" s="9">
        <v>41121800</v>
      </c>
      <c r="E825" s="445">
        <v>31</v>
      </c>
      <c r="F825" s="256" t="s">
        <v>1347</v>
      </c>
      <c r="G825" s="265" t="s">
        <v>1346</v>
      </c>
      <c r="H825" s="434">
        <f t="shared" si="128"/>
        <v>12</v>
      </c>
      <c r="I825" s="434">
        <v>10</v>
      </c>
      <c r="J825" s="267">
        <v>2</v>
      </c>
      <c r="K825" s="254">
        <f>117400*1.19</f>
        <v>139706</v>
      </c>
      <c r="L825" s="253">
        <v>0.19</v>
      </c>
      <c r="M825" s="482">
        <f t="shared" si="124"/>
        <v>279412</v>
      </c>
      <c r="N825" s="254">
        <v>239631</v>
      </c>
      <c r="O825" s="253">
        <v>0.19</v>
      </c>
      <c r="P825" s="482">
        <f t="shared" si="125"/>
        <v>479262</v>
      </c>
      <c r="Q825" s="482">
        <f t="shared" si="126"/>
        <v>189668.5</v>
      </c>
      <c r="R825" s="253">
        <v>0.19</v>
      </c>
      <c r="S825" s="482">
        <f t="shared" si="127"/>
        <v>379337</v>
      </c>
    </row>
    <row r="826" spans="1:19" s="449" customFormat="1" ht="55.2" x14ac:dyDescent="0.3">
      <c r="A826" s="9">
        <v>5</v>
      </c>
      <c r="B826" s="251" t="s">
        <v>538</v>
      </c>
      <c r="C826" s="9">
        <v>287365</v>
      </c>
      <c r="D826" s="9">
        <v>41122400</v>
      </c>
      <c r="E826" s="445">
        <v>32</v>
      </c>
      <c r="F826" s="493" t="s">
        <v>1348</v>
      </c>
      <c r="G826" s="265" t="s">
        <v>1349</v>
      </c>
      <c r="H826" s="434">
        <f t="shared" si="128"/>
        <v>11</v>
      </c>
      <c r="I826" s="434">
        <v>10</v>
      </c>
      <c r="J826" s="267">
        <v>1</v>
      </c>
      <c r="K826" s="254">
        <f>409000*1.19</f>
        <v>486710</v>
      </c>
      <c r="L826" s="253">
        <v>0.19</v>
      </c>
      <c r="M826" s="482">
        <f t="shared" si="124"/>
        <v>486710</v>
      </c>
      <c r="N826" s="254">
        <v>571200</v>
      </c>
      <c r="O826" s="253">
        <v>0.19</v>
      </c>
      <c r="P826" s="482">
        <f t="shared" si="125"/>
        <v>571200</v>
      </c>
      <c r="Q826" s="482">
        <f t="shared" si="126"/>
        <v>528955</v>
      </c>
      <c r="R826" s="253">
        <v>0.19</v>
      </c>
      <c r="S826" s="482">
        <f t="shared" si="127"/>
        <v>528955</v>
      </c>
    </row>
    <row r="827" spans="1:19" s="449" customFormat="1" ht="55.2" x14ac:dyDescent="0.3">
      <c r="A827" s="9">
        <v>5</v>
      </c>
      <c r="B827" s="251" t="s">
        <v>538</v>
      </c>
      <c r="C827" s="9">
        <v>287365</v>
      </c>
      <c r="D827" s="9">
        <v>41122400</v>
      </c>
      <c r="E827" s="252">
        <v>33</v>
      </c>
      <c r="F827" s="493" t="s">
        <v>1350</v>
      </c>
      <c r="G827" s="265" t="s">
        <v>1349</v>
      </c>
      <c r="H827" s="434">
        <f t="shared" si="128"/>
        <v>11</v>
      </c>
      <c r="I827" s="434">
        <v>10</v>
      </c>
      <c r="J827" s="267">
        <v>1</v>
      </c>
      <c r="K827" s="254">
        <f>409000*1.19</f>
        <v>486710</v>
      </c>
      <c r="L827" s="253">
        <v>0.19</v>
      </c>
      <c r="M827" s="482">
        <f t="shared" si="124"/>
        <v>486710</v>
      </c>
      <c r="N827" s="254">
        <v>571200</v>
      </c>
      <c r="O827" s="253">
        <v>0.19</v>
      </c>
      <c r="P827" s="482">
        <f t="shared" si="125"/>
        <v>571200</v>
      </c>
      <c r="Q827" s="482">
        <f t="shared" si="126"/>
        <v>528955</v>
      </c>
      <c r="R827" s="253">
        <v>0.19</v>
      </c>
      <c r="S827" s="482">
        <f t="shared" si="127"/>
        <v>528955</v>
      </c>
    </row>
    <row r="828" spans="1:19" s="449" customFormat="1" ht="66" x14ac:dyDescent="0.3">
      <c r="A828" s="9">
        <v>5</v>
      </c>
      <c r="B828" s="250" t="s">
        <v>534</v>
      </c>
      <c r="C828" s="251" t="s">
        <v>886</v>
      </c>
      <c r="D828" s="9">
        <v>12352300</v>
      </c>
      <c r="E828" s="445">
        <v>34</v>
      </c>
      <c r="F828" s="256" t="s">
        <v>1351</v>
      </c>
      <c r="G828" s="256" t="s">
        <v>1352</v>
      </c>
      <c r="H828" s="434">
        <f t="shared" si="128"/>
        <v>12</v>
      </c>
      <c r="I828" s="434">
        <v>10</v>
      </c>
      <c r="J828" s="264">
        <v>2</v>
      </c>
      <c r="K828" s="254">
        <f>70700*1.19</f>
        <v>84133</v>
      </c>
      <c r="L828" s="253">
        <v>0.19</v>
      </c>
      <c r="M828" s="482">
        <f t="shared" si="124"/>
        <v>168266</v>
      </c>
      <c r="N828" s="254">
        <v>95200</v>
      </c>
      <c r="O828" s="253">
        <v>0.19</v>
      </c>
      <c r="P828" s="482">
        <f t="shared" si="125"/>
        <v>190400</v>
      </c>
      <c r="Q828" s="482">
        <f t="shared" si="126"/>
        <v>89666.5</v>
      </c>
      <c r="R828" s="253">
        <v>0.19</v>
      </c>
      <c r="S828" s="482">
        <f t="shared" si="127"/>
        <v>179333</v>
      </c>
    </row>
    <row r="829" spans="1:19" s="449" customFormat="1" ht="92.4" x14ac:dyDescent="0.3">
      <c r="A829" s="23">
        <v>5</v>
      </c>
      <c r="B829" s="251" t="s">
        <v>955</v>
      </c>
      <c r="C829" s="251" t="s">
        <v>956</v>
      </c>
      <c r="D829" s="9">
        <v>41122400</v>
      </c>
      <c r="E829" s="445">
        <v>35</v>
      </c>
      <c r="F829" s="255" t="s">
        <v>1353</v>
      </c>
      <c r="G829" s="265" t="s">
        <v>25</v>
      </c>
      <c r="H829" s="434">
        <f t="shared" si="128"/>
        <v>20</v>
      </c>
      <c r="I829" s="434">
        <v>10</v>
      </c>
      <c r="J829" s="265">
        <v>10</v>
      </c>
      <c r="K829" s="257">
        <f>57200*1.19</f>
        <v>68068</v>
      </c>
      <c r="L829" s="253">
        <v>0.19</v>
      </c>
      <c r="M829" s="482">
        <f t="shared" si="124"/>
        <v>680680</v>
      </c>
      <c r="N829" s="483">
        <v>192575</v>
      </c>
      <c r="O829" s="253">
        <v>0.19</v>
      </c>
      <c r="P829" s="482">
        <f t="shared" si="125"/>
        <v>1925750</v>
      </c>
      <c r="Q829" s="482">
        <f t="shared" si="126"/>
        <v>130321.5</v>
      </c>
      <c r="R829" s="253">
        <v>0.19</v>
      </c>
      <c r="S829" s="482">
        <f t="shared" si="127"/>
        <v>1303215</v>
      </c>
    </row>
    <row r="830" spans="1:19" s="449" customFormat="1" ht="92.4" x14ac:dyDescent="0.3">
      <c r="A830" s="23">
        <v>5</v>
      </c>
      <c r="B830" s="251" t="s">
        <v>955</v>
      </c>
      <c r="C830" s="251" t="s">
        <v>956</v>
      </c>
      <c r="D830" s="9">
        <v>41122400</v>
      </c>
      <c r="E830" s="252">
        <v>36</v>
      </c>
      <c r="F830" s="255" t="s">
        <v>1354</v>
      </c>
      <c r="G830" s="265" t="s">
        <v>25</v>
      </c>
      <c r="H830" s="434">
        <f t="shared" si="128"/>
        <v>20</v>
      </c>
      <c r="I830" s="434">
        <v>10</v>
      </c>
      <c r="J830" s="265">
        <v>10</v>
      </c>
      <c r="K830" s="257">
        <f>51500*1.19</f>
        <v>61285</v>
      </c>
      <c r="L830" s="253">
        <v>0.19</v>
      </c>
      <c r="M830" s="482">
        <f t="shared" si="124"/>
        <v>612850</v>
      </c>
      <c r="N830" s="483">
        <v>175031</v>
      </c>
      <c r="O830" s="253">
        <v>0.19</v>
      </c>
      <c r="P830" s="482">
        <f t="shared" si="125"/>
        <v>1750310</v>
      </c>
      <c r="Q830" s="482">
        <f t="shared" si="126"/>
        <v>118158</v>
      </c>
      <c r="R830" s="253">
        <v>0.19</v>
      </c>
      <c r="S830" s="482">
        <f t="shared" si="127"/>
        <v>1181580</v>
      </c>
    </row>
    <row r="831" spans="1:19" s="449" customFormat="1" ht="92.4" x14ac:dyDescent="0.3">
      <c r="A831" s="23">
        <v>5</v>
      </c>
      <c r="B831" s="251" t="s">
        <v>955</v>
      </c>
      <c r="C831" s="251" t="s">
        <v>956</v>
      </c>
      <c r="D831" s="9">
        <v>41122400</v>
      </c>
      <c r="E831" s="445">
        <v>37</v>
      </c>
      <c r="F831" s="255" t="s">
        <v>1355</v>
      </c>
      <c r="G831" s="265" t="s">
        <v>25</v>
      </c>
      <c r="H831" s="434">
        <f t="shared" si="128"/>
        <v>12</v>
      </c>
      <c r="I831" s="434">
        <v>10</v>
      </c>
      <c r="J831" s="265">
        <v>2</v>
      </c>
      <c r="K831" s="257">
        <f>95800*1.19</f>
        <v>114002</v>
      </c>
      <c r="L831" s="253">
        <v>0.19</v>
      </c>
      <c r="M831" s="482">
        <f t="shared" si="124"/>
        <v>228004</v>
      </c>
      <c r="N831" s="483">
        <v>245071</v>
      </c>
      <c r="O831" s="253">
        <v>0.19</v>
      </c>
      <c r="P831" s="482">
        <f t="shared" si="125"/>
        <v>490142</v>
      </c>
      <c r="Q831" s="482">
        <f t="shared" si="126"/>
        <v>179536.5</v>
      </c>
      <c r="R831" s="253">
        <v>0.19</v>
      </c>
      <c r="S831" s="482">
        <f t="shared" si="127"/>
        <v>359073</v>
      </c>
    </row>
    <row r="832" spans="1:19" s="449" customFormat="1" ht="52.8" x14ac:dyDescent="0.3">
      <c r="A832" s="23">
        <v>5</v>
      </c>
      <c r="B832" s="251" t="s">
        <v>955</v>
      </c>
      <c r="C832" s="251" t="s">
        <v>956</v>
      </c>
      <c r="D832" s="9">
        <v>41122400</v>
      </c>
      <c r="E832" s="445">
        <v>38</v>
      </c>
      <c r="F832" s="255" t="s">
        <v>1356</v>
      </c>
      <c r="G832" s="265" t="s">
        <v>25</v>
      </c>
      <c r="H832" s="434">
        <f t="shared" si="128"/>
        <v>20</v>
      </c>
      <c r="I832" s="434">
        <v>10</v>
      </c>
      <c r="J832" s="265">
        <v>10</v>
      </c>
      <c r="K832" s="257">
        <f>47200*1.19</f>
        <v>56168</v>
      </c>
      <c r="L832" s="253">
        <v>0.19</v>
      </c>
      <c r="M832" s="482">
        <f t="shared" si="124"/>
        <v>561680</v>
      </c>
      <c r="N832" s="483">
        <v>48959</v>
      </c>
      <c r="O832" s="253">
        <v>0.19</v>
      </c>
      <c r="P832" s="482">
        <f t="shared" si="125"/>
        <v>489590</v>
      </c>
      <c r="Q832" s="482">
        <f t="shared" si="126"/>
        <v>52563.5</v>
      </c>
      <c r="R832" s="253">
        <v>0.19</v>
      </c>
      <c r="S832" s="482">
        <f t="shared" si="127"/>
        <v>525635</v>
      </c>
    </row>
    <row r="833" spans="1:19" s="449" customFormat="1" ht="52.8" x14ac:dyDescent="0.3">
      <c r="A833" s="23">
        <v>5</v>
      </c>
      <c r="B833" s="251" t="s">
        <v>955</v>
      </c>
      <c r="C833" s="251" t="s">
        <v>956</v>
      </c>
      <c r="D833" s="9">
        <v>41122400</v>
      </c>
      <c r="E833" s="252">
        <v>39</v>
      </c>
      <c r="F833" s="255" t="s">
        <v>1357</v>
      </c>
      <c r="G833" s="265" t="s">
        <v>25</v>
      </c>
      <c r="H833" s="434">
        <f t="shared" si="128"/>
        <v>20</v>
      </c>
      <c r="I833" s="434">
        <v>10</v>
      </c>
      <c r="J833" s="265">
        <v>10</v>
      </c>
      <c r="K833" s="257">
        <f>42900*1.19</f>
        <v>51051</v>
      </c>
      <c r="L833" s="253">
        <v>0.19</v>
      </c>
      <c r="M833" s="482">
        <f t="shared" si="124"/>
        <v>510510</v>
      </c>
      <c r="N833" s="483">
        <v>45559</v>
      </c>
      <c r="O833" s="253">
        <v>0.19</v>
      </c>
      <c r="P833" s="482">
        <f t="shared" si="125"/>
        <v>455590</v>
      </c>
      <c r="Q833" s="482">
        <f t="shared" si="126"/>
        <v>48305</v>
      </c>
      <c r="R833" s="253">
        <v>0.19</v>
      </c>
      <c r="S833" s="482">
        <f t="shared" si="127"/>
        <v>483050</v>
      </c>
    </row>
    <row r="834" spans="1:19" s="449" customFormat="1" ht="79.2" x14ac:dyDescent="0.3">
      <c r="A834" s="23">
        <v>5</v>
      </c>
      <c r="B834" s="250" t="s">
        <v>534</v>
      </c>
      <c r="C834" s="251" t="s">
        <v>886</v>
      </c>
      <c r="D834" s="9">
        <v>12352300</v>
      </c>
      <c r="E834" s="445">
        <v>40</v>
      </c>
      <c r="F834" s="256" t="s">
        <v>1358</v>
      </c>
      <c r="G834" s="256" t="s">
        <v>1359</v>
      </c>
      <c r="H834" s="434">
        <f t="shared" si="128"/>
        <v>11</v>
      </c>
      <c r="I834" s="434">
        <v>10</v>
      </c>
      <c r="J834" s="256">
        <v>1</v>
      </c>
      <c r="K834" s="257">
        <f>192000*1.19</f>
        <v>228480</v>
      </c>
      <c r="L834" s="253">
        <v>0.19</v>
      </c>
      <c r="M834" s="482">
        <f t="shared" si="124"/>
        <v>228480</v>
      </c>
      <c r="N834" s="483">
        <v>327250</v>
      </c>
      <c r="O834" s="253">
        <v>0.19</v>
      </c>
      <c r="P834" s="482">
        <f t="shared" si="125"/>
        <v>327250</v>
      </c>
      <c r="Q834" s="482">
        <f t="shared" si="126"/>
        <v>277865</v>
      </c>
      <c r="R834" s="253">
        <v>0.19</v>
      </c>
      <c r="S834" s="482">
        <f t="shared" si="127"/>
        <v>277865</v>
      </c>
    </row>
    <row r="835" spans="1:19" s="449" customFormat="1" ht="118.8" x14ac:dyDescent="0.3">
      <c r="A835" s="9">
        <v>5</v>
      </c>
      <c r="B835" s="251" t="s">
        <v>538</v>
      </c>
      <c r="C835" s="251" t="s">
        <v>1360</v>
      </c>
      <c r="D835" s="9">
        <v>41122400</v>
      </c>
      <c r="E835" s="445">
        <v>41</v>
      </c>
      <c r="F835" s="255" t="s">
        <v>1361</v>
      </c>
      <c r="G835" s="265" t="s">
        <v>25</v>
      </c>
      <c r="H835" s="434">
        <f t="shared" si="128"/>
        <v>15</v>
      </c>
      <c r="I835" s="434">
        <v>10</v>
      </c>
      <c r="J835" s="267">
        <v>5</v>
      </c>
      <c r="K835" s="254">
        <f>70400*1.19</f>
        <v>83776</v>
      </c>
      <c r="L835" s="253">
        <v>0.19</v>
      </c>
      <c r="M835" s="482">
        <f t="shared" si="124"/>
        <v>418880</v>
      </c>
      <c r="N835" s="499">
        <v>90110</v>
      </c>
      <c r="O835" s="253">
        <v>0.19</v>
      </c>
      <c r="P835" s="482">
        <f t="shared" si="125"/>
        <v>450550</v>
      </c>
      <c r="Q835" s="482">
        <f t="shared" si="126"/>
        <v>86943</v>
      </c>
      <c r="R835" s="253">
        <v>0.19</v>
      </c>
      <c r="S835" s="482">
        <f t="shared" si="127"/>
        <v>434715</v>
      </c>
    </row>
    <row r="836" spans="1:19" s="449" customFormat="1" ht="66" x14ac:dyDescent="0.3">
      <c r="A836" s="9">
        <v>5</v>
      </c>
      <c r="B836" s="251" t="s">
        <v>538</v>
      </c>
      <c r="C836" s="251" t="s">
        <v>1360</v>
      </c>
      <c r="D836" s="9">
        <v>41122400</v>
      </c>
      <c r="E836" s="252">
        <v>42</v>
      </c>
      <c r="F836" s="494" t="s">
        <v>1362</v>
      </c>
      <c r="G836" s="265" t="s">
        <v>25</v>
      </c>
      <c r="H836" s="434">
        <f t="shared" si="128"/>
        <v>15</v>
      </c>
      <c r="I836" s="434">
        <v>10</v>
      </c>
      <c r="J836" s="267">
        <v>5</v>
      </c>
      <c r="K836" s="254">
        <f>23100*1.19</f>
        <v>27489</v>
      </c>
      <c r="L836" s="253">
        <v>0.19</v>
      </c>
      <c r="M836" s="482">
        <f t="shared" si="124"/>
        <v>137445</v>
      </c>
      <c r="N836" s="499">
        <v>35225</v>
      </c>
      <c r="O836" s="253">
        <v>0.19</v>
      </c>
      <c r="P836" s="482">
        <f t="shared" si="125"/>
        <v>176125</v>
      </c>
      <c r="Q836" s="482">
        <f t="shared" si="126"/>
        <v>31357</v>
      </c>
      <c r="R836" s="253">
        <v>0.19</v>
      </c>
      <c r="S836" s="482">
        <f t="shared" si="127"/>
        <v>156785</v>
      </c>
    </row>
    <row r="837" spans="1:19" s="449" customFormat="1" ht="66" x14ac:dyDescent="0.3">
      <c r="A837" s="266">
        <v>5</v>
      </c>
      <c r="B837" s="266">
        <v>141103149</v>
      </c>
      <c r="C837" s="266">
        <v>261674</v>
      </c>
      <c r="D837" s="266">
        <v>41121806</v>
      </c>
      <c r="E837" s="445">
        <v>43</v>
      </c>
      <c r="F837" s="485" t="s">
        <v>1363</v>
      </c>
      <c r="G837" s="486" t="s">
        <v>1261</v>
      </c>
      <c r="H837" s="434">
        <f t="shared" si="128"/>
        <v>13</v>
      </c>
      <c r="I837" s="434">
        <v>10</v>
      </c>
      <c r="J837" s="486">
        <v>3</v>
      </c>
      <c r="K837" s="263">
        <f>78600*1.19</f>
        <v>93534</v>
      </c>
      <c r="L837" s="253">
        <v>0.19</v>
      </c>
      <c r="M837" s="482">
        <f t="shared" si="124"/>
        <v>280602</v>
      </c>
      <c r="N837" s="492">
        <v>89759</v>
      </c>
      <c r="O837" s="253">
        <v>0.19</v>
      </c>
      <c r="P837" s="482">
        <f t="shared" si="125"/>
        <v>269277</v>
      </c>
      <c r="Q837" s="482">
        <f t="shared" si="126"/>
        <v>91646.5</v>
      </c>
      <c r="R837" s="253">
        <v>0.19</v>
      </c>
      <c r="S837" s="482">
        <f t="shared" si="127"/>
        <v>274939.5</v>
      </c>
    </row>
    <row r="838" spans="1:19" s="449" customFormat="1" ht="26.4" x14ac:dyDescent="0.3">
      <c r="A838" s="266">
        <v>5</v>
      </c>
      <c r="B838" s="266">
        <v>141103147</v>
      </c>
      <c r="C838" s="266">
        <v>249794</v>
      </c>
      <c r="D838" s="266">
        <v>41121806</v>
      </c>
      <c r="E838" s="445">
        <v>44</v>
      </c>
      <c r="F838" s="485" t="s">
        <v>1364</v>
      </c>
      <c r="G838" s="486" t="s">
        <v>1261</v>
      </c>
      <c r="H838" s="434">
        <f t="shared" si="128"/>
        <v>15</v>
      </c>
      <c r="I838" s="434">
        <v>10</v>
      </c>
      <c r="J838" s="486">
        <v>5</v>
      </c>
      <c r="K838" s="263">
        <f>349500*1.19</f>
        <v>415905</v>
      </c>
      <c r="L838" s="253">
        <v>0.19</v>
      </c>
      <c r="M838" s="482">
        <f t="shared" si="124"/>
        <v>2079525</v>
      </c>
      <c r="N838" s="492">
        <v>1383119</v>
      </c>
      <c r="O838" s="253">
        <v>0.19</v>
      </c>
      <c r="P838" s="482">
        <f t="shared" si="125"/>
        <v>6915595</v>
      </c>
      <c r="Q838" s="482">
        <f t="shared" si="126"/>
        <v>899512</v>
      </c>
      <c r="R838" s="253">
        <v>0.19</v>
      </c>
      <c r="S838" s="482">
        <f t="shared" si="127"/>
        <v>4497560</v>
      </c>
    </row>
    <row r="839" spans="1:19" s="449" customFormat="1" x14ac:dyDescent="0.3">
      <c r="A839" s="266">
        <v>5</v>
      </c>
      <c r="B839" s="266">
        <v>141103147</v>
      </c>
      <c r="C839" s="266">
        <v>260194</v>
      </c>
      <c r="D839" s="266">
        <v>60122504</v>
      </c>
      <c r="E839" s="252">
        <v>45</v>
      </c>
      <c r="F839" s="485" t="s">
        <v>1365</v>
      </c>
      <c r="G839" s="486" t="s">
        <v>920</v>
      </c>
      <c r="H839" s="434">
        <f t="shared" si="128"/>
        <v>15</v>
      </c>
      <c r="I839" s="434">
        <v>10</v>
      </c>
      <c r="J839" s="486">
        <v>5</v>
      </c>
      <c r="K839" s="263">
        <f>71900*1.19</f>
        <v>85561</v>
      </c>
      <c r="L839" s="253">
        <v>0.19</v>
      </c>
      <c r="M839" s="482">
        <f t="shared" si="124"/>
        <v>427805</v>
      </c>
      <c r="N839" s="492">
        <v>85543</v>
      </c>
      <c r="O839" s="253">
        <v>0.19</v>
      </c>
      <c r="P839" s="482">
        <f t="shared" si="125"/>
        <v>427715</v>
      </c>
      <c r="Q839" s="482">
        <f t="shared" si="126"/>
        <v>85552</v>
      </c>
      <c r="R839" s="253">
        <v>0.19</v>
      </c>
      <c r="S839" s="482">
        <f t="shared" si="127"/>
        <v>427760</v>
      </c>
    </row>
    <row r="840" spans="1:19" s="449" customFormat="1" ht="105.6" x14ac:dyDescent="0.3">
      <c r="A840" s="266">
        <v>5</v>
      </c>
      <c r="B840" s="266">
        <v>141103148</v>
      </c>
      <c r="C840" s="266">
        <v>272194</v>
      </c>
      <c r="D840" s="266">
        <v>41104213</v>
      </c>
      <c r="E840" s="445">
        <v>46</v>
      </c>
      <c r="F840" s="485" t="s">
        <v>1366</v>
      </c>
      <c r="G840" s="486" t="s">
        <v>25</v>
      </c>
      <c r="H840" s="434">
        <f t="shared" si="128"/>
        <v>12</v>
      </c>
      <c r="I840" s="434">
        <v>10</v>
      </c>
      <c r="J840" s="486">
        <v>2</v>
      </c>
      <c r="K840" s="263">
        <f>90000*1.19</f>
        <v>107100</v>
      </c>
      <c r="L840" s="253">
        <v>0.19</v>
      </c>
      <c r="M840" s="482">
        <f t="shared" si="124"/>
        <v>214200</v>
      </c>
      <c r="N840" s="492">
        <v>102000</v>
      </c>
      <c r="O840" s="253">
        <v>0.19</v>
      </c>
      <c r="P840" s="482">
        <f t="shared" si="125"/>
        <v>204000</v>
      </c>
      <c r="Q840" s="482">
        <f t="shared" si="126"/>
        <v>104550</v>
      </c>
      <c r="R840" s="253">
        <v>0.19</v>
      </c>
      <c r="S840" s="482">
        <f t="shared" si="127"/>
        <v>209100</v>
      </c>
    </row>
    <row r="841" spans="1:19" s="449" customFormat="1" ht="39.6" x14ac:dyDescent="0.3">
      <c r="A841" s="266">
        <v>5</v>
      </c>
      <c r="B841" s="266">
        <v>111172119</v>
      </c>
      <c r="C841" s="266">
        <v>240376</v>
      </c>
      <c r="D841" s="266">
        <v>46181504</v>
      </c>
      <c r="E841" s="445">
        <v>47</v>
      </c>
      <c r="F841" s="485" t="s">
        <v>1367</v>
      </c>
      <c r="G841" s="486" t="s">
        <v>1276</v>
      </c>
      <c r="H841" s="434">
        <f t="shared" si="128"/>
        <v>16</v>
      </c>
      <c r="I841" s="434">
        <v>10</v>
      </c>
      <c r="J841" s="486">
        <v>6</v>
      </c>
      <c r="K841" s="263">
        <f>32900*1.19</f>
        <v>39151</v>
      </c>
      <c r="L841" s="253">
        <v>0.19</v>
      </c>
      <c r="M841" s="482">
        <f t="shared" si="124"/>
        <v>234906</v>
      </c>
      <c r="N841" s="492">
        <v>87039</v>
      </c>
      <c r="O841" s="253">
        <v>0.19</v>
      </c>
      <c r="P841" s="482">
        <f t="shared" si="125"/>
        <v>522234</v>
      </c>
      <c r="Q841" s="482">
        <f t="shared" si="126"/>
        <v>63095</v>
      </c>
      <c r="R841" s="253">
        <v>0.19</v>
      </c>
      <c r="S841" s="482">
        <f t="shared" si="127"/>
        <v>378570</v>
      </c>
    </row>
    <row r="842" spans="1:19" s="449" customFormat="1" ht="28.8" x14ac:dyDescent="0.3">
      <c r="A842" s="109">
        <v>5</v>
      </c>
      <c r="B842" s="123">
        <v>142281606</v>
      </c>
      <c r="C842" s="186" t="s">
        <v>1368</v>
      </c>
      <c r="D842" s="123">
        <v>12352506</v>
      </c>
      <c r="E842" s="252">
        <v>48</v>
      </c>
      <c r="F842" s="19" t="s">
        <v>1369</v>
      </c>
      <c r="G842" s="188" t="s">
        <v>1370</v>
      </c>
      <c r="H842" s="434">
        <f t="shared" si="128"/>
        <v>11</v>
      </c>
      <c r="I842" s="434">
        <v>10</v>
      </c>
      <c r="J842" s="20">
        <v>1</v>
      </c>
      <c r="K842" s="310">
        <v>304045</v>
      </c>
      <c r="L842" s="309">
        <v>0.19</v>
      </c>
      <c r="M842" s="314">
        <f>K842*J842</f>
        <v>304045</v>
      </c>
      <c r="N842" s="310">
        <v>364130.06885500002</v>
      </c>
      <c r="O842" s="309">
        <v>0.19</v>
      </c>
      <c r="P842" s="204">
        <f>N842*J842</f>
        <v>364130.06885500002</v>
      </c>
      <c r="Q842" s="315">
        <f>SUM(K842+N842)/2</f>
        <v>334087.53442749998</v>
      </c>
      <c r="R842" s="309">
        <v>0.19</v>
      </c>
      <c r="S842" s="315">
        <f>Q842*J842</f>
        <v>334087.53442749998</v>
      </c>
    </row>
    <row r="843" spans="1:19" s="449" customFormat="1" ht="28.8" x14ac:dyDescent="0.3">
      <c r="A843" s="109">
        <v>5</v>
      </c>
      <c r="B843" s="123">
        <v>142281606</v>
      </c>
      <c r="C843" s="186" t="s">
        <v>1368</v>
      </c>
      <c r="D843" s="123">
        <v>12352506</v>
      </c>
      <c r="E843" s="445">
        <v>49</v>
      </c>
      <c r="F843" s="19" t="s">
        <v>1371</v>
      </c>
      <c r="G843" s="188" t="s">
        <v>488</v>
      </c>
      <c r="H843" s="434">
        <f t="shared" si="128"/>
        <v>30</v>
      </c>
      <c r="I843" s="434">
        <v>10</v>
      </c>
      <c r="J843" s="20">
        <v>20</v>
      </c>
      <c r="K843" s="310">
        <v>151011</v>
      </c>
      <c r="L843" s="309">
        <v>0.19</v>
      </c>
      <c r="M843" s="314">
        <f t="shared" ref="M843:M870" si="129">K843*J843</f>
        <v>3020220</v>
      </c>
      <c r="N843" s="310">
        <v>180853.64280900001</v>
      </c>
      <c r="O843" s="309">
        <v>0.19</v>
      </c>
      <c r="P843" s="204">
        <f t="shared" ref="P843:P870" si="130">N843*J843</f>
        <v>3617072.8561800001</v>
      </c>
      <c r="Q843" s="315">
        <f t="shared" ref="Q843:Q870" si="131">SUM(K843+N843)/2</f>
        <v>165932.32140449999</v>
      </c>
      <c r="R843" s="309">
        <v>0.19</v>
      </c>
      <c r="S843" s="315">
        <f t="shared" ref="S843:S870" si="132">Q843*J843</f>
        <v>3318646.4280899996</v>
      </c>
    </row>
    <row r="844" spans="1:19" s="449" customFormat="1" ht="43.2" x14ac:dyDescent="0.3">
      <c r="A844" s="109">
        <v>5</v>
      </c>
      <c r="B844" s="190">
        <v>150171559</v>
      </c>
      <c r="C844" s="186" t="s">
        <v>1372</v>
      </c>
      <c r="D844" s="190">
        <v>12352301</v>
      </c>
      <c r="E844" s="445">
        <v>50</v>
      </c>
      <c r="F844" s="19" t="s">
        <v>1373</v>
      </c>
      <c r="G844" s="114" t="s">
        <v>1374</v>
      </c>
      <c r="H844" s="434">
        <f t="shared" si="128"/>
        <v>11</v>
      </c>
      <c r="I844" s="434">
        <v>10</v>
      </c>
      <c r="J844" s="313">
        <v>1</v>
      </c>
      <c r="K844" s="310">
        <v>34986</v>
      </c>
      <c r="L844" s="309">
        <v>0.19</v>
      </c>
      <c r="M844" s="314">
        <f t="shared" si="129"/>
        <v>34986</v>
      </c>
      <c r="N844" s="310">
        <v>41899.898333999998</v>
      </c>
      <c r="O844" s="309">
        <v>0.19</v>
      </c>
      <c r="P844" s="204">
        <f t="shared" si="130"/>
        <v>41899.898333999998</v>
      </c>
      <c r="Q844" s="315">
        <f t="shared" si="131"/>
        <v>38442.949166999999</v>
      </c>
      <c r="R844" s="309">
        <v>0.19</v>
      </c>
      <c r="S844" s="315">
        <f t="shared" si="132"/>
        <v>38442.949166999999</v>
      </c>
    </row>
    <row r="845" spans="1:19" s="449" customFormat="1" ht="86.4" x14ac:dyDescent="0.3">
      <c r="A845" s="109">
        <v>5</v>
      </c>
      <c r="B845" s="123">
        <v>141103148</v>
      </c>
      <c r="C845" s="186" t="s">
        <v>883</v>
      </c>
      <c r="D845" s="187">
        <v>12352301</v>
      </c>
      <c r="E845" s="252">
        <v>51</v>
      </c>
      <c r="F845" s="19" t="s">
        <v>1375</v>
      </c>
      <c r="G845" s="188" t="s">
        <v>1374</v>
      </c>
      <c r="H845" s="434">
        <f t="shared" si="128"/>
        <v>22</v>
      </c>
      <c r="I845" s="434">
        <v>10</v>
      </c>
      <c r="J845" s="20">
        <v>12</v>
      </c>
      <c r="K845" s="310">
        <v>170051</v>
      </c>
      <c r="L845" s="309">
        <v>0.19</v>
      </c>
      <c r="M845" s="314">
        <f t="shared" si="129"/>
        <v>2040612</v>
      </c>
      <c r="N845" s="310">
        <v>203656.30856899999</v>
      </c>
      <c r="O845" s="309">
        <v>0.19</v>
      </c>
      <c r="P845" s="204">
        <f t="shared" si="130"/>
        <v>2443875.7028279998</v>
      </c>
      <c r="Q845" s="315">
        <f t="shared" si="131"/>
        <v>186853.65428449999</v>
      </c>
      <c r="R845" s="309">
        <v>0.19</v>
      </c>
      <c r="S845" s="315">
        <f t="shared" si="132"/>
        <v>2242243.8514139997</v>
      </c>
    </row>
    <row r="846" spans="1:19" s="449" customFormat="1" ht="28.8" x14ac:dyDescent="0.3">
      <c r="A846" s="109">
        <v>5</v>
      </c>
      <c r="B846" s="190">
        <v>151211822</v>
      </c>
      <c r="C846" s="186" t="s">
        <v>1376</v>
      </c>
      <c r="D846" s="190">
        <v>51102710</v>
      </c>
      <c r="E846" s="445">
        <v>52</v>
      </c>
      <c r="F846" s="19" t="s">
        <v>1377</v>
      </c>
      <c r="G846" s="114" t="s">
        <v>1374</v>
      </c>
      <c r="H846" s="434">
        <f t="shared" si="128"/>
        <v>50</v>
      </c>
      <c r="I846" s="434">
        <v>10</v>
      </c>
      <c r="J846" s="20">
        <v>40</v>
      </c>
      <c r="K846" s="310">
        <v>7735</v>
      </c>
      <c r="L846" s="309">
        <v>0.19</v>
      </c>
      <c r="M846" s="314">
        <f t="shared" si="129"/>
        <v>309400</v>
      </c>
      <c r="N846" s="310">
        <v>9263.5829649999996</v>
      </c>
      <c r="O846" s="309">
        <v>0.19</v>
      </c>
      <c r="P846" s="204">
        <f t="shared" si="130"/>
        <v>370543.3186</v>
      </c>
      <c r="Q846" s="315">
        <f t="shared" si="131"/>
        <v>8499.2914825000007</v>
      </c>
      <c r="R846" s="309">
        <v>0.19</v>
      </c>
      <c r="S846" s="315">
        <f t="shared" si="132"/>
        <v>339971.65930000006</v>
      </c>
    </row>
    <row r="847" spans="1:19" s="449" customFormat="1" ht="57.6" x14ac:dyDescent="0.3">
      <c r="A847" s="109">
        <v>5</v>
      </c>
      <c r="B847" s="190">
        <v>151101527</v>
      </c>
      <c r="C847" s="186" t="s">
        <v>1378</v>
      </c>
      <c r="D847" s="190">
        <v>15101507</v>
      </c>
      <c r="E847" s="445">
        <v>53</v>
      </c>
      <c r="F847" s="19" t="s">
        <v>1379</v>
      </c>
      <c r="G847" s="114" t="s">
        <v>1374</v>
      </c>
      <c r="H847" s="434">
        <f t="shared" si="128"/>
        <v>12</v>
      </c>
      <c r="I847" s="434">
        <v>10</v>
      </c>
      <c r="J847" s="20">
        <v>2</v>
      </c>
      <c r="K847" s="310">
        <v>408051</v>
      </c>
      <c r="L847" s="309">
        <v>0.19</v>
      </c>
      <c r="M847" s="314">
        <f t="shared" si="129"/>
        <v>816102</v>
      </c>
      <c r="N847" s="310">
        <v>488689.63056900003</v>
      </c>
      <c r="O847" s="309">
        <v>0.19</v>
      </c>
      <c r="P847" s="204">
        <f t="shared" si="130"/>
        <v>977379.26113800006</v>
      </c>
      <c r="Q847" s="315">
        <f t="shared" si="131"/>
        <v>448370.31528450001</v>
      </c>
      <c r="R847" s="309">
        <v>0.19</v>
      </c>
      <c r="S847" s="315">
        <f t="shared" si="132"/>
        <v>896740.63056900003</v>
      </c>
    </row>
    <row r="848" spans="1:19" s="449" customFormat="1" ht="43.2" x14ac:dyDescent="0.3">
      <c r="A848" s="109">
        <v>5</v>
      </c>
      <c r="B848" s="190">
        <v>141103148</v>
      </c>
      <c r="C848" s="186" t="s">
        <v>1380</v>
      </c>
      <c r="D848" s="190">
        <v>12161703</v>
      </c>
      <c r="E848" s="252">
        <v>54</v>
      </c>
      <c r="F848" s="19" t="s">
        <v>1381</v>
      </c>
      <c r="G848" s="114" t="s">
        <v>1382</v>
      </c>
      <c r="H848" s="434">
        <f t="shared" si="128"/>
        <v>25</v>
      </c>
      <c r="I848" s="434">
        <v>10</v>
      </c>
      <c r="J848" s="20">
        <v>15</v>
      </c>
      <c r="K848" s="310">
        <v>6902</v>
      </c>
      <c r="L848" s="309">
        <v>0.19</v>
      </c>
      <c r="M848" s="314">
        <f t="shared" si="129"/>
        <v>103530</v>
      </c>
      <c r="N848" s="310">
        <v>8265.9663380000002</v>
      </c>
      <c r="O848" s="309">
        <v>0.19</v>
      </c>
      <c r="P848" s="204">
        <f t="shared" si="130"/>
        <v>123989.49507</v>
      </c>
      <c r="Q848" s="315">
        <f t="shared" si="131"/>
        <v>7583.9831690000001</v>
      </c>
      <c r="R848" s="309">
        <v>0.19</v>
      </c>
      <c r="S848" s="315">
        <f t="shared" si="132"/>
        <v>113759.747535</v>
      </c>
    </row>
    <row r="849" spans="1:19" s="449" customFormat="1" ht="46.8" x14ac:dyDescent="0.3">
      <c r="A849" s="109">
        <v>5</v>
      </c>
      <c r="B849" s="190">
        <v>141103147</v>
      </c>
      <c r="C849" s="186" t="s">
        <v>946</v>
      </c>
      <c r="D849" s="190">
        <v>51191602</v>
      </c>
      <c r="E849" s="445">
        <v>55</v>
      </c>
      <c r="F849" s="217" t="s">
        <v>1383</v>
      </c>
      <c r="G849" s="114" t="s">
        <v>788</v>
      </c>
      <c r="H849" s="434">
        <f t="shared" si="128"/>
        <v>11</v>
      </c>
      <c r="I849" s="434">
        <v>10</v>
      </c>
      <c r="J849" s="20">
        <v>1</v>
      </c>
      <c r="K849" s="310">
        <v>383061</v>
      </c>
      <c r="L849" s="309">
        <v>0.19</v>
      </c>
      <c r="M849" s="314">
        <f t="shared" si="129"/>
        <v>383061</v>
      </c>
      <c r="N849" s="310">
        <v>458761.13175900001</v>
      </c>
      <c r="O849" s="309">
        <v>0.19</v>
      </c>
      <c r="P849" s="204">
        <f t="shared" si="130"/>
        <v>458761.13175900001</v>
      </c>
      <c r="Q849" s="315">
        <f t="shared" si="131"/>
        <v>420911.06587950001</v>
      </c>
      <c r="R849" s="309">
        <v>0.19</v>
      </c>
      <c r="S849" s="315">
        <f t="shared" si="132"/>
        <v>420911.06587950001</v>
      </c>
    </row>
    <row r="850" spans="1:19" s="449" customFormat="1" ht="43.2" x14ac:dyDescent="0.3">
      <c r="A850" s="109">
        <v>5</v>
      </c>
      <c r="B850" s="190">
        <v>141103147</v>
      </c>
      <c r="C850" s="186" t="s">
        <v>946</v>
      </c>
      <c r="D850" s="190">
        <v>51191602</v>
      </c>
      <c r="E850" s="445">
        <v>56</v>
      </c>
      <c r="F850" s="19" t="s">
        <v>1384</v>
      </c>
      <c r="G850" s="114" t="s">
        <v>788</v>
      </c>
      <c r="H850" s="434">
        <f t="shared" si="128"/>
        <v>11</v>
      </c>
      <c r="I850" s="434">
        <v>10</v>
      </c>
      <c r="J850" s="20">
        <v>1</v>
      </c>
      <c r="K850" s="310">
        <v>84133</v>
      </c>
      <c r="L850" s="309">
        <v>0.19</v>
      </c>
      <c r="M850" s="314">
        <f t="shared" si="129"/>
        <v>84133</v>
      </c>
      <c r="N850" s="310">
        <v>100759.279327</v>
      </c>
      <c r="O850" s="309">
        <v>0.19</v>
      </c>
      <c r="P850" s="204">
        <f t="shared" si="130"/>
        <v>100759.279327</v>
      </c>
      <c r="Q850" s="315">
        <f t="shared" si="131"/>
        <v>92446.139663499998</v>
      </c>
      <c r="R850" s="309">
        <v>0.19</v>
      </c>
      <c r="S850" s="315">
        <f t="shared" si="132"/>
        <v>92446.139663499998</v>
      </c>
    </row>
    <row r="851" spans="1:19" s="449" customFormat="1" ht="72" x14ac:dyDescent="0.3">
      <c r="A851" s="109">
        <v>5</v>
      </c>
      <c r="B851" s="190">
        <v>141103148</v>
      </c>
      <c r="C851" s="186" t="s">
        <v>1385</v>
      </c>
      <c r="D851" s="190">
        <v>12352501</v>
      </c>
      <c r="E851" s="252">
        <v>57</v>
      </c>
      <c r="F851" s="19" t="s">
        <v>1386</v>
      </c>
      <c r="G851" s="188" t="s">
        <v>813</v>
      </c>
      <c r="H851" s="434">
        <f t="shared" si="128"/>
        <v>20</v>
      </c>
      <c r="I851" s="434">
        <v>10</v>
      </c>
      <c r="J851" s="20">
        <v>10</v>
      </c>
      <c r="K851" s="310">
        <v>361403</v>
      </c>
      <c r="L851" s="309">
        <v>0.19</v>
      </c>
      <c r="M851" s="314">
        <f t="shared" si="129"/>
        <v>3614030</v>
      </c>
      <c r="N851" s="310">
        <v>432823.09945700003</v>
      </c>
      <c r="O851" s="309">
        <v>0.19</v>
      </c>
      <c r="P851" s="204">
        <f t="shared" si="130"/>
        <v>4328230.9945700001</v>
      </c>
      <c r="Q851" s="315">
        <f t="shared" si="131"/>
        <v>397113.04972850002</v>
      </c>
      <c r="R851" s="309">
        <v>0.19</v>
      </c>
      <c r="S851" s="315">
        <f t="shared" si="132"/>
        <v>3971130.497285</v>
      </c>
    </row>
    <row r="852" spans="1:19" s="449" customFormat="1" ht="57.6" x14ac:dyDescent="0.3">
      <c r="A852" s="109">
        <v>5</v>
      </c>
      <c r="B852" s="190">
        <v>141103148</v>
      </c>
      <c r="C852" s="113" t="s">
        <v>1387</v>
      </c>
      <c r="D852" s="190">
        <v>12352107</v>
      </c>
      <c r="E852" s="445">
        <v>58</v>
      </c>
      <c r="F852" s="19" t="s">
        <v>1388</v>
      </c>
      <c r="G852" s="114" t="s">
        <v>788</v>
      </c>
      <c r="H852" s="434">
        <f t="shared" si="128"/>
        <v>11</v>
      </c>
      <c r="I852" s="434">
        <v>10</v>
      </c>
      <c r="J852" s="20">
        <v>1</v>
      </c>
      <c r="K852" s="310">
        <v>173502</v>
      </c>
      <c r="L852" s="309">
        <v>0.19</v>
      </c>
      <c r="M852" s="314">
        <f t="shared" si="129"/>
        <v>173502</v>
      </c>
      <c r="N852" s="310">
        <v>207789.291738</v>
      </c>
      <c r="O852" s="309">
        <v>0.19</v>
      </c>
      <c r="P852" s="204">
        <f t="shared" si="130"/>
        <v>207789.291738</v>
      </c>
      <c r="Q852" s="315">
        <f t="shared" si="131"/>
        <v>190645.645869</v>
      </c>
      <c r="R852" s="309">
        <v>0.19</v>
      </c>
      <c r="S852" s="315">
        <f t="shared" si="132"/>
        <v>190645.645869</v>
      </c>
    </row>
    <row r="853" spans="1:19" s="449" customFormat="1" ht="72" x14ac:dyDescent="0.3">
      <c r="A853" s="109">
        <v>5</v>
      </c>
      <c r="B853" s="190">
        <v>141103147</v>
      </c>
      <c r="C853" s="113" t="s">
        <v>1389</v>
      </c>
      <c r="D853" s="190">
        <v>12352316</v>
      </c>
      <c r="E853" s="445">
        <v>59</v>
      </c>
      <c r="F853" s="19" t="s">
        <v>1390</v>
      </c>
      <c r="G853" s="114" t="s">
        <v>788</v>
      </c>
      <c r="H853" s="434">
        <f t="shared" si="128"/>
        <v>20</v>
      </c>
      <c r="I853" s="434">
        <v>10</v>
      </c>
      <c r="J853" s="20">
        <v>10</v>
      </c>
      <c r="K853" s="310">
        <v>74851</v>
      </c>
      <c r="L853" s="309">
        <v>0.19</v>
      </c>
      <c r="M853" s="314">
        <f t="shared" si="129"/>
        <v>748510</v>
      </c>
      <c r="N853" s="310">
        <v>89642.979768999998</v>
      </c>
      <c r="O853" s="309">
        <v>0.19</v>
      </c>
      <c r="P853" s="204">
        <f t="shared" si="130"/>
        <v>896429.79768999992</v>
      </c>
      <c r="Q853" s="315">
        <f t="shared" si="131"/>
        <v>82246.989884499999</v>
      </c>
      <c r="R853" s="309">
        <v>0.19</v>
      </c>
      <c r="S853" s="315">
        <f t="shared" si="132"/>
        <v>822469.89884499996</v>
      </c>
    </row>
    <row r="854" spans="1:19" s="449" customFormat="1" ht="43.2" x14ac:dyDescent="0.3">
      <c r="A854" s="109">
        <v>5</v>
      </c>
      <c r="B854" s="190">
        <v>141103147</v>
      </c>
      <c r="C854" s="113" t="s">
        <v>1391</v>
      </c>
      <c r="D854" s="190">
        <v>12352316</v>
      </c>
      <c r="E854" s="252">
        <v>60</v>
      </c>
      <c r="F854" s="19" t="s">
        <v>1392</v>
      </c>
      <c r="G854" s="114" t="s">
        <v>788</v>
      </c>
      <c r="H854" s="434">
        <f t="shared" si="128"/>
        <v>11</v>
      </c>
      <c r="I854" s="434">
        <v>10</v>
      </c>
      <c r="J854" s="20">
        <v>1</v>
      </c>
      <c r="K854" s="310">
        <v>157437</v>
      </c>
      <c r="L854" s="309">
        <v>0.19</v>
      </c>
      <c r="M854" s="314">
        <f t="shared" si="129"/>
        <v>157437</v>
      </c>
      <c r="N854" s="310">
        <v>188549.542503</v>
      </c>
      <c r="O854" s="309">
        <v>0.19</v>
      </c>
      <c r="P854" s="204">
        <f t="shared" si="130"/>
        <v>188549.542503</v>
      </c>
      <c r="Q854" s="315">
        <f t="shared" si="131"/>
        <v>172993.2712515</v>
      </c>
      <c r="R854" s="309">
        <v>0.19</v>
      </c>
      <c r="S854" s="315">
        <f t="shared" si="132"/>
        <v>172993.2712515</v>
      </c>
    </row>
    <row r="855" spans="1:19" s="449" customFormat="1" ht="43.2" x14ac:dyDescent="0.3">
      <c r="A855" s="109">
        <v>5</v>
      </c>
      <c r="B855" s="190">
        <v>142281606</v>
      </c>
      <c r="C855" s="186" t="s">
        <v>1393</v>
      </c>
      <c r="D855" s="190">
        <v>47131803</v>
      </c>
      <c r="E855" s="445">
        <v>61</v>
      </c>
      <c r="F855" s="19" t="s">
        <v>1394</v>
      </c>
      <c r="G855" s="188" t="s">
        <v>488</v>
      </c>
      <c r="H855" s="434">
        <f t="shared" si="128"/>
        <v>11</v>
      </c>
      <c r="I855" s="434">
        <v>10</v>
      </c>
      <c r="J855" s="20">
        <v>1</v>
      </c>
      <c r="K855" s="310">
        <v>170170</v>
      </c>
      <c r="L855" s="309">
        <v>0.19</v>
      </c>
      <c r="M855" s="314">
        <f t="shared" si="129"/>
        <v>170170</v>
      </c>
      <c r="N855" s="310">
        <v>203798.82523000002</v>
      </c>
      <c r="O855" s="309">
        <v>0.19</v>
      </c>
      <c r="P855" s="204">
        <f t="shared" si="130"/>
        <v>203798.82523000002</v>
      </c>
      <c r="Q855" s="315">
        <f t="shared" si="131"/>
        <v>186984.41261500001</v>
      </c>
      <c r="R855" s="309">
        <v>0.19</v>
      </c>
      <c r="S855" s="315">
        <f t="shared" si="132"/>
        <v>186984.41261500001</v>
      </c>
    </row>
    <row r="856" spans="1:19" s="449" customFormat="1" ht="43.2" x14ac:dyDescent="0.3">
      <c r="A856" s="109">
        <v>5</v>
      </c>
      <c r="B856" s="190">
        <v>142281606</v>
      </c>
      <c r="C856" s="186" t="s">
        <v>1393</v>
      </c>
      <c r="D856" s="190">
        <v>47131803</v>
      </c>
      <c r="E856" s="445">
        <v>62</v>
      </c>
      <c r="F856" s="19" t="s">
        <v>1395</v>
      </c>
      <c r="G856" s="114" t="s">
        <v>1374</v>
      </c>
      <c r="H856" s="434">
        <f t="shared" si="128"/>
        <v>30</v>
      </c>
      <c r="I856" s="434">
        <v>10</v>
      </c>
      <c r="J856" s="20">
        <v>20</v>
      </c>
      <c r="K856" s="310">
        <v>10234</v>
      </c>
      <c r="L856" s="309">
        <v>0.19</v>
      </c>
      <c r="M856" s="314">
        <f t="shared" si="129"/>
        <v>204680</v>
      </c>
      <c r="N856" s="310">
        <v>12256.432846</v>
      </c>
      <c r="O856" s="309">
        <v>0.19</v>
      </c>
      <c r="P856" s="204">
        <f t="shared" si="130"/>
        <v>245128.65691999998</v>
      </c>
      <c r="Q856" s="315">
        <f t="shared" si="131"/>
        <v>11245.216423</v>
      </c>
      <c r="R856" s="309">
        <v>0.19</v>
      </c>
      <c r="S856" s="315">
        <f t="shared" si="132"/>
        <v>224904.32845999999</v>
      </c>
    </row>
    <row r="857" spans="1:19" s="449" customFormat="1" ht="43.2" x14ac:dyDescent="0.3">
      <c r="A857" s="109">
        <v>5</v>
      </c>
      <c r="B857" s="190">
        <v>141103147</v>
      </c>
      <c r="C857" s="186" t="s">
        <v>946</v>
      </c>
      <c r="D857" s="190">
        <v>51191602</v>
      </c>
      <c r="E857" s="252">
        <v>63</v>
      </c>
      <c r="F857" s="19" t="s">
        <v>1396</v>
      </c>
      <c r="G857" s="114" t="s">
        <v>788</v>
      </c>
      <c r="H857" s="434">
        <f t="shared" si="128"/>
        <v>11</v>
      </c>
      <c r="I857" s="434">
        <v>10</v>
      </c>
      <c r="J857" s="20">
        <v>1</v>
      </c>
      <c r="K857" s="310">
        <v>642005</v>
      </c>
      <c r="L857" s="309">
        <v>0.19</v>
      </c>
      <c r="M857" s="314">
        <f t="shared" si="129"/>
        <v>642005</v>
      </c>
      <c r="N857" s="310">
        <v>768877.38609499997</v>
      </c>
      <c r="O857" s="309">
        <v>0.19</v>
      </c>
      <c r="P857" s="204">
        <f t="shared" si="130"/>
        <v>768877.38609499997</v>
      </c>
      <c r="Q857" s="315">
        <f t="shared" si="131"/>
        <v>705441.19304749998</v>
      </c>
      <c r="R857" s="309">
        <v>0.19</v>
      </c>
      <c r="S857" s="315">
        <f t="shared" si="132"/>
        <v>705441.19304749998</v>
      </c>
    </row>
    <row r="858" spans="1:19" s="449" customFormat="1" ht="43.2" x14ac:dyDescent="0.3">
      <c r="A858" s="109"/>
      <c r="B858" s="190"/>
      <c r="C858" s="186"/>
      <c r="D858" s="190"/>
      <c r="E858" s="445">
        <v>64</v>
      </c>
      <c r="F858" s="19" t="s">
        <v>2019</v>
      </c>
      <c r="G858" s="114" t="s">
        <v>1374</v>
      </c>
      <c r="H858" s="434">
        <v>22</v>
      </c>
      <c r="I858" s="434">
        <v>10</v>
      </c>
      <c r="J858" s="20">
        <v>12</v>
      </c>
      <c r="K858" s="310"/>
      <c r="L858" s="309"/>
      <c r="M858" s="314"/>
      <c r="N858" s="310"/>
      <c r="O858" s="309"/>
      <c r="P858" s="204"/>
      <c r="Q858" s="315"/>
      <c r="R858" s="309"/>
      <c r="S858" s="315"/>
    </row>
    <row r="859" spans="1:19" s="449" customFormat="1" ht="57.6" x14ac:dyDescent="0.3">
      <c r="A859" s="109">
        <v>5</v>
      </c>
      <c r="B859" s="123">
        <v>123141716</v>
      </c>
      <c r="C859" s="186" t="s">
        <v>1397</v>
      </c>
      <c r="D859" s="190">
        <v>12191501</v>
      </c>
      <c r="E859" s="445">
        <v>65</v>
      </c>
      <c r="F859" s="19" t="s">
        <v>1398</v>
      </c>
      <c r="G859" s="114" t="s">
        <v>1374</v>
      </c>
      <c r="H859" s="434">
        <f t="shared" si="128"/>
        <v>13</v>
      </c>
      <c r="I859" s="434">
        <v>10</v>
      </c>
      <c r="J859" s="20">
        <v>3</v>
      </c>
      <c r="K859" s="310">
        <v>687701</v>
      </c>
      <c r="L859" s="309">
        <v>0.19</v>
      </c>
      <c r="M859" s="314">
        <f t="shared" si="129"/>
        <v>2063103</v>
      </c>
      <c r="N859" s="310">
        <v>823603.78391900007</v>
      </c>
      <c r="O859" s="309">
        <v>0.19</v>
      </c>
      <c r="P859" s="204">
        <f t="shared" si="130"/>
        <v>2470811.3517570002</v>
      </c>
      <c r="Q859" s="315">
        <f t="shared" si="131"/>
        <v>755652.39195950003</v>
      </c>
      <c r="R859" s="309">
        <v>0.19</v>
      </c>
      <c r="S859" s="315">
        <f t="shared" si="132"/>
        <v>2266957.1758785001</v>
      </c>
    </row>
    <row r="860" spans="1:19" s="449" customFormat="1" ht="43.2" x14ac:dyDescent="0.3">
      <c r="A860" s="109">
        <v>5</v>
      </c>
      <c r="B860" s="3">
        <v>141103147</v>
      </c>
      <c r="C860" s="3">
        <v>249961</v>
      </c>
      <c r="D860" s="190">
        <v>12352401</v>
      </c>
      <c r="E860" s="252">
        <v>66</v>
      </c>
      <c r="F860" s="19" t="s">
        <v>1399</v>
      </c>
      <c r="G860" s="114" t="s">
        <v>788</v>
      </c>
      <c r="H860" s="434">
        <f t="shared" si="128"/>
        <v>11</v>
      </c>
      <c r="I860" s="434">
        <v>10</v>
      </c>
      <c r="J860" s="20">
        <v>1</v>
      </c>
      <c r="K860" s="310">
        <v>187425</v>
      </c>
      <c r="L860" s="309">
        <v>0.19</v>
      </c>
      <c r="M860" s="314">
        <f t="shared" si="129"/>
        <v>187425</v>
      </c>
      <c r="N860" s="310">
        <v>224463.741075</v>
      </c>
      <c r="O860" s="309">
        <v>0.19</v>
      </c>
      <c r="P860" s="204">
        <f t="shared" si="130"/>
        <v>224463.741075</v>
      </c>
      <c r="Q860" s="315">
        <f t="shared" si="131"/>
        <v>205944.37053750001</v>
      </c>
      <c r="R860" s="309">
        <v>0.19</v>
      </c>
      <c r="S860" s="315">
        <f t="shared" si="132"/>
        <v>205944.37053750001</v>
      </c>
    </row>
    <row r="861" spans="1:19" s="449" customFormat="1" ht="28.8" x14ac:dyDescent="0.3">
      <c r="A861" s="109">
        <v>5</v>
      </c>
      <c r="B861" s="190">
        <v>151101527</v>
      </c>
      <c r="C861" s="186" t="s">
        <v>1378</v>
      </c>
      <c r="D861" s="190">
        <v>15101507</v>
      </c>
      <c r="E861" s="445">
        <v>67</v>
      </c>
      <c r="F861" s="19" t="s">
        <v>1400</v>
      </c>
      <c r="G861" s="188" t="s">
        <v>1374</v>
      </c>
      <c r="H861" s="434">
        <f t="shared" ref="H861:H870" si="133">I861+J861</f>
        <v>13</v>
      </c>
      <c r="I861" s="434">
        <v>10</v>
      </c>
      <c r="J861" s="20">
        <v>3</v>
      </c>
      <c r="K861" s="310">
        <v>76517</v>
      </c>
      <c r="L861" s="309">
        <v>0.19</v>
      </c>
      <c r="M861" s="314">
        <f t="shared" si="129"/>
        <v>229551</v>
      </c>
      <c r="N861" s="310">
        <v>91638.213023000004</v>
      </c>
      <c r="O861" s="309">
        <v>0.19</v>
      </c>
      <c r="P861" s="204">
        <f t="shared" si="130"/>
        <v>274914.63906900003</v>
      </c>
      <c r="Q861" s="315">
        <f t="shared" si="131"/>
        <v>84077.606511499995</v>
      </c>
      <c r="R861" s="309">
        <v>0.19</v>
      </c>
      <c r="S861" s="315">
        <f t="shared" si="132"/>
        <v>252232.81953449998</v>
      </c>
    </row>
    <row r="862" spans="1:19" s="449" customFormat="1" ht="72" x14ac:dyDescent="0.3">
      <c r="A862" s="109">
        <v>5</v>
      </c>
      <c r="B862" s="123">
        <v>141103148</v>
      </c>
      <c r="C862" s="113" t="s">
        <v>1401</v>
      </c>
      <c r="D862" s="190">
        <v>12352401</v>
      </c>
      <c r="E862" s="445">
        <v>68</v>
      </c>
      <c r="F862" s="19" t="s">
        <v>1402</v>
      </c>
      <c r="G862" s="114" t="s">
        <v>160</v>
      </c>
      <c r="H862" s="434">
        <f t="shared" si="133"/>
        <v>11</v>
      </c>
      <c r="I862" s="434">
        <v>10</v>
      </c>
      <c r="J862" s="20">
        <v>1</v>
      </c>
      <c r="K862" s="310">
        <v>486710</v>
      </c>
      <c r="L862" s="309">
        <v>0.19</v>
      </c>
      <c r="M862" s="314">
        <f t="shared" si="129"/>
        <v>486710</v>
      </c>
      <c r="N862" s="310">
        <v>582893.14349000005</v>
      </c>
      <c r="O862" s="309">
        <v>0.19</v>
      </c>
      <c r="P862" s="204">
        <f t="shared" si="130"/>
        <v>582893.14349000005</v>
      </c>
      <c r="Q862" s="315">
        <f t="shared" si="131"/>
        <v>534801.57174500008</v>
      </c>
      <c r="R862" s="309">
        <v>0.19</v>
      </c>
      <c r="S862" s="315">
        <f t="shared" si="132"/>
        <v>534801.57174500008</v>
      </c>
    </row>
    <row r="863" spans="1:19" s="449" customFormat="1" ht="72" x14ac:dyDescent="0.3">
      <c r="A863" s="109">
        <v>5</v>
      </c>
      <c r="B863" s="123">
        <v>141103148</v>
      </c>
      <c r="C863" s="113" t="s">
        <v>1401</v>
      </c>
      <c r="D863" s="190">
        <v>12352401</v>
      </c>
      <c r="E863" s="252">
        <v>69</v>
      </c>
      <c r="F863" s="19" t="s">
        <v>1403</v>
      </c>
      <c r="G863" s="114" t="s">
        <v>160</v>
      </c>
      <c r="H863" s="434">
        <f t="shared" si="133"/>
        <v>11</v>
      </c>
      <c r="I863" s="434">
        <v>10</v>
      </c>
      <c r="J863" s="20">
        <v>1</v>
      </c>
      <c r="K863" s="310">
        <v>486710</v>
      </c>
      <c r="L863" s="309">
        <v>0.19</v>
      </c>
      <c r="M863" s="314">
        <f t="shared" si="129"/>
        <v>486710</v>
      </c>
      <c r="N863" s="310">
        <v>582893.14349000005</v>
      </c>
      <c r="O863" s="309">
        <v>0.19</v>
      </c>
      <c r="P863" s="204">
        <f t="shared" si="130"/>
        <v>582893.14349000005</v>
      </c>
      <c r="Q863" s="315">
        <f t="shared" si="131"/>
        <v>534801.57174500008</v>
      </c>
      <c r="R863" s="309">
        <v>0.19</v>
      </c>
      <c r="S863" s="315">
        <f t="shared" si="132"/>
        <v>534801.57174500008</v>
      </c>
    </row>
    <row r="864" spans="1:19" s="449" customFormat="1" ht="72" x14ac:dyDescent="0.3">
      <c r="A864" s="109">
        <v>5</v>
      </c>
      <c r="B864" s="123">
        <v>141103148</v>
      </c>
      <c r="C864" s="113" t="s">
        <v>1401</v>
      </c>
      <c r="D864" s="190">
        <v>12352401</v>
      </c>
      <c r="E864" s="445">
        <v>70</v>
      </c>
      <c r="F864" s="19" t="s">
        <v>1404</v>
      </c>
      <c r="G864" s="114" t="s">
        <v>160</v>
      </c>
      <c r="H864" s="434">
        <f t="shared" si="133"/>
        <v>11</v>
      </c>
      <c r="I864" s="434">
        <v>10</v>
      </c>
      <c r="J864" s="20">
        <v>1</v>
      </c>
      <c r="K864" s="310">
        <v>258825</v>
      </c>
      <c r="L864" s="309">
        <v>0.19</v>
      </c>
      <c r="M864" s="314">
        <f t="shared" si="129"/>
        <v>258825</v>
      </c>
      <c r="N864" s="310">
        <v>309973.73767499998</v>
      </c>
      <c r="O864" s="309">
        <v>0.19</v>
      </c>
      <c r="P864" s="204">
        <f t="shared" si="130"/>
        <v>309973.73767499998</v>
      </c>
      <c r="Q864" s="315">
        <f t="shared" si="131"/>
        <v>284399.36883749999</v>
      </c>
      <c r="R864" s="309">
        <v>0.19</v>
      </c>
      <c r="S864" s="315">
        <f t="shared" si="132"/>
        <v>284399.36883749999</v>
      </c>
    </row>
    <row r="865" spans="1:19" s="449" customFormat="1" ht="72" x14ac:dyDescent="0.3">
      <c r="A865" s="109">
        <v>5</v>
      </c>
      <c r="B865" s="123">
        <v>141103148</v>
      </c>
      <c r="C865" s="113" t="s">
        <v>1401</v>
      </c>
      <c r="D865" s="190">
        <v>12352401</v>
      </c>
      <c r="E865" s="445">
        <v>71</v>
      </c>
      <c r="F865" s="19" t="s">
        <v>1405</v>
      </c>
      <c r="G865" s="114" t="s">
        <v>160</v>
      </c>
      <c r="H865" s="434">
        <f t="shared" si="133"/>
        <v>11</v>
      </c>
      <c r="I865" s="434">
        <v>10</v>
      </c>
      <c r="J865" s="20">
        <v>1</v>
      </c>
      <c r="K865" s="310">
        <v>338793</v>
      </c>
      <c r="L865" s="309">
        <v>0.19</v>
      </c>
      <c r="M865" s="314">
        <f t="shared" si="129"/>
        <v>338793</v>
      </c>
      <c r="N865" s="310">
        <v>405744.93386699999</v>
      </c>
      <c r="O865" s="309">
        <v>0.19</v>
      </c>
      <c r="P865" s="204">
        <f t="shared" si="130"/>
        <v>405744.93386699999</v>
      </c>
      <c r="Q865" s="315">
        <f t="shared" si="131"/>
        <v>372268.96693350002</v>
      </c>
      <c r="R865" s="309">
        <v>0.19</v>
      </c>
      <c r="S865" s="315">
        <f t="shared" si="132"/>
        <v>372268.96693350002</v>
      </c>
    </row>
    <row r="866" spans="1:19" s="449" customFormat="1" ht="57.6" x14ac:dyDescent="0.3">
      <c r="A866" s="109">
        <v>5</v>
      </c>
      <c r="B866" s="123">
        <v>141103148</v>
      </c>
      <c r="C866" s="113" t="s">
        <v>1406</v>
      </c>
      <c r="D866" s="190">
        <v>12352401</v>
      </c>
      <c r="E866" s="252">
        <v>72</v>
      </c>
      <c r="F866" s="19" t="s">
        <v>1407</v>
      </c>
      <c r="G866" s="114" t="s">
        <v>488</v>
      </c>
      <c r="H866" s="434">
        <f t="shared" si="133"/>
        <v>11</v>
      </c>
      <c r="I866" s="434">
        <v>10</v>
      </c>
      <c r="J866" s="20">
        <v>1</v>
      </c>
      <c r="K866" s="310">
        <v>104482</v>
      </c>
      <c r="L866" s="309">
        <v>0.19</v>
      </c>
      <c r="M866" s="314">
        <f t="shared" si="129"/>
        <v>104482</v>
      </c>
      <c r="N866" s="310">
        <v>125129.628358</v>
      </c>
      <c r="O866" s="309">
        <v>0.19</v>
      </c>
      <c r="P866" s="204">
        <f t="shared" si="130"/>
        <v>125129.628358</v>
      </c>
      <c r="Q866" s="315">
        <f t="shared" si="131"/>
        <v>114805.81417900001</v>
      </c>
      <c r="R866" s="309">
        <v>0.19</v>
      </c>
      <c r="S866" s="315">
        <f t="shared" si="132"/>
        <v>114805.81417900001</v>
      </c>
    </row>
    <row r="867" spans="1:19" s="449" customFormat="1" ht="57.6" x14ac:dyDescent="0.3">
      <c r="A867" s="109">
        <v>5</v>
      </c>
      <c r="B867" s="190">
        <v>123141716</v>
      </c>
      <c r="C867" s="186" t="s">
        <v>1397</v>
      </c>
      <c r="D867" s="190">
        <v>12191501</v>
      </c>
      <c r="E867" s="445">
        <v>73</v>
      </c>
      <c r="F867" s="19" t="s">
        <v>1408</v>
      </c>
      <c r="G867" s="114" t="s">
        <v>1374</v>
      </c>
      <c r="H867" s="434">
        <f t="shared" si="133"/>
        <v>11</v>
      </c>
      <c r="I867" s="434">
        <v>10</v>
      </c>
      <c r="J867" s="313">
        <v>1</v>
      </c>
      <c r="K867" s="310">
        <v>535024</v>
      </c>
      <c r="L867" s="309">
        <v>0.19</v>
      </c>
      <c r="M867" s="314">
        <f t="shared" si="129"/>
        <v>535024</v>
      </c>
      <c r="N867" s="310">
        <v>640754.90785600001</v>
      </c>
      <c r="O867" s="309">
        <v>0.19</v>
      </c>
      <c r="P867" s="204">
        <f t="shared" si="130"/>
        <v>640754.90785600001</v>
      </c>
      <c r="Q867" s="315">
        <f t="shared" si="131"/>
        <v>587889.45392800006</v>
      </c>
      <c r="R867" s="309">
        <v>0.19</v>
      </c>
      <c r="S867" s="315">
        <f t="shared" si="132"/>
        <v>587889.45392800006</v>
      </c>
    </row>
    <row r="868" spans="1:19" s="449" customFormat="1" ht="43.2" x14ac:dyDescent="0.3">
      <c r="A868" s="109">
        <v>5</v>
      </c>
      <c r="B868" s="190">
        <v>141103147</v>
      </c>
      <c r="C868" s="113" t="s">
        <v>1389</v>
      </c>
      <c r="D868" s="190">
        <v>12352316</v>
      </c>
      <c r="E868" s="445">
        <v>74</v>
      </c>
      <c r="F868" s="19" t="s">
        <v>1409</v>
      </c>
      <c r="G868" s="114" t="s">
        <v>788</v>
      </c>
      <c r="H868" s="434">
        <f t="shared" si="133"/>
        <v>11</v>
      </c>
      <c r="I868" s="434">
        <v>10</v>
      </c>
      <c r="J868" s="313">
        <v>1</v>
      </c>
      <c r="K868" s="310">
        <v>1531292</v>
      </c>
      <c r="L868" s="309">
        <v>0.19</v>
      </c>
      <c r="M868" s="314">
        <f t="shared" si="129"/>
        <v>1531292</v>
      </c>
      <c r="N868" s="310">
        <v>1833904.393748</v>
      </c>
      <c r="O868" s="309">
        <v>0.19</v>
      </c>
      <c r="P868" s="204">
        <f t="shared" si="130"/>
        <v>1833904.393748</v>
      </c>
      <c r="Q868" s="315">
        <f t="shared" si="131"/>
        <v>1682598.1968740001</v>
      </c>
      <c r="R868" s="309">
        <v>0.19</v>
      </c>
      <c r="S868" s="315">
        <f t="shared" si="132"/>
        <v>1682598.1968740001</v>
      </c>
    </row>
    <row r="869" spans="1:19" s="449" customFormat="1" ht="28.8" x14ac:dyDescent="0.3">
      <c r="A869" s="109">
        <v>5</v>
      </c>
      <c r="B869" s="190">
        <v>147122123</v>
      </c>
      <c r="C869" s="113" t="s">
        <v>1410</v>
      </c>
      <c r="D869" s="190">
        <v>41103206</v>
      </c>
      <c r="E869" s="252">
        <v>75</v>
      </c>
      <c r="F869" s="19" t="s">
        <v>1411</v>
      </c>
      <c r="G869" s="114" t="s">
        <v>1412</v>
      </c>
      <c r="H869" s="434">
        <f t="shared" si="133"/>
        <v>20</v>
      </c>
      <c r="I869" s="434">
        <v>10</v>
      </c>
      <c r="J869" s="20">
        <v>10</v>
      </c>
      <c r="K869" s="310">
        <v>26180</v>
      </c>
      <c r="L869" s="309">
        <v>0.19</v>
      </c>
      <c r="M869" s="314">
        <f t="shared" si="129"/>
        <v>261800</v>
      </c>
      <c r="N869" s="310">
        <v>31353.665420000001</v>
      </c>
      <c r="O869" s="309">
        <v>0.19</v>
      </c>
      <c r="P869" s="204">
        <f t="shared" si="130"/>
        <v>313536.65419999999</v>
      </c>
      <c r="Q869" s="315">
        <f t="shared" si="131"/>
        <v>28766.832710000002</v>
      </c>
      <c r="R869" s="309">
        <v>0.19</v>
      </c>
      <c r="S869" s="315">
        <f t="shared" si="132"/>
        <v>287668.32709999999</v>
      </c>
    </row>
    <row r="870" spans="1:19" s="449" customFormat="1" ht="43.2" x14ac:dyDescent="0.3">
      <c r="A870" s="109">
        <v>5</v>
      </c>
      <c r="B870" s="182" t="s">
        <v>710</v>
      </c>
      <c r="C870" s="316" t="s">
        <v>1413</v>
      </c>
      <c r="D870" s="182" t="s">
        <v>1137</v>
      </c>
      <c r="E870" s="445">
        <v>76</v>
      </c>
      <c r="F870" s="19" t="s">
        <v>1414</v>
      </c>
      <c r="G870" s="188" t="s">
        <v>160</v>
      </c>
      <c r="H870" s="434">
        <f t="shared" si="133"/>
        <v>20</v>
      </c>
      <c r="I870" s="434">
        <v>10</v>
      </c>
      <c r="J870" s="20">
        <v>10</v>
      </c>
      <c r="K870" s="310">
        <v>89250</v>
      </c>
      <c r="L870" s="309">
        <v>0.19</v>
      </c>
      <c r="M870" s="314">
        <f t="shared" si="129"/>
        <v>892500</v>
      </c>
      <c r="N870" s="310">
        <v>106887.49575</v>
      </c>
      <c r="O870" s="309">
        <v>0.19</v>
      </c>
      <c r="P870" s="204">
        <f t="shared" si="130"/>
        <v>1068874.9575</v>
      </c>
      <c r="Q870" s="315">
        <f t="shared" si="131"/>
        <v>98068.747875000001</v>
      </c>
      <c r="R870" s="309">
        <v>0.19</v>
      </c>
      <c r="S870" s="315">
        <f t="shared" si="132"/>
        <v>980687.47875000001</v>
      </c>
    </row>
    <row r="871" spans="1:19" s="449" customFormat="1" x14ac:dyDescent="0.3">
      <c r="A871" s="716"/>
      <c r="B871" s="716"/>
      <c r="C871" s="716"/>
      <c r="D871" s="716"/>
      <c r="E871" s="716"/>
      <c r="F871" s="716"/>
      <c r="G871" s="716"/>
      <c r="H871" s="716"/>
      <c r="I871" s="716"/>
      <c r="J871" s="716"/>
      <c r="K871" s="716"/>
      <c r="L871" s="716"/>
      <c r="M871" s="176"/>
      <c r="N871" s="179"/>
      <c r="O871" s="179"/>
      <c r="P871" s="204"/>
      <c r="Q871" s="1"/>
      <c r="R871" s="1"/>
      <c r="S871" s="315">
        <f>SUM(S795:S870)</f>
        <v>56148310.869461015</v>
      </c>
    </row>
    <row r="872" spans="1:19" s="449" customFormat="1" x14ac:dyDescent="0.3">
      <c r="E872" s="500"/>
      <c r="P872" s="450"/>
    </row>
    <row r="873" spans="1:19" s="449" customFormat="1" x14ac:dyDescent="0.3">
      <c r="E873" s="500"/>
      <c r="P873" s="450"/>
    </row>
    <row r="874" spans="1:19" s="449" customFormat="1" ht="14.55" customHeight="1" x14ac:dyDescent="0.3">
      <c r="A874" s="541" t="s">
        <v>1415</v>
      </c>
      <c r="B874" s="541"/>
      <c r="C874" s="541"/>
      <c r="D874" s="541"/>
      <c r="E874" s="541"/>
      <c r="F874" s="541"/>
      <c r="G874" s="541"/>
      <c r="H874" s="541"/>
      <c r="I874" s="541"/>
      <c r="J874" s="541"/>
      <c r="K874" s="541"/>
      <c r="L874" s="541"/>
      <c r="M874" s="541"/>
      <c r="N874" s="541"/>
      <c r="O874" s="541"/>
      <c r="P874" s="541"/>
      <c r="Q874" s="541"/>
      <c r="R874" s="541"/>
      <c r="S874" s="541"/>
    </row>
    <row r="875" spans="1:19" s="449" customFormat="1" ht="14.55" customHeight="1" x14ac:dyDescent="0.3">
      <c r="A875" s="541"/>
      <c r="B875" s="541"/>
      <c r="C875" s="541"/>
      <c r="D875" s="541"/>
      <c r="E875" s="699" t="s">
        <v>1415</v>
      </c>
      <c r="F875" s="700"/>
      <c r="G875" s="700"/>
      <c r="H875" s="701"/>
      <c r="I875" s="541"/>
      <c r="J875" s="541"/>
      <c r="K875" s="541"/>
      <c r="L875" s="541"/>
      <c r="M875" s="541"/>
      <c r="N875" s="541"/>
      <c r="O875" s="541"/>
      <c r="P875" s="541"/>
      <c r="Q875" s="541"/>
      <c r="R875" s="541"/>
      <c r="S875" s="541"/>
    </row>
    <row r="876" spans="1:19" s="449" customFormat="1" ht="15.6" x14ac:dyDescent="0.3">
      <c r="A876" s="709" t="s">
        <v>83</v>
      </c>
      <c r="B876" s="709" t="s">
        <v>84</v>
      </c>
      <c r="C876" s="709" t="s">
        <v>85</v>
      </c>
      <c r="D876" s="711" t="s">
        <v>86</v>
      </c>
      <c r="E876" s="709" t="s">
        <v>6</v>
      </c>
      <c r="F876" s="709" t="s">
        <v>87</v>
      </c>
      <c r="G876" s="709" t="s">
        <v>88</v>
      </c>
      <c r="H876" s="702" t="s">
        <v>89</v>
      </c>
      <c r="I876" s="124"/>
      <c r="J876" s="705" t="s">
        <v>89</v>
      </c>
      <c r="K876" s="710" t="s">
        <v>818</v>
      </c>
      <c r="L876" s="710"/>
      <c r="M876" s="710"/>
      <c r="N876" s="704" t="s">
        <v>819</v>
      </c>
      <c r="O876" s="704"/>
      <c r="P876" s="704"/>
      <c r="Q876" s="705" t="s">
        <v>15</v>
      </c>
      <c r="R876" s="705"/>
      <c r="S876" s="705"/>
    </row>
    <row r="877" spans="1:19" s="449" customFormat="1" ht="46.8" x14ac:dyDescent="0.3">
      <c r="A877" s="709"/>
      <c r="B877" s="709"/>
      <c r="C877" s="709"/>
      <c r="D877" s="711"/>
      <c r="E877" s="709"/>
      <c r="F877" s="709"/>
      <c r="G877" s="709"/>
      <c r="H877" s="703"/>
      <c r="I877" s="124"/>
      <c r="J877" s="705"/>
      <c r="K877" s="555" t="s">
        <v>382</v>
      </c>
      <c r="L877" s="555" t="s">
        <v>17</v>
      </c>
      <c r="M877" s="555" t="s">
        <v>18</v>
      </c>
      <c r="N877" s="555" t="s">
        <v>367</v>
      </c>
      <c r="O877" s="555" t="s">
        <v>17</v>
      </c>
      <c r="P877" s="556" t="s">
        <v>18</v>
      </c>
      <c r="Q877" s="555" t="s">
        <v>367</v>
      </c>
      <c r="R877" s="555" t="s">
        <v>17</v>
      </c>
      <c r="S877" s="555" t="s">
        <v>18</v>
      </c>
    </row>
    <row r="878" spans="1:19" s="400" customFormat="1" x14ac:dyDescent="0.3">
      <c r="A878" s="19">
        <v>5</v>
      </c>
      <c r="B878" s="501">
        <v>131211517</v>
      </c>
      <c r="C878" s="501" t="s">
        <v>1416</v>
      </c>
      <c r="D878" s="501">
        <v>31211604</v>
      </c>
      <c r="E878" s="520">
        <v>1</v>
      </c>
      <c r="F878" s="19" t="s">
        <v>1417</v>
      </c>
      <c r="G878" s="520" t="s">
        <v>1418</v>
      </c>
      <c r="H878" s="520">
        <f>I878+J878</f>
        <v>14</v>
      </c>
      <c r="I878" s="19">
        <v>10</v>
      </c>
      <c r="J878" s="19">
        <v>4</v>
      </c>
      <c r="K878" s="557">
        <v>107151</v>
      </c>
      <c r="L878" s="502">
        <v>0.19</v>
      </c>
      <c r="M878" s="557">
        <f>K878*J878</f>
        <v>428604</v>
      </c>
      <c r="N878" s="503">
        <v>112782</v>
      </c>
      <c r="O878" s="504">
        <v>0.19</v>
      </c>
      <c r="P878" s="503">
        <f>N878*J878</f>
        <v>451128</v>
      </c>
      <c r="Q878" s="503">
        <f>SUM(K878+N878)/2</f>
        <v>109966.5</v>
      </c>
      <c r="R878" s="504">
        <v>0.19</v>
      </c>
      <c r="S878" s="503">
        <f>Q878*J878</f>
        <v>439866</v>
      </c>
    </row>
    <row r="879" spans="1:19" s="400" customFormat="1" x14ac:dyDescent="0.3">
      <c r="A879" s="19">
        <v>5</v>
      </c>
      <c r="B879" s="501">
        <v>131211517</v>
      </c>
      <c r="C879" s="501" t="s">
        <v>1416</v>
      </c>
      <c r="D879" s="501">
        <v>31211604</v>
      </c>
      <c r="E879" s="520">
        <v>2</v>
      </c>
      <c r="F879" s="19" t="s">
        <v>1419</v>
      </c>
      <c r="G879" s="520" t="s">
        <v>1420</v>
      </c>
      <c r="H879" s="520">
        <f t="shared" ref="H879:H925" si="134">I879+J879</f>
        <v>15</v>
      </c>
      <c r="I879" s="19">
        <v>10</v>
      </c>
      <c r="J879" s="19">
        <v>5</v>
      </c>
      <c r="K879" s="557">
        <v>83879</v>
      </c>
      <c r="L879" s="502">
        <v>0.19</v>
      </c>
      <c r="M879" s="557">
        <f t="shared" ref="M879:M895" si="135">K879*J879</f>
        <v>419395</v>
      </c>
      <c r="N879" s="503">
        <v>57982</v>
      </c>
      <c r="O879" s="504">
        <v>0.19</v>
      </c>
      <c r="P879" s="503">
        <f t="shared" ref="P879:P895" si="136">N879*J879</f>
        <v>289910</v>
      </c>
      <c r="Q879" s="503">
        <f t="shared" ref="Q879:Q925" si="137">SUM(K879+N879)/2</f>
        <v>70930.5</v>
      </c>
      <c r="R879" s="504">
        <v>0.19</v>
      </c>
      <c r="S879" s="503">
        <f t="shared" ref="S879:S923" si="138">Q879*J879</f>
        <v>354652.5</v>
      </c>
    </row>
    <row r="880" spans="1:19" s="400" customFormat="1" x14ac:dyDescent="0.3">
      <c r="A880" s="19">
        <v>5</v>
      </c>
      <c r="B880" s="501">
        <v>131211517</v>
      </c>
      <c r="C880" s="501" t="s">
        <v>1416</v>
      </c>
      <c r="D880" s="501">
        <v>31211604</v>
      </c>
      <c r="E880" s="520">
        <v>3</v>
      </c>
      <c r="F880" s="19" t="s">
        <v>1421</v>
      </c>
      <c r="G880" s="520" t="s">
        <v>1420</v>
      </c>
      <c r="H880" s="520">
        <f t="shared" si="134"/>
        <v>15</v>
      </c>
      <c r="I880" s="19">
        <v>10</v>
      </c>
      <c r="J880" s="19">
        <v>5</v>
      </c>
      <c r="K880" s="557">
        <v>70555</v>
      </c>
      <c r="L880" s="502">
        <v>0.19</v>
      </c>
      <c r="M880" s="557">
        <f t="shared" si="135"/>
        <v>352775</v>
      </c>
      <c r="N880" s="503">
        <v>38351</v>
      </c>
      <c r="O880" s="504">
        <v>0.19</v>
      </c>
      <c r="P880" s="503">
        <f t="shared" si="136"/>
        <v>191755</v>
      </c>
      <c r="Q880" s="503">
        <f t="shared" si="137"/>
        <v>54453</v>
      </c>
      <c r="R880" s="504">
        <v>0.19</v>
      </c>
      <c r="S880" s="503">
        <f t="shared" si="138"/>
        <v>272265</v>
      </c>
    </row>
    <row r="881" spans="1:19" s="400" customFormat="1" x14ac:dyDescent="0.3">
      <c r="A881" s="19">
        <v>5</v>
      </c>
      <c r="B881" s="501">
        <v>131211926</v>
      </c>
      <c r="C881" s="501">
        <v>240507</v>
      </c>
      <c r="D881" s="501">
        <v>27112708</v>
      </c>
      <c r="E881" s="520">
        <v>4</v>
      </c>
      <c r="F881" s="19" t="s">
        <v>1422</v>
      </c>
      <c r="G881" s="520" t="s">
        <v>1423</v>
      </c>
      <c r="H881" s="520">
        <f t="shared" si="134"/>
        <v>15</v>
      </c>
      <c r="I881" s="19">
        <v>10</v>
      </c>
      <c r="J881" s="19">
        <v>5</v>
      </c>
      <c r="K881" s="557">
        <v>25567</v>
      </c>
      <c r="L881" s="502">
        <v>0.19</v>
      </c>
      <c r="M881" s="557">
        <f t="shared" si="135"/>
        <v>127835</v>
      </c>
      <c r="N881" s="503">
        <v>41174</v>
      </c>
      <c r="O881" s="504">
        <v>0.19</v>
      </c>
      <c r="P881" s="503">
        <f t="shared" si="136"/>
        <v>205870</v>
      </c>
      <c r="Q881" s="503">
        <f t="shared" si="137"/>
        <v>33370.5</v>
      </c>
      <c r="R881" s="504">
        <v>0.19</v>
      </c>
      <c r="S881" s="503">
        <f t="shared" si="138"/>
        <v>166852.5</v>
      </c>
    </row>
    <row r="882" spans="1:19" s="400" customFormat="1" x14ac:dyDescent="0.3">
      <c r="A882" s="19">
        <v>5</v>
      </c>
      <c r="B882" s="501">
        <v>131211517</v>
      </c>
      <c r="C882" s="501" t="s">
        <v>1416</v>
      </c>
      <c r="D882" s="501">
        <v>31211604</v>
      </c>
      <c r="E882" s="520">
        <v>5</v>
      </c>
      <c r="F882" s="19" t="s">
        <v>1424</v>
      </c>
      <c r="G882" s="520" t="s">
        <v>1425</v>
      </c>
      <c r="H882" s="520">
        <f t="shared" si="134"/>
        <v>20</v>
      </c>
      <c r="I882" s="19">
        <v>10</v>
      </c>
      <c r="J882" s="19">
        <v>10</v>
      </c>
      <c r="K882" s="557">
        <v>14372</v>
      </c>
      <c r="L882" s="502">
        <v>0.19</v>
      </c>
      <c r="M882" s="557">
        <f t="shared" si="135"/>
        <v>143720</v>
      </c>
      <c r="N882" s="503">
        <v>5712</v>
      </c>
      <c r="O882" s="504">
        <v>0.19</v>
      </c>
      <c r="P882" s="503">
        <f t="shared" si="136"/>
        <v>57120</v>
      </c>
      <c r="Q882" s="503">
        <f t="shared" si="137"/>
        <v>10042</v>
      </c>
      <c r="R882" s="504">
        <v>0.19</v>
      </c>
      <c r="S882" s="503">
        <f t="shared" si="138"/>
        <v>100420</v>
      </c>
    </row>
    <row r="883" spans="1:19" s="400" customFormat="1" x14ac:dyDescent="0.3">
      <c r="A883" s="19">
        <v>5</v>
      </c>
      <c r="B883" s="501">
        <v>131211517</v>
      </c>
      <c r="C883" s="501" t="s">
        <v>1416</v>
      </c>
      <c r="D883" s="501">
        <v>31211604</v>
      </c>
      <c r="E883" s="520">
        <v>6</v>
      </c>
      <c r="F883" s="19" t="s">
        <v>1426</v>
      </c>
      <c r="G883" s="520" t="s">
        <v>1423</v>
      </c>
      <c r="H883" s="520">
        <f t="shared" si="134"/>
        <v>11</v>
      </c>
      <c r="I883" s="19">
        <v>10</v>
      </c>
      <c r="J883" s="19">
        <v>1</v>
      </c>
      <c r="K883" s="557">
        <v>154154</v>
      </c>
      <c r="L883" s="502">
        <v>0.19</v>
      </c>
      <c r="M883" s="557">
        <f t="shared" si="135"/>
        <v>154154</v>
      </c>
      <c r="N883" s="503">
        <v>136989</v>
      </c>
      <c r="O883" s="504">
        <v>0.19</v>
      </c>
      <c r="P883" s="503">
        <f t="shared" si="136"/>
        <v>136989</v>
      </c>
      <c r="Q883" s="503">
        <f t="shared" si="137"/>
        <v>145571.5</v>
      </c>
      <c r="R883" s="504">
        <v>0.19</v>
      </c>
      <c r="S883" s="503">
        <f t="shared" si="138"/>
        <v>145571.5</v>
      </c>
    </row>
    <row r="884" spans="1:19" s="400" customFormat="1" x14ac:dyDescent="0.3">
      <c r="A884" s="19">
        <v>5</v>
      </c>
      <c r="B884" s="501">
        <v>131211517</v>
      </c>
      <c r="C884" s="501" t="s">
        <v>1416</v>
      </c>
      <c r="D884" s="501">
        <v>31211604</v>
      </c>
      <c r="E884" s="520">
        <v>7</v>
      </c>
      <c r="F884" s="19" t="s">
        <v>1427</v>
      </c>
      <c r="G884" s="520" t="s">
        <v>1423</v>
      </c>
      <c r="H884" s="520">
        <f t="shared" si="134"/>
        <v>11</v>
      </c>
      <c r="I884" s="19">
        <v>10</v>
      </c>
      <c r="J884" s="19">
        <v>1</v>
      </c>
      <c r="K884" s="557">
        <v>154154</v>
      </c>
      <c r="L884" s="502">
        <v>0.19</v>
      </c>
      <c r="M884" s="557">
        <f t="shared" si="135"/>
        <v>154154</v>
      </c>
      <c r="N884" s="503">
        <v>136989</v>
      </c>
      <c r="O884" s="504">
        <v>0.19</v>
      </c>
      <c r="P884" s="503">
        <f t="shared" si="136"/>
        <v>136989</v>
      </c>
      <c r="Q884" s="503">
        <f t="shared" si="137"/>
        <v>145571.5</v>
      </c>
      <c r="R884" s="504">
        <v>0.19</v>
      </c>
      <c r="S884" s="503">
        <f t="shared" si="138"/>
        <v>145571.5</v>
      </c>
    </row>
    <row r="885" spans="1:19" s="400" customFormat="1" x14ac:dyDescent="0.3">
      <c r="A885" s="19">
        <v>5</v>
      </c>
      <c r="B885" s="501">
        <v>131211517</v>
      </c>
      <c r="C885" s="501" t="s">
        <v>1416</v>
      </c>
      <c r="D885" s="501">
        <v>31211604</v>
      </c>
      <c r="E885" s="520">
        <v>8</v>
      </c>
      <c r="F885" s="19" t="s">
        <v>1428</v>
      </c>
      <c r="G885" s="520" t="s">
        <v>1423</v>
      </c>
      <c r="H885" s="520">
        <f t="shared" si="134"/>
        <v>11</v>
      </c>
      <c r="I885" s="19">
        <v>10</v>
      </c>
      <c r="J885" s="19">
        <v>1</v>
      </c>
      <c r="K885" s="557">
        <v>154154</v>
      </c>
      <c r="L885" s="502">
        <v>0.19</v>
      </c>
      <c r="M885" s="557">
        <f t="shared" si="135"/>
        <v>154154</v>
      </c>
      <c r="N885" s="503">
        <v>136989</v>
      </c>
      <c r="O885" s="504">
        <v>0.19</v>
      </c>
      <c r="P885" s="503">
        <f t="shared" si="136"/>
        <v>136989</v>
      </c>
      <c r="Q885" s="503">
        <f t="shared" si="137"/>
        <v>145571.5</v>
      </c>
      <c r="R885" s="504">
        <v>0.19</v>
      </c>
      <c r="S885" s="503">
        <f t="shared" si="138"/>
        <v>145571.5</v>
      </c>
    </row>
    <row r="886" spans="1:19" s="400" customFormat="1" x14ac:dyDescent="0.3">
      <c r="A886" s="19">
        <v>5</v>
      </c>
      <c r="B886" s="501">
        <v>114122228</v>
      </c>
      <c r="C886" s="19" t="s">
        <v>1429</v>
      </c>
      <c r="D886" s="501">
        <v>14111507</v>
      </c>
      <c r="E886" s="520">
        <v>9</v>
      </c>
      <c r="F886" s="19" t="s">
        <v>1430</v>
      </c>
      <c r="G886" s="520" t="s">
        <v>1431</v>
      </c>
      <c r="H886" s="520">
        <f t="shared" si="134"/>
        <v>11</v>
      </c>
      <c r="I886" s="19">
        <v>10</v>
      </c>
      <c r="J886" s="19">
        <v>1</v>
      </c>
      <c r="K886" s="557">
        <v>855929</v>
      </c>
      <c r="L886" s="502">
        <v>0.19</v>
      </c>
      <c r="M886" s="557">
        <f t="shared" si="135"/>
        <v>855929</v>
      </c>
      <c r="N886" s="503">
        <v>760116</v>
      </c>
      <c r="O886" s="504">
        <v>0.19</v>
      </c>
      <c r="P886" s="503">
        <f t="shared" si="136"/>
        <v>760116</v>
      </c>
      <c r="Q886" s="503">
        <f t="shared" si="137"/>
        <v>808022.5</v>
      </c>
      <c r="R886" s="504">
        <v>0.19</v>
      </c>
      <c r="S886" s="503">
        <f t="shared" si="138"/>
        <v>808022.5</v>
      </c>
    </row>
    <row r="887" spans="1:19" s="400" customFormat="1" x14ac:dyDescent="0.3">
      <c r="A887" s="19">
        <v>5</v>
      </c>
      <c r="B887" s="501">
        <v>131211517</v>
      </c>
      <c r="C887" s="501" t="s">
        <v>1416</v>
      </c>
      <c r="D887" s="501">
        <v>31211604</v>
      </c>
      <c r="E887" s="520">
        <v>10</v>
      </c>
      <c r="F887" s="19" t="s">
        <v>1432</v>
      </c>
      <c r="G887" s="520" t="s">
        <v>206</v>
      </c>
      <c r="H887" s="520">
        <f t="shared" si="134"/>
        <v>13</v>
      </c>
      <c r="I887" s="19">
        <v>10</v>
      </c>
      <c r="J887" s="19">
        <v>3</v>
      </c>
      <c r="K887" s="557">
        <v>68947</v>
      </c>
      <c r="L887" s="502">
        <v>0.19</v>
      </c>
      <c r="M887" s="557">
        <f t="shared" si="135"/>
        <v>206841</v>
      </c>
      <c r="N887" s="503">
        <v>61230</v>
      </c>
      <c r="O887" s="504">
        <v>0.19</v>
      </c>
      <c r="P887" s="503">
        <f t="shared" si="136"/>
        <v>183690</v>
      </c>
      <c r="Q887" s="503">
        <f t="shared" si="137"/>
        <v>65088.5</v>
      </c>
      <c r="R887" s="504">
        <v>0.19</v>
      </c>
      <c r="S887" s="503">
        <f t="shared" si="138"/>
        <v>195265.5</v>
      </c>
    </row>
    <row r="888" spans="1:19" s="400" customFormat="1" x14ac:dyDescent="0.3">
      <c r="A888" s="19">
        <v>5</v>
      </c>
      <c r="B888" s="501">
        <v>131211517</v>
      </c>
      <c r="C888" s="501" t="s">
        <v>1416</v>
      </c>
      <c r="D888" s="501">
        <v>31211604</v>
      </c>
      <c r="E888" s="520">
        <v>11</v>
      </c>
      <c r="F888" s="19" t="s">
        <v>1433</v>
      </c>
      <c r="G888" s="520" t="s">
        <v>1434</v>
      </c>
      <c r="H888" s="520">
        <f t="shared" si="134"/>
        <v>15</v>
      </c>
      <c r="I888" s="19">
        <v>10</v>
      </c>
      <c r="J888" s="19">
        <v>5</v>
      </c>
      <c r="K888" s="557">
        <v>19280</v>
      </c>
      <c r="L888" s="502">
        <v>0.19</v>
      </c>
      <c r="M888" s="557">
        <f t="shared" si="135"/>
        <v>96400</v>
      </c>
      <c r="N888" s="503">
        <v>46410</v>
      </c>
      <c r="O888" s="504">
        <v>0.19</v>
      </c>
      <c r="P888" s="503">
        <f t="shared" si="136"/>
        <v>232050</v>
      </c>
      <c r="Q888" s="503">
        <f t="shared" si="137"/>
        <v>32845</v>
      </c>
      <c r="R888" s="504">
        <v>0.19</v>
      </c>
      <c r="S888" s="503">
        <f t="shared" si="138"/>
        <v>164225</v>
      </c>
    </row>
    <row r="889" spans="1:19" s="400" customFormat="1" x14ac:dyDescent="0.3">
      <c r="A889" s="19">
        <v>5</v>
      </c>
      <c r="B889" s="501">
        <v>131211926</v>
      </c>
      <c r="C889" s="501">
        <v>240507</v>
      </c>
      <c r="D889" s="501">
        <v>27112708</v>
      </c>
      <c r="E889" s="520">
        <v>12</v>
      </c>
      <c r="F889" s="19" t="s">
        <v>1435</v>
      </c>
      <c r="G889" s="520" t="s">
        <v>1436</v>
      </c>
      <c r="H889" s="520">
        <f t="shared" si="134"/>
        <v>40</v>
      </c>
      <c r="I889" s="19">
        <v>10</v>
      </c>
      <c r="J889" s="19">
        <v>30</v>
      </c>
      <c r="K889" s="557">
        <v>3227</v>
      </c>
      <c r="L889" s="502">
        <v>0.19</v>
      </c>
      <c r="M889" s="557">
        <f t="shared" si="135"/>
        <v>96810</v>
      </c>
      <c r="N889" s="503">
        <v>11900</v>
      </c>
      <c r="O889" s="504">
        <v>0.19</v>
      </c>
      <c r="P889" s="503">
        <f t="shared" si="136"/>
        <v>357000</v>
      </c>
      <c r="Q889" s="503">
        <f t="shared" si="137"/>
        <v>7563.5</v>
      </c>
      <c r="R889" s="504">
        <v>0.19</v>
      </c>
      <c r="S889" s="503">
        <f t="shared" si="138"/>
        <v>226905</v>
      </c>
    </row>
    <row r="890" spans="1:19" s="400" customFormat="1" x14ac:dyDescent="0.3">
      <c r="A890" s="19">
        <v>5</v>
      </c>
      <c r="B890" s="501">
        <v>131211926</v>
      </c>
      <c r="C890" s="501">
        <v>240507</v>
      </c>
      <c r="D890" s="501">
        <v>27112708</v>
      </c>
      <c r="E890" s="520">
        <v>13</v>
      </c>
      <c r="F890" s="19" t="s">
        <v>1437</v>
      </c>
      <c r="G890" s="520" t="s">
        <v>1104</v>
      </c>
      <c r="H890" s="520">
        <f t="shared" si="134"/>
        <v>12</v>
      </c>
      <c r="I890" s="19">
        <v>10</v>
      </c>
      <c r="J890" s="19">
        <v>2</v>
      </c>
      <c r="K890" s="557">
        <v>24308</v>
      </c>
      <c r="L890" s="502">
        <v>0.19</v>
      </c>
      <c r="M890" s="557">
        <f t="shared" si="135"/>
        <v>48616</v>
      </c>
      <c r="N890" s="503">
        <v>21590</v>
      </c>
      <c r="O890" s="504">
        <v>0.19</v>
      </c>
      <c r="P890" s="503">
        <f t="shared" si="136"/>
        <v>43180</v>
      </c>
      <c r="Q890" s="503">
        <f t="shared" si="137"/>
        <v>22949</v>
      </c>
      <c r="R890" s="504">
        <v>0.19</v>
      </c>
      <c r="S890" s="503">
        <f t="shared" si="138"/>
        <v>45898</v>
      </c>
    </row>
    <row r="891" spans="1:19" s="400" customFormat="1" x14ac:dyDescent="0.3">
      <c r="A891" s="19">
        <v>5</v>
      </c>
      <c r="B891" s="501">
        <v>131211517</v>
      </c>
      <c r="C891" s="501" t="s">
        <v>1416</v>
      </c>
      <c r="D891" s="501">
        <v>31211604</v>
      </c>
      <c r="E891" s="520">
        <v>14</v>
      </c>
      <c r="F891" s="19" t="s">
        <v>1438</v>
      </c>
      <c r="G891" s="520" t="s">
        <v>1439</v>
      </c>
      <c r="H891" s="520">
        <f t="shared" si="134"/>
        <v>11</v>
      </c>
      <c r="I891" s="19">
        <v>10</v>
      </c>
      <c r="J891" s="19">
        <v>1</v>
      </c>
      <c r="K891" s="557">
        <v>112525</v>
      </c>
      <c r="L891" s="502">
        <v>0.19</v>
      </c>
      <c r="M891" s="557">
        <f t="shared" si="135"/>
        <v>112525</v>
      </c>
      <c r="N891" s="503">
        <v>99930</v>
      </c>
      <c r="O891" s="504">
        <v>0.19</v>
      </c>
      <c r="P891" s="503">
        <f t="shared" si="136"/>
        <v>99930</v>
      </c>
      <c r="Q891" s="503">
        <f t="shared" si="137"/>
        <v>106227.5</v>
      </c>
      <c r="R891" s="504">
        <v>0.19</v>
      </c>
      <c r="S891" s="503">
        <f t="shared" si="138"/>
        <v>106227.5</v>
      </c>
    </row>
    <row r="892" spans="1:19" s="400" customFormat="1" x14ac:dyDescent="0.3">
      <c r="A892" s="19">
        <v>5</v>
      </c>
      <c r="B892" s="501">
        <v>114122228</v>
      </c>
      <c r="C892" s="19" t="s">
        <v>1429</v>
      </c>
      <c r="D892" s="19">
        <v>14111507</v>
      </c>
      <c r="E892" s="520">
        <v>15</v>
      </c>
      <c r="F892" s="19" t="s">
        <v>1440</v>
      </c>
      <c r="G892" s="520" t="s">
        <v>1423</v>
      </c>
      <c r="H892" s="520">
        <f t="shared" si="134"/>
        <v>11</v>
      </c>
      <c r="I892" s="19">
        <v>10</v>
      </c>
      <c r="J892" s="19">
        <v>1</v>
      </c>
      <c r="K892" s="557">
        <v>871000</v>
      </c>
      <c r="L892" s="502">
        <v>0.19</v>
      </c>
      <c r="M892" s="557">
        <f t="shared" si="135"/>
        <v>871000</v>
      </c>
      <c r="N892" s="503">
        <v>1368500</v>
      </c>
      <c r="O892" s="504">
        <v>0.19</v>
      </c>
      <c r="P892" s="503">
        <f t="shared" si="136"/>
        <v>1368500</v>
      </c>
      <c r="Q892" s="503">
        <f t="shared" si="137"/>
        <v>1119750</v>
      </c>
      <c r="R892" s="504">
        <v>0.19</v>
      </c>
      <c r="S892" s="503">
        <f t="shared" si="138"/>
        <v>1119750</v>
      </c>
    </row>
    <row r="893" spans="1:19" s="400" customFormat="1" x14ac:dyDescent="0.3">
      <c r="A893" s="19">
        <v>5</v>
      </c>
      <c r="B893" s="19" t="s">
        <v>1441</v>
      </c>
      <c r="C893" s="501">
        <v>239044</v>
      </c>
      <c r="D893" s="501">
        <v>44103105</v>
      </c>
      <c r="E893" s="520">
        <v>16</v>
      </c>
      <c r="F893" s="19" t="s">
        <v>1442</v>
      </c>
      <c r="G893" s="520" t="s">
        <v>1443</v>
      </c>
      <c r="H893" s="520">
        <f t="shared" si="134"/>
        <v>18</v>
      </c>
      <c r="I893" s="19">
        <v>10</v>
      </c>
      <c r="J893" s="19">
        <v>8</v>
      </c>
      <c r="K893" s="557">
        <v>6269</v>
      </c>
      <c r="L893" s="502">
        <v>0.19</v>
      </c>
      <c r="M893" s="557">
        <f t="shared" si="135"/>
        <v>50152</v>
      </c>
      <c r="N893" s="503">
        <v>29750</v>
      </c>
      <c r="O893" s="504">
        <v>0.19</v>
      </c>
      <c r="P893" s="503">
        <f t="shared" si="136"/>
        <v>238000</v>
      </c>
      <c r="Q893" s="503">
        <f t="shared" si="137"/>
        <v>18009.5</v>
      </c>
      <c r="R893" s="504">
        <v>0.19</v>
      </c>
      <c r="S893" s="503">
        <f t="shared" si="138"/>
        <v>144076</v>
      </c>
    </row>
    <row r="894" spans="1:19" s="400" customFormat="1" x14ac:dyDescent="0.3">
      <c r="A894" s="19">
        <v>5</v>
      </c>
      <c r="B894" s="19" t="s">
        <v>1441</v>
      </c>
      <c r="C894" s="501">
        <v>239044</v>
      </c>
      <c r="D894" s="501">
        <v>44103105</v>
      </c>
      <c r="E894" s="520">
        <v>17</v>
      </c>
      <c r="F894" s="19" t="s">
        <v>1444</v>
      </c>
      <c r="G894" s="520" t="s">
        <v>1445</v>
      </c>
      <c r="H894" s="520">
        <f t="shared" si="134"/>
        <v>18</v>
      </c>
      <c r="I894" s="19">
        <v>10</v>
      </c>
      <c r="J894" s="19">
        <v>8</v>
      </c>
      <c r="K894" s="557">
        <v>4772</v>
      </c>
      <c r="L894" s="502">
        <v>0.19</v>
      </c>
      <c r="M894" s="557">
        <f t="shared" si="135"/>
        <v>38176</v>
      </c>
      <c r="N894" s="503">
        <v>4240</v>
      </c>
      <c r="O894" s="504">
        <v>0.19</v>
      </c>
      <c r="P894" s="503">
        <f t="shared" si="136"/>
        <v>33920</v>
      </c>
      <c r="Q894" s="503">
        <f t="shared" si="137"/>
        <v>4506</v>
      </c>
      <c r="R894" s="504">
        <v>0.19</v>
      </c>
      <c r="S894" s="503">
        <f t="shared" si="138"/>
        <v>36048</v>
      </c>
    </row>
    <row r="895" spans="1:19" s="400" customFormat="1" x14ac:dyDescent="0.3">
      <c r="A895" s="19">
        <v>5</v>
      </c>
      <c r="B895" s="19" t="s">
        <v>1441</v>
      </c>
      <c r="C895" s="501">
        <v>239044</v>
      </c>
      <c r="D895" s="501">
        <v>44103105</v>
      </c>
      <c r="E895" s="520">
        <v>18</v>
      </c>
      <c r="F895" s="19" t="s">
        <v>1446</v>
      </c>
      <c r="G895" s="520" t="s">
        <v>206</v>
      </c>
      <c r="H895" s="520">
        <f t="shared" si="134"/>
        <v>11</v>
      </c>
      <c r="I895" s="19">
        <v>10</v>
      </c>
      <c r="J895" s="19">
        <v>1</v>
      </c>
      <c r="K895" s="557">
        <v>30888</v>
      </c>
      <c r="L895" s="502">
        <v>0.19</v>
      </c>
      <c r="M895" s="557">
        <f t="shared" si="135"/>
        <v>30888</v>
      </c>
      <c r="N895" s="503">
        <v>27430</v>
      </c>
      <c r="O895" s="504">
        <v>0.19</v>
      </c>
      <c r="P895" s="503">
        <f t="shared" si="136"/>
        <v>27430</v>
      </c>
      <c r="Q895" s="503">
        <f t="shared" si="137"/>
        <v>29159</v>
      </c>
      <c r="R895" s="504">
        <v>0.19</v>
      </c>
      <c r="S895" s="503">
        <f t="shared" si="138"/>
        <v>29159</v>
      </c>
    </row>
    <row r="896" spans="1:19" s="179" customFormat="1" x14ac:dyDescent="0.3">
      <c r="A896" s="19">
        <v>5</v>
      </c>
      <c r="B896" s="558">
        <v>152152036</v>
      </c>
      <c r="C896" s="558">
        <v>271695</v>
      </c>
      <c r="D896" s="598">
        <v>52152103</v>
      </c>
      <c r="E896" s="520">
        <v>19</v>
      </c>
      <c r="F896" s="1" t="s">
        <v>1447</v>
      </c>
      <c r="G896" s="338" t="s">
        <v>1448</v>
      </c>
      <c r="H896" s="520">
        <f t="shared" si="134"/>
        <v>13</v>
      </c>
      <c r="I896" s="19">
        <v>10</v>
      </c>
      <c r="J896" s="1">
        <v>3</v>
      </c>
      <c r="K896" s="517">
        <v>165600</v>
      </c>
      <c r="L896" s="131">
        <v>0.19</v>
      </c>
      <c r="M896" s="517">
        <f>J896*K896</f>
        <v>496800</v>
      </c>
      <c r="N896" s="517">
        <v>175000</v>
      </c>
      <c r="O896" s="131">
        <v>0.19</v>
      </c>
      <c r="P896" s="517">
        <f>N896*J896</f>
        <v>525000</v>
      </c>
      <c r="Q896" s="503">
        <f t="shared" si="137"/>
        <v>170300</v>
      </c>
      <c r="R896" s="131">
        <v>0.19</v>
      </c>
      <c r="S896" s="503">
        <f t="shared" si="138"/>
        <v>510900</v>
      </c>
    </row>
    <row r="897" spans="1:19" s="179" customFormat="1" x14ac:dyDescent="0.3">
      <c r="A897" s="19">
        <v>5</v>
      </c>
      <c r="B897" s="558">
        <v>152152036</v>
      </c>
      <c r="C897" s="558">
        <v>285691</v>
      </c>
      <c r="D897" s="598">
        <v>52152103</v>
      </c>
      <c r="E897" s="520">
        <v>20</v>
      </c>
      <c r="F897" s="1" t="s">
        <v>1449</v>
      </c>
      <c r="G897" s="617" t="s">
        <v>21</v>
      </c>
      <c r="H897" s="520">
        <f t="shared" si="134"/>
        <v>40</v>
      </c>
      <c r="I897" s="19">
        <v>10</v>
      </c>
      <c r="J897" s="1">
        <v>30</v>
      </c>
      <c r="K897" s="517">
        <v>10500</v>
      </c>
      <c r="L897" s="131">
        <v>0.19</v>
      </c>
      <c r="M897" s="517">
        <f t="shared" ref="M897:M925" si="139">J897*K897</f>
        <v>315000</v>
      </c>
      <c r="N897" s="519">
        <v>18000</v>
      </c>
      <c r="O897" s="131">
        <v>0.19</v>
      </c>
      <c r="P897" s="517">
        <f t="shared" ref="P897:P925" si="140">N897*J897</f>
        <v>540000</v>
      </c>
      <c r="Q897" s="503">
        <f t="shared" si="137"/>
        <v>14250</v>
      </c>
      <c r="R897" s="131">
        <v>0.19</v>
      </c>
      <c r="S897" s="503">
        <f t="shared" si="138"/>
        <v>427500</v>
      </c>
    </row>
    <row r="898" spans="1:19" s="179" customFormat="1" ht="28.8" x14ac:dyDescent="0.3">
      <c r="A898" s="19">
        <v>5</v>
      </c>
      <c r="B898" s="558">
        <v>152152043</v>
      </c>
      <c r="C898" s="558">
        <v>259873</v>
      </c>
      <c r="D898" s="598">
        <v>42231808</v>
      </c>
      <c r="E898" s="520">
        <v>21</v>
      </c>
      <c r="F898" s="518" t="s">
        <v>1450</v>
      </c>
      <c r="G898" s="338" t="s">
        <v>920</v>
      </c>
      <c r="H898" s="520">
        <f t="shared" si="134"/>
        <v>40</v>
      </c>
      <c r="I898" s="19">
        <v>10</v>
      </c>
      <c r="J898" s="1">
        <v>30</v>
      </c>
      <c r="K898" s="517">
        <v>16000</v>
      </c>
      <c r="L898" s="131">
        <v>0.19</v>
      </c>
      <c r="M898" s="517">
        <f t="shared" si="139"/>
        <v>480000</v>
      </c>
      <c r="N898" s="519">
        <v>23800</v>
      </c>
      <c r="O898" s="131">
        <v>0.19</v>
      </c>
      <c r="P898" s="517">
        <f t="shared" si="140"/>
        <v>714000</v>
      </c>
      <c r="Q898" s="503">
        <f t="shared" si="137"/>
        <v>19900</v>
      </c>
      <c r="R898" s="131">
        <v>0.19</v>
      </c>
      <c r="S898" s="503">
        <f t="shared" si="138"/>
        <v>597000</v>
      </c>
    </row>
    <row r="899" spans="1:19" s="179" customFormat="1" x14ac:dyDescent="0.3">
      <c r="A899" s="19">
        <v>5</v>
      </c>
      <c r="B899" s="558">
        <v>144112506</v>
      </c>
      <c r="C899" s="558">
        <v>263390</v>
      </c>
      <c r="D899" s="598">
        <v>60121813</v>
      </c>
      <c r="E899" s="520">
        <v>22</v>
      </c>
      <c r="F899" s="1" t="s">
        <v>1451</v>
      </c>
      <c r="G899" s="338" t="s">
        <v>920</v>
      </c>
      <c r="H899" s="520">
        <f t="shared" si="134"/>
        <v>15</v>
      </c>
      <c r="I899" s="19">
        <v>10</v>
      </c>
      <c r="J899" s="1">
        <v>5</v>
      </c>
      <c r="K899" s="517">
        <v>25000</v>
      </c>
      <c r="L899" s="131">
        <v>0.19</v>
      </c>
      <c r="M899" s="517">
        <f t="shared" si="139"/>
        <v>125000</v>
      </c>
      <c r="N899" s="519">
        <v>26000</v>
      </c>
      <c r="O899" s="131">
        <v>0.19</v>
      </c>
      <c r="P899" s="517">
        <f t="shared" si="140"/>
        <v>130000</v>
      </c>
      <c r="Q899" s="503">
        <f t="shared" si="137"/>
        <v>25500</v>
      </c>
      <c r="R899" s="131">
        <v>0.19</v>
      </c>
      <c r="S899" s="503">
        <f t="shared" si="138"/>
        <v>127500</v>
      </c>
    </row>
    <row r="900" spans="1:19" s="179" customFormat="1" x14ac:dyDescent="0.3">
      <c r="A900" s="19">
        <v>5</v>
      </c>
      <c r="B900" s="558">
        <v>144112506</v>
      </c>
      <c r="C900" s="558">
        <v>263393</v>
      </c>
      <c r="D900" s="598">
        <v>60121813</v>
      </c>
      <c r="E900" s="520">
        <v>23</v>
      </c>
      <c r="F900" s="1" t="s">
        <v>1452</v>
      </c>
      <c r="G900" s="338" t="s">
        <v>920</v>
      </c>
      <c r="H900" s="520">
        <f t="shared" si="134"/>
        <v>15</v>
      </c>
      <c r="I900" s="19">
        <v>10</v>
      </c>
      <c r="J900" s="1">
        <v>5</v>
      </c>
      <c r="K900" s="517">
        <v>25000</v>
      </c>
      <c r="L900" s="131">
        <v>0.19</v>
      </c>
      <c r="M900" s="517">
        <f t="shared" si="139"/>
        <v>125000</v>
      </c>
      <c r="N900" s="519">
        <v>26000</v>
      </c>
      <c r="O900" s="131">
        <v>0.19</v>
      </c>
      <c r="P900" s="517">
        <f t="shared" si="140"/>
        <v>130000</v>
      </c>
      <c r="Q900" s="503">
        <f t="shared" si="137"/>
        <v>25500</v>
      </c>
      <c r="R900" s="131">
        <v>0.19</v>
      </c>
      <c r="S900" s="503">
        <f t="shared" si="138"/>
        <v>127500</v>
      </c>
    </row>
    <row r="901" spans="1:19" s="179" customFormat="1" x14ac:dyDescent="0.3">
      <c r="A901" s="19">
        <v>5</v>
      </c>
      <c r="B901" s="558">
        <v>144112506</v>
      </c>
      <c r="C901" s="558">
        <v>263389</v>
      </c>
      <c r="D901" s="598">
        <v>60121813</v>
      </c>
      <c r="E901" s="520">
        <v>24</v>
      </c>
      <c r="F901" s="1" t="s">
        <v>1453</v>
      </c>
      <c r="G901" s="338" t="s">
        <v>920</v>
      </c>
      <c r="H901" s="520">
        <f t="shared" si="134"/>
        <v>15</v>
      </c>
      <c r="I901" s="19">
        <v>10</v>
      </c>
      <c r="J901" s="1">
        <v>5</v>
      </c>
      <c r="K901" s="517">
        <v>25000</v>
      </c>
      <c r="L901" s="131">
        <v>0.19</v>
      </c>
      <c r="M901" s="517">
        <f t="shared" si="139"/>
        <v>125000</v>
      </c>
      <c r="N901" s="519">
        <v>26000</v>
      </c>
      <c r="O901" s="131">
        <v>0.19</v>
      </c>
      <c r="P901" s="517">
        <f t="shared" si="140"/>
        <v>130000</v>
      </c>
      <c r="Q901" s="503">
        <f t="shared" si="137"/>
        <v>25500</v>
      </c>
      <c r="R901" s="131">
        <v>0.19</v>
      </c>
      <c r="S901" s="503">
        <f t="shared" si="138"/>
        <v>127500</v>
      </c>
    </row>
    <row r="902" spans="1:19" s="179" customFormat="1" x14ac:dyDescent="0.3">
      <c r="A902" s="19">
        <v>5</v>
      </c>
      <c r="B902" s="558">
        <v>144112506</v>
      </c>
      <c r="C902" s="558">
        <v>263392</v>
      </c>
      <c r="D902" s="598">
        <v>60121813</v>
      </c>
      <c r="E902" s="520">
        <v>25</v>
      </c>
      <c r="F902" s="1" t="s">
        <v>1454</v>
      </c>
      <c r="G902" s="338" t="s">
        <v>920</v>
      </c>
      <c r="H902" s="520">
        <f t="shared" si="134"/>
        <v>15</v>
      </c>
      <c r="I902" s="19">
        <v>10</v>
      </c>
      <c r="J902" s="1">
        <v>5</v>
      </c>
      <c r="K902" s="517">
        <v>25000</v>
      </c>
      <c r="L902" s="131">
        <v>0.19</v>
      </c>
      <c r="M902" s="517">
        <f t="shared" si="139"/>
        <v>125000</v>
      </c>
      <c r="N902" s="519">
        <v>26000</v>
      </c>
      <c r="O902" s="131">
        <v>0.19</v>
      </c>
      <c r="P902" s="517">
        <f t="shared" si="140"/>
        <v>130000</v>
      </c>
      <c r="Q902" s="503">
        <f t="shared" si="137"/>
        <v>25500</v>
      </c>
      <c r="R902" s="131">
        <v>0.19</v>
      </c>
      <c r="S902" s="503">
        <f t="shared" si="138"/>
        <v>127500</v>
      </c>
    </row>
    <row r="903" spans="1:19" s="179" customFormat="1" x14ac:dyDescent="0.3">
      <c r="A903" s="19">
        <v>5</v>
      </c>
      <c r="B903" s="558">
        <v>144111417</v>
      </c>
      <c r="C903" s="558">
        <v>285689</v>
      </c>
      <c r="D903" s="598">
        <v>14111500</v>
      </c>
      <c r="E903" s="520">
        <v>26</v>
      </c>
      <c r="F903" s="1" t="s">
        <v>1455</v>
      </c>
      <c r="G903" s="338" t="s">
        <v>1456</v>
      </c>
      <c r="H903" s="520">
        <f t="shared" si="134"/>
        <v>15</v>
      </c>
      <c r="I903" s="19">
        <v>10</v>
      </c>
      <c r="J903" s="1">
        <v>5</v>
      </c>
      <c r="K903" s="517">
        <v>18000</v>
      </c>
      <c r="L903" s="131">
        <v>0.19</v>
      </c>
      <c r="M903" s="517">
        <f t="shared" si="139"/>
        <v>90000</v>
      </c>
      <c r="N903" s="519">
        <v>17800</v>
      </c>
      <c r="O903" s="131">
        <v>0.19</v>
      </c>
      <c r="P903" s="517">
        <f t="shared" si="140"/>
        <v>89000</v>
      </c>
      <c r="Q903" s="503">
        <f t="shared" si="137"/>
        <v>17900</v>
      </c>
      <c r="R903" s="131">
        <v>0.19</v>
      </c>
      <c r="S903" s="503">
        <f t="shared" si="138"/>
        <v>89500</v>
      </c>
    </row>
    <row r="904" spans="1:19" s="179" customFormat="1" x14ac:dyDescent="0.3">
      <c r="A904" s="19">
        <v>5</v>
      </c>
      <c r="B904" s="558">
        <v>149251516</v>
      </c>
      <c r="C904" s="558">
        <v>275729</v>
      </c>
      <c r="D904" s="598">
        <v>60121015</v>
      </c>
      <c r="E904" s="520">
        <v>27</v>
      </c>
      <c r="F904" s="1" t="s">
        <v>1457</v>
      </c>
      <c r="G904" s="338" t="s">
        <v>920</v>
      </c>
      <c r="H904" s="520">
        <f t="shared" si="134"/>
        <v>15</v>
      </c>
      <c r="I904" s="19">
        <v>10</v>
      </c>
      <c r="J904" s="1">
        <v>5</v>
      </c>
      <c r="K904" s="517">
        <v>14900</v>
      </c>
      <c r="L904" s="131">
        <v>0.19</v>
      </c>
      <c r="M904" s="517">
        <f t="shared" si="139"/>
        <v>74500</v>
      </c>
      <c r="N904" s="519">
        <v>10900</v>
      </c>
      <c r="O904" s="131">
        <v>0.19</v>
      </c>
      <c r="P904" s="517">
        <f t="shared" si="140"/>
        <v>54500</v>
      </c>
      <c r="Q904" s="503">
        <f t="shared" si="137"/>
        <v>12900</v>
      </c>
      <c r="R904" s="131">
        <v>0.19</v>
      </c>
      <c r="S904" s="503">
        <f t="shared" si="138"/>
        <v>64500</v>
      </c>
    </row>
    <row r="905" spans="1:19" s="179" customFormat="1" x14ac:dyDescent="0.3">
      <c r="A905" s="19">
        <v>5</v>
      </c>
      <c r="B905" s="558">
        <v>149251516</v>
      </c>
      <c r="C905" s="558">
        <v>275729</v>
      </c>
      <c r="D905" s="598">
        <v>60121015</v>
      </c>
      <c r="E905" s="520">
        <v>28</v>
      </c>
      <c r="F905" s="1" t="s">
        <v>1458</v>
      </c>
      <c r="G905" s="338" t="s">
        <v>920</v>
      </c>
      <c r="H905" s="520">
        <f t="shared" si="134"/>
        <v>15</v>
      </c>
      <c r="I905" s="19">
        <v>10</v>
      </c>
      <c r="J905" s="1">
        <v>5</v>
      </c>
      <c r="K905" s="517">
        <v>14900</v>
      </c>
      <c r="L905" s="131">
        <v>0.19</v>
      </c>
      <c r="M905" s="517">
        <f t="shared" si="139"/>
        <v>74500</v>
      </c>
      <c r="N905" s="519">
        <v>10900</v>
      </c>
      <c r="O905" s="131">
        <v>0.19</v>
      </c>
      <c r="P905" s="517">
        <f t="shared" si="140"/>
        <v>54500</v>
      </c>
      <c r="Q905" s="503">
        <f t="shared" si="137"/>
        <v>12900</v>
      </c>
      <c r="R905" s="131">
        <v>0.19</v>
      </c>
      <c r="S905" s="503">
        <f t="shared" si="138"/>
        <v>64500</v>
      </c>
    </row>
    <row r="906" spans="1:19" s="179" customFormat="1" x14ac:dyDescent="0.3">
      <c r="A906" s="19">
        <v>5</v>
      </c>
      <c r="B906" s="558">
        <v>149251516</v>
      </c>
      <c r="C906" s="558">
        <v>275729</v>
      </c>
      <c r="D906" s="598">
        <v>60121015</v>
      </c>
      <c r="E906" s="520">
        <v>29</v>
      </c>
      <c r="F906" s="1" t="s">
        <v>1459</v>
      </c>
      <c r="G906" s="338" t="s">
        <v>920</v>
      </c>
      <c r="H906" s="520">
        <f t="shared" si="134"/>
        <v>15</v>
      </c>
      <c r="I906" s="19">
        <v>10</v>
      </c>
      <c r="J906" s="1">
        <v>5</v>
      </c>
      <c r="K906" s="517">
        <v>14900</v>
      </c>
      <c r="L906" s="131">
        <v>0.19</v>
      </c>
      <c r="M906" s="517">
        <f t="shared" si="139"/>
        <v>74500</v>
      </c>
      <c r="N906" s="519">
        <v>10900</v>
      </c>
      <c r="O906" s="131">
        <v>0.19</v>
      </c>
      <c r="P906" s="517">
        <f t="shared" si="140"/>
        <v>54500</v>
      </c>
      <c r="Q906" s="503">
        <f t="shared" si="137"/>
        <v>12900</v>
      </c>
      <c r="R906" s="131">
        <v>0.19</v>
      </c>
      <c r="S906" s="503">
        <f t="shared" si="138"/>
        <v>64500</v>
      </c>
    </row>
    <row r="907" spans="1:19" s="179" customFormat="1" x14ac:dyDescent="0.3">
      <c r="A907" s="19">
        <v>5</v>
      </c>
      <c r="B907" s="558">
        <v>149251516</v>
      </c>
      <c r="C907" s="558">
        <v>275729</v>
      </c>
      <c r="D907" s="598">
        <v>60121015</v>
      </c>
      <c r="E907" s="520">
        <v>30</v>
      </c>
      <c r="F907" s="1" t="s">
        <v>1460</v>
      </c>
      <c r="G907" s="338" t="s">
        <v>920</v>
      </c>
      <c r="H907" s="520">
        <f t="shared" si="134"/>
        <v>15</v>
      </c>
      <c r="I907" s="19">
        <v>10</v>
      </c>
      <c r="J907" s="1">
        <v>5</v>
      </c>
      <c r="K907" s="517">
        <v>14900</v>
      </c>
      <c r="L907" s="131">
        <v>0.19</v>
      </c>
      <c r="M907" s="517">
        <f t="shared" si="139"/>
        <v>74500</v>
      </c>
      <c r="N907" s="519">
        <v>10900</v>
      </c>
      <c r="O907" s="131">
        <v>0.19</v>
      </c>
      <c r="P907" s="517">
        <f t="shared" si="140"/>
        <v>54500</v>
      </c>
      <c r="Q907" s="503">
        <f t="shared" si="137"/>
        <v>12900</v>
      </c>
      <c r="R907" s="131">
        <v>0.19</v>
      </c>
      <c r="S907" s="503">
        <f t="shared" si="138"/>
        <v>64500</v>
      </c>
    </row>
    <row r="908" spans="1:19" s="179" customFormat="1" x14ac:dyDescent="0.3">
      <c r="A908" s="19">
        <v>5</v>
      </c>
      <c r="B908" s="558">
        <v>149251516</v>
      </c>
      <c r="C908" s="558">
        <v>275729</v>
      </c>
      <c r="D908" s="598">
        <v>60121015</v>
      </c>
      <c r="E908" s="520">
        <v>31</v>
      </c>
      <c r="F908" s="1" t="s">
        <v>1461</v>
      </c>
      <c r="G908" s="338" t="s">
        <v>920</v>
      </c>
      <c r="H908" s="520">
        <f t="shared" si="134"/>
        <v>15</v>
      </c>
      <c r="I908" s="19">
        <v>10</v>
      </c>
      <c r="J908" s="1">
        <v>5</v>
      </c>
      <c r="K908" s="517">
        <v>14900</v>
      </c>
      <c r="L908" s="131">
        <v>0.19</v>
      </c>
      <c r="M908" s="517">
        <f t="shared" si="139"/>
        <v>74500</v>
      </c>
      <c r="N908" s="519">
        <v>10900</v>
      </c>
      <c r="O908" s="131">
        <v>0.19</v>
      </c>
      <c r="P908" s="517">
        <f t="shared" si="140"/>
        <v>54500</v>
      </c>
      <c r="Q908" s="503">
        <f t="shared" si="137"/>
        <v>12900</v>
      </c>
      <c r="R908" s="131">
        <v>0.19</v>
      </c>
      <c r="S908" s="503">
        <f t="shared" si="138"/>
        <v>64500</v>
      </c>
    </row>
    <row r="909" spans="1:19" s="179" customFormat="1" x14ac:dyDescent="0.3">
      <c r="A909" s="19">
        <v>5</v>
      </c>
      <c r="B909" s="558">
        <v>149251516</v>
      </c>
      <c r="C909" s="558">
        <v>275729</v>
      </c>
      <c r="D909" s="598">
        <v>60121015</v>
      </c>
      <c r="E909" s="520">
        <v>32</v>
      </c>
      <c r="F909" s="1" t="s">
        <v>1462</v>
      </c>
      <c r="G909" s="338" t="s">
        <v>920</v>
      </c>
      <c r="H909" s="520">
        <f t="shared" si="134"/>
        <v>15</v>
      </c>
      <c r="I909" s="19">
        <v>10</v>
      </c>
      <c r="J909" s="1">
        <v>5</v>
      </c>
      <c r="K909" s="517">
        <v>14900</v>
      </c>
      <c r="L909" s="131">
        <v>0.19</v>
      </c>
      <c r="M909" s="517">
        <f t="shared" si="139"/>
        <v>74500</v>
      </c>
      <c r="N909" s="519">
        <v>10900</v>
      </c>
      <c r="O909" s="131">
        <v>0.19</v>
      </c>
      <c r="P909" s="517">
        <f t="shared" si="140"/>
        <v>54500</v>
      </c>
      <c r="Q909" s="503">
        <f t="shared" si="137"/>
        <v>12900</v>
      </c>
      <c r="R909" s="131">
        <v>0.19</v>
      </c>
      <c r="S909" s="503">
        <f t="shared" si="138"/>
        <v>64500</v>
      </c>
    </row>
    <row r="910" spans="1:19" s="179" customFormat="1" x14ac:dyDescent="0.3">
      <c r="A910" s="19">
        <v>5</v>
      </c>
      <c r="B910" s="558">
        <v>149251516</v>
      </c>
      <c r="C910" s="558">
        <v>275729</v>
      </c>
      <c r="D910" s="598">
        <v>60121015</v>
      </c>
      <c r="E910" s="520">
        <v>33</v>
      </c>
      <c r="F910" s="1" t="s">
        <v>1463</v>
      </c>
      <c r="G910" s="338" t="s">
        <v>920</v>
      </c>
      <c r="H910" s="520">
        <f t="shared" si="134"/>
        <v>15</v>
      </c>
      <c r="I910" s="19">
        <v>10</v>
      </c>
      <c r="J910" s="1">
        <v>5</v>
      </c>
      <c r="K910" s="517">
        <v>14900</v>
      </c>
      <c r="L910" s="131">
        <v>0.19</v>
      </c>
      <c r="M910" s="517">
        <f t="shared" si="139"/>
        <v>74500</v>
      </c>
      <c r="N910" s="519">
        <v>10900</v>
      </c>
      <c r="O910" s="131">
        <v>0.19</v>
      </c>
      <c r="P910" s="517">
        <f t="shared" si="140"/>
        <v>54500</v>
      </c>
      <c r="Q910" s="503">
        <f t="shared" si="137"/>
        <v>12900</v>
      </c>
      <c r="R910" s="131">
        <v>0.19</v>
      </c>
      <c r="S910" s="503">
        <f t="shared" si="138"/>
        <v>64500</v>
      </c>
    </row>
    <row r="911" spans="1:19" s="179" customFormat="1" x14ac:dyDescent="0.3">
      <c r="A911" s="19">
        <v>5</v>
      </c>
      <c r="B911" s="558">
        <v>149251516</v>
      </c>
      <c r="C911" s="558">
        <v>275729</v>
      </c>
      <c r="D911" s="598">
        <v>60121015</v>
      </c>
      <c r="E911" s="520">
        <v>34</v>
      </c>
      <c r="F911" s="1" t="s">
        <v>1464</v>
      </c>
      <c r="G911" s="338" t="s">
        <v>920</v>
      </c>
      <c r="H911" s="520">
        <f t="shared" si="134"/>
        <v>15</v>
      </c>
      <c r="I911" s="19">
        <v>10</v>
      </c>
      <c r="J911" s="1">
        <v>5</v>
      </c>
      <c r="K911" s="517">
        <v>14900</v>
      </c>
      <c r="L911" s="131">
        <v>0.19</v>
      </c>
      <c r="M911" s="517">
        <f t="shared" si="139"/>
        <v>74500</v>
      </c>
      <c r="N911" s="519">
        <v>10900</v>
      </c>
      <c r="O911" s="131">
        <v>0.19</v>
      </c>
      <c r="P911" s="517">
        <f t="shared" si="140"/>
        <v>54500</v>
      </c>
      <c r="Q911" s="503">
        <f t="shared" si="137"/>
        <v>12900</v>
      </c>
      <c r="R911" s="131">
        <v>0.19</v>
      </c>
      <c r="S911" s="503">
        <f t="shared" si="138"/>
        <v>64500</v>
      </c>
    </row>
    <row r="912" spans="1:19" s="179" customFormat="1" x14ac:dyDescent="0.3">
      <c r="A912" s="19">
        <v>5</v>
      </c>
      <c r="B912" s="558">
        <v>111172022</v>
      </c>
      <c r="C912" s="558">
        <v>272714</v>
      </c>
      <c r="D912" s="598">
        <v>53102516</v>
      </c>
      <c r="E912" s="520">
        <v>35</v>
      </c>
      <c r="F912" s="1" t="s">
        <v>1465</v>
      </c>
      <c r="G912" s="338" t="s">
        <v>920</v>
      </c>
      <c r="H912" s="520">
        <f t="shared" si="134"/>
        <v>15</v>
      </c>
      <c r="I912" s="19">
        <v>10</v>
      </c>
      <c r="J912" s="1">
        <v>5</v>
      </c>
      <c r="K912" s="517">
        <v>7000</v>
      </c>
      <c r="L912" s="131">
        <v>0.19</v>
      </c>
      <c r="M912" s="517">
        <f t="shared" si="139"/>
        <v>35000</v>
      </c>
      <c r="N912" s="519">
        <v>6350</v>
      </c>
      <c r="O912" s="131">
        <v>0.19</v>
      </c>
      <c r="P912" s="517">
        <f t="shared" si="140"/>
        <v>31750</v>
      </c>
      <c r="Q912" s="503">
        <f t="shared" si="137"/>
        <v>6675</v>
      </c>
      <c r="R912" s="131">
        <v>0.19</v>
      </c>
      <c r="S912" s="503">
        <f t="shared" si="138"/>
        <v>33375</v>
      </c>
    </row>
    <row r="913" spans="1:19" s="179" customFormat="1" x14ac:dyDescent="0.3">
      <c r="A913" s="19">
        <v>5</v>
      </c>
      <c r="B913" s="558">
        <v>111172022</v>
      </c>
      <c r="C913" s="558">
        <v>272714</v>
      </c>
      <c r="D913" s="598">
        <v>53102516</v>
      </c>
      <c r="E913" s="520">
        <v>36</v>
      </c>
      <c r="F913" s="1" t="s">
        <v>1466</v>
      </c>
      <c r="G913" s="338" t="s">
        <v>920</v>
      </c>
      <c r="H913" s="520">
        <f t="shared" si="134"/>
        <v>15</v>
      </c>
      <c r="I913" s="19">
        <v>10</v>
      </c>
      <c r="J913" s="1">
        <v>5</v>
      </c>
      <c r="K913" s="517">
        <v>7000</v>
      </c>
      <c r="L913" s="131">
        <v>0.19</v>
      </c>
      <c r="M913" s="517">
        <f t="shared" si="139"/>
        <v>35000</v>
      </c>
      <c r="N913" s="519">
        <v>6350</v>
      </c>
      <c r="O913" s="131">
        <v>0.19</v>
      </c>
      <c r="P913" s="517">
        <f t="shared" si="140"/>
        <v>31750</v>
      </c>
      <c r="Q913" s="503">
        <f t="shared" si="137"/>
        <v>6675</v>
      </c>
      <c r="R913" s="131">
        <v>0.19</v>
      </c>
      <c r="S913" s="503">
        <f t="shared" si="138"/>
        <v>33375</v>
      </c>
    </row>
    <row r="914" spans="1:19" s="179" customFormat="1" x14ac:dyDescent="0.3">
      <c r="A914" s="19">
        <v>5</v>
      </c>
      <c r="B914" s="558">
        <v>111172022</v>
      </c>
      <c r="C914" s="558">
        <v>272714</v>
      </c>
      <c r="D914" s="598">
        <v>53102516</v>
      </c>
      <c r="E914" s="520">
        <v>37</v>
      </c>
      <c r="F914" s="1" t="s">
        <v>1467</v>
      </c>
      <c r="G914" s="338" t="s">
        <v>920</v>
      </c>
      <c r="H914" s="520">
        <f t="shared" si="134"/>
        <v>15</v>
      </c>
      <c r="I914" s="19">
        <v>10</v>
      </c>
      <c r="J914" s="1">
        <v>5</v>
      </c>
      <c r="K914" s="517">
        <v>7000</v>
      </c>
      <c r="L914" s="131">
        <v>0.19</v>
      </c>
      <c r="M914" s="517">
        <f t="shared" si="139"/>
        <v>35000</v>
      </c>
      <c r="N914" s="519">
        <v>6350</v>
      </c>
      <c r="O914" s="131">
        <v>0.19</v>
      </c>
      <c r="P914" s="517">
        <f t="shared" si="140"/>
        <v>31750</v>
      </c>
      <c r="Q914" s="503">
        <f t="shared" si="137"/>
        <v>6675</v>
      </c>
      <c r="R914" s="131">
        <v>0.19</v>
      </c>
      <c r="S914" s="503">
        <f t="shared" si="138"/>
        <v>33375</v>
      </c>
    </row>
    <row r="915" spans="1:19" s="179" customFormat="1" ht="28.8" x14ac:dyDescent="0.3">
      <c r="A915" s="19">
        <v>5</v>
      </c>
      <c r="B915" s="558">
        <v>111171911</v>
      </c>
      <c r="C915" s="558">
        <v>248980</v>
      </c>
      <c r="D915" s="598">
        <v>53103000</v>
      </c>
      <c r="E915" s="520">
        <v>38</v>
      </c>
      <c r="F915" s="518" t="s">
        <v>1468</v>
      </c>
      <c r="G915" s="338" t="s">
        <v>920</v>
      </c>
      <c r="H915" s="520">
        <f t="shared" si="134"/>
        <v>30</v>
      </c>
      <c r="I915" s="19">
        <v>10</v>
      </c>
      <c r="J915" s="1">
        <v>20</v>
      </c>
      <c r="K915" s="517">
        <v>17000</v>
      </c>
      <c r="L915" s="131">
        <v>0.19</v>
      </c>
      <c r="M915" s="517">
        <f t="shared" si="139"/>
        <v>340000</v>
      </c>
      <c r="N915" s="519">
        <v>11500</v>
      </c>
      <c r="O915" s="131">
        <v>0.19</v>
      </c>
      <c r="P915" s="517">
        <f t="shared" si="140"/>
        <v>230000</v>
      </c>
      <c r="Q915" s="503">
        <f t="shared" si="137"/>
        <v>14250</v>
      </c>
      <c r="R915" s="131">
        <v>0.19</v>
      </c>
      <c r="S915" s="503">
        <f t="shared" si="138"/>
        <v>285000</v>
      </c>
    </row>
    <row r="916" spans="1:19" s="179" customFormat="1" ht="28.8" x14ac:dyDescent="0.3">
      <c r="A916" s="19">
        <v>5</v>
      </c>
      <c r="B916" s="558">
        <v>111171911</v>
      </c>
      <c r="C916" s="558">
        <v>248980</v>
      </c>
      <c r="D916" s="598">
        <v>53103000</v>
      </c>
      <c r="E916" s="520">
        <v>39</v>
      </c>
      <c r="F916" s="518" t="s">
        <v>1469</v>
      </c>
      <c r="G916" s="338" t="s">
        <v>920</v>
      </c>
      <c r="H916" s="520">
        <f t="shared" si="134"/>
        <v>30</v>
      </c>
      <c r="I916" s="19">
        <v>10</v>
      </c>
      <c r="J916" s="1">
        <v>20</v>
      </c>
      <c r="K916" s="517">
        <v>17000</v>
      </c>
      <c r="L916" s="131">
        <v>0.19</v>
      </c>
      <c r="M916" s="517">
        <f t="shared" si="139"/>
        <v>340000</v>
      </c>
      <c r="N916" s="519">
        <v>11500</v>
      </c>
      <c r="O916" s="131">
        <v>0.19</v>
      </c>
      <c r="P916" s="517">
        <f t="shared" si="140"/>
        <v>230000</v>
      </c>
      <c r="Q916" s="503">
        <f t="shared" si="137"/>
        <v>14250</v>
      </c>
      <c r="R916" s="131">
        <v>0.19</v>
      </c>
      <c r="S916" s="503">
        <f t="shared" si="138"/>
        <v>285000</v>
      </c>
    </row>
    <row r="917" spans="1:19" s="179" customFormat="1" ht="28.8" x14ac:dyDescent="0.3">
      <c r="A917" s="19">
        <v>5</v>
      </c>
      <c r="B917" s="558">
        <v>111171911</v>
      </c>
      <c r="C917" s="558">
        <v>248980</v>
      </c>
      <c r="D917" s="598">
        <v>53103000</v>
      </c>
      <c r="E917" s="520">
        <v>40</v>
      </c>
      <c r="F917" s="518" t="s">
        <v>1470</v>
      </c>
      <c r="G917" s="338" t="s">
        <v>920</v>
      </c>
      <c r="H917" s="520">
        <f t="shared" si="134"/>
        <v>30</v>
      </c>
      <c r="I917" s="19">
        <v>10</v>
      </c>
      <c r="J917" s="1">
        <v>20</v>
      </c>
      <c r="K917" s="517">
        <v>17000</v>
      </c>
      <c r="L917" s="131">
        <v>0.19</v>
      </c>
      <c r="M917" s="517">
        <f t="shared" si="139"/>
        <v>340000</v>
      </c>
      <c r="N917" s="519">
        <v>11500</v>
      </c>
      <c r="O917" s="131">
        <v>0.19</v>
      </c>
      <c r="P917" s="517">
        <f t="shared" si="140"/>
        <v>230000</v>
      </c>
      <c r="Q917" s="503">
        <f t="shared" si="137"/>
        <v>14250</v>
      </c>
      <c r="R917" s="131">
        <v>0.19</v>
      </c>
      <c r="S917" s="503">
        <f t="shared" si="138"/>
        <v>285000</v>
      </c>
    </row>
    <row r="918" spans="1:19" s="179" customFormat="1" ht="28.8" x14ac:dyDescent="0.3">
      <c r="A918" s="19">
        <v>5</v>
      </c>
      <c r="B918" s="558">
        <v>111171911</v>
      </c>
      <c r="C918" s="558">
        <v>248980</v>
      </c>
      <c r="D918" s="598">
        <v>53103000</v>
      </c>
      <c r="E918" s="520">
        <v>41</v>
      </c>
      <c r="F918" s="518" t="s">
        <v>1471</v>
      </c>
      <c r="G918" s="338" t="s">
        <v>920</v>
      </c>
      <c r="H918" s="520">
        <f t="shared" si="134"/>
        <v>30</v>
      </c>
      <c r="I918" s="19">
        <v>10</v>
      </c>
      <c r="J918" s="1">
        <v>20</v>
      </c>
      <c r="K918" s="517">
        <v>17000</v>
      </c>
      <c r="L918" s="131">
        <v>0.19</v>
      </c>
      <c r="M918" s="517">
        <f t="shared" si="139"/>
        <v>340000</v>
      </c>
      <c r="N918" s="519">
        <v>11500</v>
      </c>
      <c r="O918" s="131">
        <v>0.19</v>
      </c>
      <c r="P918" s="517">
        <f t="shared" si="140"/>
        <v>230000</v>
      </c>
      <c r="Q918" s="503">
        <f t="shared" si="137"/>
        <v>14250</v>
      </c>
      <c r="R918" s="131">
        <v>0.19</v>
      </c>
      <c r="S918" s="503">
        <f t="shared" si="138"/>
        <v>285000</v>
      </c>
    </row>
    <row r="919" spans="1:19" s="179" customFormat="1" ht="28.8" x14ac:dyDescent="0.3">
      <c r="A919" s="19">
        <v>5</v>
      </c>
      <c r="B919" s="558">
        <v>111171911</v>
      </c>
      <c r="C919" s="558">
        <v>248980</v>
      </c>
      <c r="D919" s="598">
        <v>53103000</v>
      </c>
      <c r="E919" s="520">
        <v>42</v>
      </c>
      <c r="F919" s="518" t="s">
        <v>1472</v>
      </c>
      <c r="G919" s="338" t="s">
        <v>920</v>
      </c>
      <c r="H919" s="520">
        <f t="shared" si="134"/>
        <v>30</v>
      </c>
      <c r="I919" s="19">
        <v>10</v>
      </c>
      <c r="J919" s="1">
        <v>20</v>
      </c>
      <c r="K919" s="517">
        <v>17000</v>
      </c>
      <c r="L919" s="131">
        <v>0.19</v>
      </c>
      <c r="M919" s="517">
        <f t="shared" si="139"/>
        <v>340000</v>
      </c>
      <c r="N919" s="519">
        <v>11500</v>
      </c>
      <c r="O919" s="131">
        <v>0.19</v>
      </c>
      <c r="P919" s="517">
        <f t="shared" si="140"/>
        <v>230000</v>
      </c>
      <c r="Q919" s="503">
        <f t="shared" si="137"/>
        <v>14250</v>
      </c>
      <c r="R919" s="131">
        <v>0.19</v>
      </c>
      <c r="S919" s="503">
        <f t="shared" si="138"/>
        <v>285000</v>
      </c>
    </row>
    <row r="920" spans="1:19" s="179" customFormat="1" ht="28.8" x14ac:dyDescent="0.3">
      <c r="A920" s="19">
        <v>5</v>
      </c>
      <c r="B920" s="558">
        <v>111171911</v>
      </c>
      <c r="C920" s="558">
        <v>248980</v>
      </c>
      <c r="D920" s="598">
        <v>53103000</v>
      </c>
      <c r="E920" s="520">
        <v>43</v>
      </c>
      <c r="F920" s="518" t="s">
        <v>1473</v>
      </c>
      <c r="G920" s="338" t="s">
        <v>920</v>
      </c>
      <c r="H920" s="520">
        <f t="shared" si="134"/>
        <v>30</v>
      </c>
      <c r="I920" s="19">
        <v>10</v>
      </c>
      <c r="J920" s="1">
        <v>20</v>
      </c>
      <c r="K920" s="517">
        <v>14500</v>
      </c>
      <c r="L920" s="131">
        <v>0.19</v>
      </c>
      <c r="M920" s="517">
        <f t="shared" si="139"/>
        <v>290000</v>
      </c>
      <c r="N920" s="519">
        <v>11500</v>
      </c>
      <c r="O920" s="131">
        <v>0.19</v>
      </c>
      <c r="P920" s="517">
        <f t="shared" si="140"/>
        <v>230000</v>
      </c>
      <c r="Q920" s="503">
        <f t="shared" si="137"/>
        <v>13000</v>
      </c>
      <c r="R920" s="131">
        <v>0.19</v>
      </c>
      <c r="S920" s="503">
        <f t="shared" si="138"/>
        <v>260000</v>
      </c>
    </row>
    <row r="921" spans="1:19" s="179" customFormat="1" ht="28.8" x14ac:dyDescent="0.3">
      <c r="A921" s="19">
        <v>5</v>
      </c>
      <c r="B921" s="558">
        <v>111171911</v>
      </c>
      <c r="C921" s="558">
        <v>248980</v>
      </c>
      <c r="D921" s="598">
        <v>53103000</v>
      </c>
      <c r="E921" s="520">
        <v>44</v>
      </c>
      <c r="F921" s="518" t="s">
        <v>1473</v>
      </c>
      <c r="G921" s="338" t="s">
        <v>920</v>
      </c>
      <c r="H921" s="520">
        <f t="shared" si="134"/>
        <v>30</v>
      </c>
      <c r="I921" s="19">
        <v>10</v>
      </c>
      <c r="J921" s="1">
        <v>20</v>
      </c>
      <c r="K921" s="517">
        <v>14500</v>
      </c>
      <c r="L921" s="131">
        <v>0.19</v>
      </c>
      <c r="M921" s="517">
        <f t="shared" si="139"/>
        <v>290000</v>
      </c>
      <c r="N921" s="519">
        <v>11500</v>
      </c>
      <c r="O921" s="131">
        <v>0.19</v>
      </c>
      <c r="P921" s="517">
        <f t="shared" si="140"/>
        <v>230000</v>
      </c>
      <c r="Q921" s="503">
        <f t="shared" si="137"/>
        <v>13000</v>
      </c>
      <c r="R921" s="131">
        <v>0.19</v>
      </c>
      <c r="S921" s="503">
        <f t="shared" si="138"/>
        <v>260000</v>
      </c>
    </row>
    <row r="922" spans="1:19" s="179" customFormat="1" ht="28.8" x14ac:dyDescent="0.3">
      <c r="A922" s="19">
        <v>5</v>
      </c>
      <c r="B922" s="558">
        <v>111171911</v>
      </c>
      <c r="C922" s="558">
        <v>248980</v>
      </c>
      <c r="D922" s="598">
        <v>53103000</v>
      </c>
      <c r="E922" s="520">
        <v>45</v>
      </c>
      <c r="F922" s="518" t="s">
        <v>1473</v>
      </c>
      <c r="G922" s="338" t="s">
        <v>920</v>
      </c>
      <c r="H922" s="520">
        <f t="shared" si="134"/>
        <v>40</v>
      </c>
      <c r="I922" s="19">
        <v>10</v>
      </c>
      <c r="J922" s="1">
        <v>30</v>
      </c>
      <c r="K922" s="517">
        <v>14500</v>
      </c>
      <c r="L922" s="131">
        <v>0.19</v>
      </c>
      <c r="M922" s="517">
        <f t="shared" si="139"/>
        <v>435000</v>
      </c>
      <c r="N922" s="519">
        <v>11500</v>
      </c>
      <c r="O922" s="131">
        <v>0.19</v>
      </c>
      <c r="P922" s="517">
        <f t="shared" si="140"/>
        <v>345000</v>
      </c>
      <c r="Q922" s="503">
        <f t="shared" si="137"/>
        <v>13000</v>
      </c>
      <c r="R922" s="131">
        <v>0.19</v>
      </c>
      <c r="S922" s="503">
        <f t="shared" si="138"/>
        <v>390000</v>
      </c>
    </row>
    <row r="923" spans="1:19" s="179" customFormat="1" ht="28.8" x14ac:dyDescent="0.3">
      <c r="A923" s="19">
        <v>5</v>
      </c>
      <c r="B923" s="558">
        <v>111171911</v>
      </c>
      <c r="C923" s="558">
        <v>248980</v>
      </c>
      <c r="D923" s="598">
        <v>53103000</v>
      </c>
      <c r="E923" s="520">
        <v>46</v>
      </c>
      <c r="F923" s="518" t="s">
        <v>1473</v>
      </c>
      <c r="G923" s="338" t="s">
        <v>920</v>
      </c>
      <c r="H923" s="520">
        <f t="shared" si="134"/>
        <v>30</v>
      </c>
      <c r="I923" s="19">
        <v>10</v>
      </c>
      <c r="J923" s="1">
        <v>20</v>
      </c>
      <c r="K923" s="517">
        <v>14500</v>
      </c>
      <c r="L923" s="131">
        <v>0.19</v>
      </c>
      <c r="M923" s="517">
        <f t="shared" si="139"/>
        <v>290000</v>
      </c>
      <c r="N923" s="519">
        <v>11500</v>
      </c>
      <c r="O923" s="131">
        <v>0.19</v>
      </c>
      <c r="P923" s="517">
        <f t="shared" si="140"/>
        <v>230000</v>
      </c>
      <c r="Q923" s="503">
        <f t="shared" si="137"/>
        <v>13000</v>
      </c>
      <c r="R923" s="131">
        <v>0.19</v>
      </c>
      <c r="S923" s="503">
        <f t="shared" si="138"/>
        <v>260000</v>
      </c>
    </row>
    <row r="924" spans="1:19" s="179" customFormat="1" ht="28.8" x14ac:dyDescent="0.3">
      <c r="A924" s="19">
        <v>5</v>
      </c>
      <c r="B924" s="558">
        <v>111171911</v>
      </c>
      <c r="C924" s="558">
        <v>248980</v>
      </c>
      <c r="D924" s="598">
        <v>53103000</v>
      </c>
      <c r="E924" s="520">
        <v>47</v>
      </c>
      <c r="F924" s="518" t="s">
        <v>1473</v>
      </c>
      <c r="G924" s="338" t="s">
        <v>920</v>
      </c>
      <c r="H924" s="520">
        <f t="shared" si="134"/>
        <v>30</v>
      </c>
      <c r="I924" s="19">
        <v>10</v>
      </c>
      <c r="J924" s="1">
        <v>20</v>
      </c>
      <c r="K924" s="517">
        <v>14500</v>
      </c>
      <c r="L924" s="131">
        <v>0.19</v>
      </c>
      <c r="M924" s="517">
        <f t="shared" si="139"/>
        <v>290000</v>
      </c>
      <c r="N924" s="519">
        <v>11500</v>
      </c>
      <c r="O924" s="131">
        <v>0.19</v>
      </c>
      <c r="P924" s="517">
        <f t="shared" si="140"/>
        <v>230000</v>
      </c>
      <c r="Q924" s="503">
        <f t="shared" si="137"/>
        <v>13000</v>
      </c>
      <c r="R924" s="131">
        <v>0.19</v>
      </c>
      <c r="S924" s="503">
        <f>Q924*J924</f>
        <v>260000</v>
      </c>
    </row>
    <row r="925" spans="1:19" s="179" customFormat="1" x14ac:dyDescent="0.3">
      <c r="A925" s="19">
        <v>5</v>
      </c>
      <c r="B925" s="558">
        <v>144113126</v>
      </c>
      <c r="C925" s="558">
        <v>248980</v>
      </c>
      <c r="D925" s="558">
        <v>285690</v>
      </c>
      <c r="E925" s="520">
        <v>48</v>
      </c>
      <c r="F925" s="518" t="s">
        <v>1474</v>
      </c>
      <c r="G925" s="338" t="s">
        <v>920</v>
      </c>
      <c r="H925" s="520">
        <f t="shared" si="134"/>
        <v>30</v>
      </c>
      <c r="I925" s="19">
        <v>10</v>
      </c>
      <c r="J925" s="1">
        <v>20</v>
      </c>
      <c r="K925" s="517">
        <v>5500</v>
      </c>
      <c r="L925" s="131">
        <v>0.19</v>
      </c>
      <c r="M925" s="517">
        <f t="shared" si="139"/>
        <v>110000</v>
      </c>
      <c r="N925" s="519">
        <v>7500</v>
      </c>
      <c r="O925" s="131">
        <v>0.19</v>
      </c>
      <c r="P925" s="517">
        <f t="shared" si="140"/>
        <v>150000</v>
      </c>
      <c r="Q925" s="503">
        <f t="shared" si="137"/>
        <v>6500</v>
      </c>
      <c r="R925" s="131">
        <v>0.19</v>
      </c>
      <c r="S925" s="503">
        <f>Q925*J925</f>
        <v>130000</v>
      </c>
    </row>
    <row r="926" spans="1:19" s="179" customFormat="1" x14ac:dyDescent="0.3">
      <c r="A926" s="668"/>
      <c r="B926" s="668"/>
      <c r="C926" s="668"/>
      <c r="D926" s="668"/>
      <c r="E926" s="668"/>
      <c r="F926" s="668"/>
      <c r="G926" s="668"/>
      <c r="H926" s="668"/>
      <c r="I926" s="668"/>
      <c r="J926" s="668"/>
      <c r="K926" s="668"/>
      <c r="L926" s="668"/>
      <c r="M926" s="519">
        <f>SUM(M878:M925)</f>
        <v>10329928</v>
      </c>
      <c r="N926" s="668"/>
      <c r="O926" s="668"/>
      <c r="P926" s="204">
        <f>SUM(P878:P925)</f>
        <v>10434816</v>
      </c>
      <c r="Q926" s="668"/>
      <c r="R926" s="668"/>
      <c r="S926" s="519">
        <f>SUM(S878:S925)</f>
        <v>10382372</v>
      </c>
    </row>
    <row r="927" spans="1:19" s="449" customFormat="1" x14ac:dyDescent="0.3">
      <c r="E927" s="500"/>
      <c r="P927" s="450"/>
    </row>
    <row r="928" spans="1:19" s="449" customFormat="1" x14ac:dyDescent="0.3">
      <c r="E928" s="500"/>
      <c r="P928" s="450"/>
    </row>
    <row r="929" spans="1:19" s="449" customFormat="1" x14ac:dyDescent="0.3">
      <c r="E929" s="500"/>
      <c r="P929" s="450"/>
    </row>
    <row r="930" spans="1:19" s="449" customFormat="1" ht="14.55" customHeight="1" x14ac:dyDescent="0.3">
      <c r="A930" s="541" t="s">
        <v>1475</v>
      </c>
      <c r="B930" s="541"/>
      <c r="C930" s="541"/>
      <c r="D930" s="541"/>
      <c r="E930" s="541"/>
      <c r="F930" s="541"/>
      <c r="G930" s="541"/>
      <c r="H930" s="541"/>
      <c r="I930" s="541"/>
      <c r="J930" s="541"/>
      <c r="K930" s="541"/>
      <c r="L930" s="541"/>
      <c r="M930" s="541"/>
      <c r="N930" s="541"/>
      <c r="O930" s="541"/>
      <c r="P930" s="541"/>
      <c r="Q930" s="541"/>
      <c r="R930" s="541"/>
      <c r="S930" s="541"/>
    </row>
    <row r="931" spans="1:19" s="449" customFormat="1" ht="14.55" customHeight="1" x14ac:dyDescent="0.3">
      <c r="A931" s="541"/>
      <c r="B931" s="541"/>
      <c r="C931" s="541"/>
      <c r="D931" s="541"/>
      <c r="E931" s="699" t="s">
        <v>1475</v>
      </c>
      <c r="F931" s="700"/>
      <c r="G931" s="700"/>
      <c r="H931" s="701"/>
      <c r="I931" s="541"/>
      <c r="J931" s="541"/>
      <c r="K931" s="541"/>
      <c r="L931" s="541"/>
      <c r="M931" s="541"/>
      <c r="N931" s="541"/>
      <c r="O931" s="541"/>
      <c r="P931" s="541"/>
      <c r="Q931" s="541"/>
      <c r="R931" s="541"/>
      <c r="S931" s="541"/>
    </row>
    <row r="932" spans="1:19" s="449" customFormat="1" ht="15.6" x14ac:dyDescent="0.3">
      <c r="A932" s="709" t="s">
        <v>83</v>
      </c>
      <c r="B932" s="709" t="s">
        <v>84</v>
      </c>
      <c r="C932" s="709" t="s">
        <v>85</v>
      </c>
      <c r="D932" s="711" t="s">
        <v>86</v>
      </c>
      <c r="E932" s="709" t="s">
        <v>6</v>
      </c>
      <c r="F932" s="709" t="s">
        <v>87</v>
      </c>
      <c r="G932" s="709" t="s">
        <v>88</v>
      </c>
      <c r="H932" s="702" t="s">
        <v>89</v>
      </c>
      <c r="I932" s="124"/>
      <c r="J932" s="705" t="s">
        <v>89</v>
      </c>
      <c r="K932" s="710" t="s">
        <v>818</v>
      </c>
      <c r="L932" s="710"/>
      <c r="M932" s="710"/>
      <c r="N932" s="704" t="s">
        <v>819</v>
      </c>
      <c r="O932" s="704"/>
      <c r="P932" s="704"/>
      <c r="Q932" s="705" t="s">
        <v>15</v>
      </c>
      <c r="R932" s="705"/>
      <c r="S932" s="705"/>
    </row>
    <row r="933" spans="1:19" s="449" customFormat="1" ht="46.8" x14ac:dyDescent="0.3">
      <c r="A933" s="709"/>
      <c r="B933" s="709"/>
      <c r="C933" s="709"/>
      <c r="D933" s="711"/>
      <c r="E933" s="709"/>
      <c r="F933" s="709"/>
      <c r="G933" s="709"/>
      <c r="H933" s="703"/>
      <c r="I933" s="124"/>
      <c r="J933" s="705"/>
      <c r="K933" s="25" t="s">
        <v>382</v>
      </c>
      <c r="L933" s="25" t="s">
        <v>17</v>
      </c>
      <c r="M933" s="25" t="s">
        <v>18</v>
      </c>
      <c r="N933" s="25" t="s">
        <v>367</v>
      </c>
      <c r="O933" s="25" t="s">
        <v>17</v>
      </c>
      <c r="P933" s="248" t="s">
        <v>18</v>
      </c>
      <c r="Q933" s="25" t="s">
        <v>367</v>
      </c>
      <c r="R933" s="25" t="s">
        <v>17</v>
      </c>
      <c r="S933" s="25" t="s">
        <v>18</v>
      </c>
    </row>
    <row r="934" spans="1:19" s="449" customFormat="1" x14ac:dyDescent="0.3">
      <c r="A934" s="162">
        <v>5</v>
      </c>
      <c r="B934" s="162">
        <v>235653</v>
      </c>
      <c r="C934" s="162">
        <v>124111516</v>
      </c>
      <c r="D934" s="162">
        <v>31201517</v>
      </c>
      <c r="E934" s="162">
        <v>1</v>
      </c>
      <c r="F934" s="219" t="s">
        <v>1476</v>
      </c>
      <c r="G934" s="162" t="s">
        <v>920</v>
      </c>
      <c r="H934" s="162">
        <f>I934+J934</f>
        <v>500</v>
      </c>
      <c r="I934" s="162">
        <v>100</v>
      </c>
      <c r="J934" s="162">
        <v>400</v>
      </c>
      <c r="K934" s="404">
        <v>1600</v>
      </c>
      <c r="L934" s="387">
        <v>0.19</v>
      </c>
      <c r="M934" s="496">
        <f>K934*J934</f>
        <v>640000</v>
      </c>
      <c r="N934" s="404">
        <v>1650</v>
      </c>
      <c r="O934" s="387">
        <v>0.19</v>
      </c>
      <c r="P934" s="450">
        <f>N934*J934</f>
        <v>660000</v>
      </c>
      <c r="Q934" s="496">
        <f>SUM(K934+N934)/2</f>
        <v>1625</v>
      </c>
      <c r="R934" s="387">
        <v>0.19</v>
      </c>
      <c r="S934" s="496">
        <f>Q934*J934</f>
        <v>650000</v>
      </c>
    </row>
    <row r="935" spans="1:19" s="449" customFormat="1" ht="55.2" x14ac:dyDescent="0.3">
      <c r="A935" s="162">
        <v>5</v>
      </c>
      <c r="B935" s="327" t="s">
        <v>1477</v>
      </c>
      <c r="C935" s="327" t="s">
        <v>1478</v>
      </c>
      <c r="D935" s="327">
        <v>50201706</v>
      </c>
      <c r="E935" s="285">
        <v>2</v>
      </c>
      <c r="F935" s="219" t="s">
        <v>1479</v>
      </c>
      <c r="G935" s="162" t="s">
        <v>209</v>
      </c>
      <c r="H935" s="162">
        <f t="shared" ref="H935:H998" si="141">I935+J935</f>
        <v>100</v>
      </c>
      <c r="I935" s="162">
        <v>20</v>
      </c>
      <c r="J935" s="162">
        <v>80</v>
      </c>
      <c r="K935" s="404">
        <v>33000</v>
      </c>
      <c r="L935" s="387">
        <v>0.19</v>
      </c>
      <c r="M935" s="496">
        <f t="shared" ref="M935:M944" si="142">K935*J935</f>
        <v>2640000</v>
      </c>
      <c r="N935" s="404">
        <v>35000</v>
      </c>
      <c r="O935" s="387">
        <v>0.19</v>
      </c>
      <c r="P935" s="450">
        <f t="shared" ref="P935:P944" si="143">N935*J935</f>
        <v>2800000</v>
      </c>
      <c r="Q935" s="496">
        <f t="shared" ref="Q935:Q944" si="144">SUM(K935+N935)/2</f>
        <v>34000</v>
      </c>
      <c r="R935" s="387">
        <v>0.19</v>
      </c>
      <c r="S935" s="496">
        <f t="shared" ref="S935:S944" si="145">Q935*J935</f>
        <v>2720000</v>
      </c>
    </row>
    <row r="936" spans="1:19" s="449" customFormat="1" ht="27.6" x14ac:dyDescent="0.3">
      <c r="A936" s="162">
        <v>5</v>
      </c>
      <c r="B936" s="327" t="s">
        <v>452</v>
      </c>
      <c r="C936" s="285">
        <v>124111516</v>
      </c>
      <c r="D936" s="327" t="s">
        <v>1480</v>
      </c>
      <c r="E936" s="285">
        <v>3</v>
      </c>
      <c r="F936" s="408" t="s">
        <v>1481</v>
      </c>
      <c r="G936" s="162" t="s">
        <v>920</v>
      </c>
      <c r="H936" s="162">
        <f t="shared" si="141"/>
        <v>300</v>
      </c>
      <c r="I936" s="162">
        <v>100</v>
      </c>
      <c r="J936" s="162">
        <v>200</v>
      </c>
      <c r="K936" s="404">
        <v>3500</v>
      </c>
      <c r="L936" s="387">
        <v>0.19</v>
      </c>
      <c r="M936" s="496">
        <f t="shared" si="142"/>
        <v>700000</v>
      </c>
      <c r="N936" s="404">
        <v>4200</v>
      </c>
      <c r="O936" s="387">
        <v>0.19</v>
      </c>
      <c r="P936" s="450">
        <f t="shared" si="143"/>
        <v>840000</v>
      </c>
      <c r="Q936" s="496">
        <f t="shared" si="144"/>
        <v>3850</v>
      </c>
      <c r="R936" s="387">
        <v>0.19</v>
      </c>
      <c r="S936" s="496">
        <f t="shared" si="145"/>
        <v>770000</v>
      </c>
    </row>
    <row r="937" spans="1:19" s="449" customFormat="1" ht="27.6" x14ac:dyDescent="0.3">
      <c r="A937" s="162">
        <v>5</v>
      </c>
      <c r="B937" s="162" t="s">
        <v>452</v>
      </c>
      <c r="C937" s="162">
        <v>124111516</v>
      </c>
      <c r="D937" s="162">
        <v>31181701</v>
      </c>
      <c r="E937" s="162">
        <v>4</v>
      </c>
      <c r="F937" s="223" t="s">
        <v>1482</v>
      </c>
      <c r="G937" s="497" t="s">
        <v>920</v>
      </c>
      <c r="H937" s="162">
        <f t="shared" si="141"/>
        <v>300</v>
      </c>
      <c r="I937" s="497">
        <v>100</v>
      </c>
      <c r="J937" s="498">
        <v>200</v>
      </c>
      <c r="K937" s="404">
        <v>3500</v>
      </c>
      <c r="L937" s="387">
        <v>0.19</v>
      </c>
      <c r="M937" s="496">
        <f t="shared" si="142"/>
        <v>700000</v>
      </c>
      <c r="N937" s="404">
        <v>4200</v>
      </c>
      <c r="O937" s="387">
        <v>0.19</v>
      </c>
      <c r="P937" s="450">
        <f t="shared" si="143"/>
        <v>840000</v>
      </c>
      <c r="Q937" s="496">
        <f t="shared" si="144"/>
        <v>3850</v>
      </c>
      <c r="R937" s="387">
        <v>0.19</v>
      </c>
      <c r="S937" s="496">
        <f t="shared" si="145"/>
        <v>770000</v>
      </c>
    </row>
    <row r="938" spans="1:19" s="449" customFormat="1" x14ac:dyDescent="0.3">
      <c r="A938" s="162">
        <v>5</v>
      </c>
      <c r="B938" s="162">
        <v>242785</v>
      </c>
      <c r="C938" s="162">
        <v>150131713</v>
      </c>
      <c r="D938" s="162">
        <v>50131701</v>
      </c>
      <c r="E938" s="162">
        <v>5</v>
      </c>
      <c r="F938" s="219" t="s">
        <v>1483</v>
      </c>
      <c r="G938" s="162" t="s">
        <v>1484</v>
      </c>
      <c r="H938" s="162">
        <f t="shared" si="141"/>
        <v>100</v>
      </c>
      <c r="I938" s="162">
        <v>20</v>
      </c>
      <c r="J938" s="162">
        <v>80</v>
      </c>
      <c r="K938" s="404">
        <v>3250</v>
      </c>
      <c r="L938" s="387">
        <v>0.19</v>
      </c>
      <c r="M938" s="496">
        <f t="shared" si="142"/>
        <v>260000</v>
      </c>
      <c r="N938" s="404">
        <v>3165</v>
      </c>
      <c r="O938" s="387">
        <v>0.19</v>
      </c>
      <c r="P938" s="450">
        <f t="shared" si="143"/>
        <v>253200</v>
      </c>
      <c r="Q938" s="496">
        <f t="shared" si="144"/>
        <v>3207.5</v>
      </c>
      <c r="R938" s="387">
        <v>0.19</v>
      </c>
      <c r="S938" s="496">
        <f t="shared" si="145"/>
        <v>256600</v>
      </c>
    </row>
    <row r="939" spans="1:19" x14ac:dyDescent="0.3">
      <c r="A939" s="137">
        <v>5</v>
      </c>
      <c r="B939" s="145" t="s">
        <v>1485</v>
      </c>
      <c r="C939" s="137">
        <v>150192904</v>
      </c>
      <c r="D939" s="137">
        <v>50161509</v>
      </c>
      <c r="E939" s="285">
        <v>6</v>
      </c>
      <c r="F939" s="141" t="s">
        <v>1486</v>
      </c>
      <c r="G939" s="137" t="s">
        <v>1487</v>
      </c>
      <c r="H939" s="162">
        <f t="shared" si="141"/>
        <v>20</v>
      </c>
      <c r="I939" s="137"/>
      <c r="J939" s="137">
        <v>20</v>
      </c>
      <c r="K939" s="150">
        <v>7140</v>
      </c>
      <c r="L939" s="151">
        <v>0.19</v>
      </c>
      <c r="M939" s="206">
        <f t="shared" si="142"/>
        <v>142800</v>
      </c>
      <c r="N939" s="150">
        <v>7200</v>
      </c>
      <c r="O939" s="151">
        <v>0.19</v>
      </c>
      <c r="P939" s="239">
        <f t="shared" si="143"/>
        <v>144000</v>
      </c>
      <c r="Q939" s="229">
        <f t="shared" si="144"/>
        <v>7170</v>
      </c>
      <c r="R939" s="151">
        <v>0.19</v>
      </c>
      <c r="S939" s="229">
        <f t="shared" si="145"/>
        <v>143400</v>
      </c>
    </row>
    <row r="940" spans="1:19" ht="27.6" x14ac:dyDescent="0.3">
      <c r="A940" s="137">
        <v>5</v>
      </c>
      <c r="B940" s="137" t="s">
        <v>510</v>
      </c>
      <c r="C940" s="137" t="s">
        <v>511</v>
      </c>
      <c r="D940" s="137">
        <v>31181701</v>
      </c>
      <c r="E940" s="285">
        <v>7</v>
      </c>
      <c r="F940" s="141" t="s">
        <v>1488</v>
      </c>
      <c r="G940" s="137" t="s">
        <v>920</v>
      </c>
      <c r="H940" s="162">
        <f t="shared" si="141"/>
        <v>200</v>
      </c>
      <c r="I940" s="137">
        <v>100</v>
      </c>
      <c r="J940" s="137">
        <v>100</v>
      </c>
      <c r="K940" s="150">
        <v>1500</v>
      </c>
      <c r="L940" s="151">
        <v>0.19</v>
      </c>
      <c r="M940" s="206">
        <f t="shared" si="142"/>
        <v>150000</v>
      </c>
      <c r="N940" s="150">
        <v>1850</v>
      </c>
      <c r="O940" s="151">
        <v>0.19</v>
      </c>
      <c r="P940" s="239">
        <f t="shared" si="143"/>
        <v>185000</v>
      </c>
      <c r="Q940" s="229">
        <f t="shared" si="144"/>
        <v>1675</v>
      </c>
      <c r="R940" s="151">
        <v>0.19</v>
      </c>
      <c r="S940" s="229">
        <f t="shared" si="145"/>
        <v>167500</v>
      </c>
    </row>
    <row r="941" spans="1:19" ht="27.6" x14ac:dyDescent="0.3">
      <c r="A941" s="137">
        <v>5</v>
      </c>
      <c r="B941" s="137" t="s">
        <v>1489</v>
      </c>
      <c r="C941" s="137" t="s">
        <v>1490</v>
      </c>
      <c r="D941" s="137">
        <v>24112602</v>
      </c>
      <c r="E941" s="162">
        <v>8</v>
      </c>
      <c r="F941" s="142" t="s">
        <v>1491</v>
      </c>
      <c r="G941" s="143" t="s">
        <v>1492</v>
      </c>
      <c r="H941" s="162">
        <f>I943+J941</f>
        <v>12</v>
      </c>
      <c r="I941" s="143">
        <v>10</v>
      </c>
      <c r="J941" s="137">
        <v>2</v>
      </c>
      <c r="K941" s="150">
        <v>180000</v>
      </c>
      <c r="L941" s="151">
        <v>0.19</v>
      </c>
      <c r="M941" s="206">
        <f t="shared" si="142"/>
        <v>360000</v>
      </c>
      <c r="N941" s="150">
        <v>195000</v>
      </c>
      <c r="O941" s="151">
        <v>0.19</v>
      </c>
      <c r="P941" s="239">
        <f t="shared" si="143"/>
        <v>390000</v>
      </c>
      <c r="Q941" s="229">
        <f t="shared" si="144"/>
        <v>187500</v>
      </c>
      <c r="R941" s="151">
        <v>0.19</v>
      </c>
      <c r="S941" s="229">
        <f t="shared" si="145"/>
        <v>375000</v>
      </c>
    </row>
    <row r="942" spans="1:19" x14ac:dyDescent="0.3">
      <c r="A942" s="137">
        <v>5</v>
      </c>
      <c r="B942" s="137" t="s">
        <v>1493</v>
      </c>
      <c r="C942" s="137" t="s">
        <v>426</v>
      </c>
      <c r="D942" s="137" t="s">
        <v>1494</v>
      </c>
      <c r="E942" s="162">
        <v>9</v>
      </c>
      <c r="F942" s="141" t="s">
        <v>1495</v>
      </c>
      <c r="G942" s="137" t="s">
        <v>1487</v>
      </c>
      <c r="H942" s="162">
        <f t="shared" si="141"/>
        <v>11</v>
      </c>
      <c r="I942" s="143">
        <v>10</v>
      </c>
      <c r="J942" s="137">
        <v>1</v>
      </c>
      <c r="K942" s="150">
        <v>7140</v>
      </c>
      <c r="L942" s="151">
        <v>0.19</v>
      </c>
      <c r="M942" s="206">
        <f t="shared" si="142"/>
        <v>7140</v>
      </c>
      <c r="N942" s="150">
        <v>7180</v>
      </c>
      <c r="O942" s="151">
        <v>0.19</v>
      </c>
      <c r="P942" s="239">
        <f t="shared" si="143"/>
        <v>7180</v>
      </c>
      <c r="Q942" s="229">
        <f t="shared" si="144"/>
        <v>7160</v>
      </c>
      <c r="R942" s="151">
        <v>0.19</v>
      </c>
      <c r="S942" s="229">
        <f t="shared" si="145"/>
        <v>7160</v>
      </c>
    </row>
    <row r="943" spans="1:19" x14ac:dyDescent="0.3">
      <c r="A943" s="137">
        <v>5</v>
      </c>
      <c r="B943" s="139" t="s">
        <v>1477</v>
      </c>
      <c r="C943" s="139" t="s">
        <v>1478</v>
      </c>
      <c r="D943" s="139">
        <v>50201706</v>
      </c>
      <c r="E943" s="285">
        <v>10</v>
      </c>
      <c r="F943" s="141" t="s">
        <v>1496</v>
      </c>
      <c r="G943" s="137" t="s">
        <v>1487</v>
      </c>
      <c r="H943" s="162" t="e">
        <f>#REF!+J943</f>
        <v>#REF!</v>
      </c>
      <c r="I943" s="143">
        <v>10</v>
      </c>
      <c r="J943" s="137">
        <v>4</v>
      </c>
      <c r="K943" s="150">
        <v>25000</v>
      </c>
      <c r="L943" s="151">
        <v>0.19</v>
      </c>
      <c r="M943" s="206">
        <f t="shared" si="142"/>
        <v>100000</v>
      </c>
      <c r="N943" s="150">
        <v>27500</v>
      </c>
      <c r="O943" s="151">
        <v>0.19</v>
      </c>
      <c r="P943" s="239">
        <f t="shared" si="143"/>
        <v>110000</v>
      </c>
      <c r="Q943" s="229">
        <f t="shared" si="144"/>
        <v>26250</v>
      </c>
      <c r="R943" s="151">
        <v>0.19</v>
      </c>
      <c r="S943" s="229">
        <f t="shared" si="145"/>
        <v>105000</v>
      </c>
    </row>
    <row r="944" spans="1:19" ht="55.2" x14ac:dyDescent="0.3">
      <c r="A944" s="137">
        <v>5</v>
      </c>
      <c r="B944" s="137">
        <v>255441</v>
      </c>
      <c r="C944" s="137" t="s">
        <v>1497</v>
      </c>
      <c r="D944" s="137">
        <v>55121606</v>
      </c>
      <c r="E944" s="285">
        <v>11</v>
      </c>
      <c r="F944" s="142" t="s">
        <v>1498</v>
      </c>
      <c r="G944" s="137" t="s">
        <v>920</v>
      </c>
      <c r="H944" s="162">
        <f t="shared" si="141"/>
        <v>320</v>
      </c>
      <c r="I944" s="137">
        <v>160</v>
      </c>
      <c r="J944" s="137">
        <v>160</v>
      </c>
      <c r="K944" s="150">
        <v>5650</v>
      </c>
      <c r="L944" s="151">
        <v>0.19</v>
      </c>
      <c r="M944" s="206">
        <f t="shared" si="142"/>
        <v>904000</v>
      </c>
      <c r="N944" s="150">
        <v>5975</v>
      </c>
      <c r="O944" s="151">
        <v>0.19</v>
      </c>
      <c r="P944" s="239">
        <f t="shared" si="143"/>
        <v>956000</v>
      </c>
      <c r="Q944" s="229">
        <f t="shared" si="144"/>
        <v>5812.5</v>
      </c>
      <c r="R944" s="151">
        <v>0.19</v>
      </c>
      <c r="S944" s="229">
        <f t="shared" si="145"/>
        <v>930000</v>
      </c>
    </row>
    <row r="945" spans="1:19" x14ac:dyDescent="0.3">
      <c r="A945" s="138">
        <v>5</v>
      </c>
      <c r="B945" s="269" t="s">
        <v>967</v>
      </c>
      <c r="C945" s="269" t="s">
        <v>482</v>
      </c>
      <c r="D945" s="269" t="s">
        <v>485</v>
      </c>
      <c r="E945" s="162">
        <v>12</v>
      </c>
      <c r="F945" s="146" t="s">
        <v>1499</v>
      </c>
      <c r="G945" s="141" t="s">
        <v>261</v>
      </c>
      <c r="H945" s="162">
        <f t="shared" si="141"/>
        <v>18</v>
      </c>
      <c r="I945" s="143">
        <v>10</v>
      </c>
      <c r="J945" s="138">
        <v>8</v>
      </c>
      <c r="K945" s="224">
        <v>16000</v>
      </c>
      <c r="L945" s="274">
        <v>0</v>
      </c>
      <c r="M945" s="206">
        <f>K945*J945</f>
        <v>128000</v>
      </c>
      <c r="N945" s="231">
        <v>18000</v>
      </c>
      <c r="O945" s="274">
        <v>0</v>
      </c>
      <c r="P945" s="239">
        <f>N945*J945</f>
        <v>144000</v>
      </c>
      <c r="Q945" s="5">
        <f>SUM(K945+N945)/2</f>
        <v>17000</v>
      </c>
      <c r="R945" s="274">
        <v>0</v>
      </c>
      <c r="S945" s="5">
        <f>Q945*J945</f>
        <v>136000</v>
      </c>
    </row>
    <row r="946" spans="1:19" x14ac:dyDescent="0.3">
      <c r="A946" s="138">
        <v>5</v>
      </c>
      <c r="B946" s="269" t="s">
        <v>977</v>
      </c>
      <c r="C946" s="269" t="s">
        <v>482</v>
      </c>
      <c r="D946" s="269">
        <v>50111515</v>
      </c>
      <c r="E946" s="162">
        <v>13</v>
      </c>
      <c r="F946" s="146" t="s">
        <v>1500</v>
      </c>
      <c r="G946" s="141" t="s">
        <v>594</v>
      </c>
      <c r="H946" s="162">
        <f t="shared" si="141"/>
        <v>18</v>
      </c>
      <c r="I946" s="143">
        <v>10</v>
      </c>
      <c r="J946" s="138">
        <v>8</v>
      </c>
      <c r="K946" s="224">
        <v>40000</v>
      </c>
      <c r="L946" s="274">
        <v>0</v>
      </c>
      <c r="M946" s="206">
        <f t="shared" ref="M946:M1009" si="146">K946*J946</f>
        <v>320000</v>
      </c>
      <c r="N946" s="277">
        <v>40000</v>
      </c>
      <c r="O946" s="274">
        <v>0</v>
      </c>
      <c r="P946" s="239">
        <f t="shared" ref="P946:P1009" si="147">N946*J946</f>
        <v>320000</v>
      </c>
      <c r="Q946" s="5">
        <f t="shared" ref="Q946:Q1009" si="148">SUM(K946+N946)/2</f>
        <v>40000</v>
      </c>
      <c r="R946" s="274">
        <v>0</v>
      </c>
      <c r="S946" s="5">
        <f t="shared" ref="S946:S1009" si="149">Q946*J946</f>
        <v>320000</v>
      </c>
    </row>
    <row r="947" spans="1:19" x14ac:dyDescent="0.3">
      <c r="A947" s="138">
        <v>5</v>
      </c>
      <c r="B947" s="269" t="s">
        <v>979</v>
      </c>
      <c r="C947" s="269" t="s">
        <v>980</v>
      </c>
      <c r="D947" s="269">
        <v>50131800</v>
      </c>
      <c r="E947" s="285">
        <v>14</v>
      </c>
      <c r="F947" s="146" t="s">
        <v>1501</v>
      </c>
      <c r="G947" s="141" t="s">
        <v>261</v>
      </c>
      <c r="H947" s="162">
        <f t="shared" si="141"/>
        <v>18</v>
      </c>
      <c r="I947" s="143">
        <v>10</v>
      </c>
      <c r="J947" s="138">
        <v>8</v>
      </c>
      <c r="K947" s="224">
        <v>29750</v>
      </c>
      <c r="L947" s="274">
        <v>0.19</v>
      </c>
      <c r="M947" s="206">
        <f t="shared" si="146"/>
        <v>238000</v>
      </c>
      <c r="N947" s="277">
        <v>29750</v>
      </c>
      <c r="O947" s="274">
        <v>0.19</v>
      </c>
      <c r="P947" s="239">
        <f t="shared" si="147"/>
        <v>238000</v>
      </c>
      <c r="Q947" s="5">
        <f t="shared" si="148"/>
        <v>29750</v>
      </c>
      <c r="R947" s="274">
        <v>0.19</v>
      </c>
      <c r="S947" s="5">
        <f t="shared" si="149"/>
        <v>238000</v>
      </c>
    </row>
    <row r="948" spans="1:19" x14ac:dyDescent="0.3">
      <c r="A948" s="138">
        <v>5</v>
      </c>
      <c r="B948" s="269" t="s">
        <v>307</v>
      </c>
      <c r="C948" s="269" t="s">
        <v>482</v>
      </c>
      <c r="D948" s="269" t="s">
        <v>989</v>
      </c>
      <c r="E948" s="285">
        <v>15</v>
      </c>
      <c r="F948" s="146" t="s">
        <v>1502</v>
      </c>
      <c r="G948" s="141" t="s">
        <v>261</v>
      </c>
      <c r="H948" s="162">
        <f t="shared" si="141"/>
        <v>18</v>
      </c>
      <c r="I948" s="143">
        <v>10</v>
      </c>
      <c r="J948" s="138">
        <v>8</v>
      </c>
      <c r="K948" s="224">
        <v>26000</v>
      </c>
      <c r="L948" s="274">
        <v>0</v>
      </c>
      <c r="M948" s="206">
        <f t="shared" si="146"/>
        <v>208000</v>
      </c>
      <c r="N948" s="277">
        <v>26000</v>
      </c>
      <c r="O948" s="274">
        <v>0</v>
      </c>
      <c r="P948" s="239">
        <f t="shared" si="147"/>
        <v>208000</v>
      </c>
      <c r="Q948" s="5">
        <f t="shared" si="148"/>
        <v>26000</v>
      </c>
      <c r="R948" s="274">
        <v>0</v>
      </c>
      <c r="S948" s="5">
        <f t="shared" si="149"/>
        <v>208000</v>
      </c>
    </row>
    <row r="949" spans="1:19" x14ac:dyDescent="0.3">
      <c r="A949" s="138">
        <v>5</v>
      </c>
      <c r="B949" s="269" t="s">
        <v>1000</v>
      </c>
      <c r="C949" s="269" t="s">
        <v>980</v>
      </c>
      <c r="D949" s="269">
        <v>50131800</v>
      </c>
      <c r="E949" s="162">
        <v>16</v>
      </c>
      <c r="F949" s="146" t="s">
        <v>1503</v>
      </c>
      <c r="G949" s="141" t="s">
        <v>261</v>
      </c>
      <c r="H949" s="162">
        <f t="shared" si="141"/>
        <v>13</v>
      </c>
      <c r="I949" s="143">
        <v>10</v>
      </c>
      <c r="J949" s="138">
        <v>3</v>
      </c>
      <c r="K949" s="224">
        <v>71400</v>
      </c>
      <c r="L949" s="274">
        <v>0.19</v>
      </c>
      <c r="M949" s="206">
        <f t="shared" si="146"/>
        <v>214200</v>
      </c>
      <c r="N949" s="277">
        <v>77350</v>
      </c>
      <c r="O949" s="274">
        <v>0.19</v>
      </c>
      <c r="P949" s="239">
        <f t="shared" si="147"/>
        <v>232050</v>
      </c>
      <c r="Q949" s="5">
        <f t="shared" si="148"/>
        <v>74375</v>
      </c>
      <c r="R949" s="274">
        <v>0.19</v>
      </c>
      <c r="S949" s="5">
        <f t="shared" si="149"/>
        <v>223125</v>
      </c>
    </row>
    <row r="950" spans="1:19" x14ac:dyDescent="0.3">
      <c r="A950" s="138">
        <v>5</v>
      </c>
      <c r="B950" s="269" t="s">
        <v>1002</v>
      </c>
      <c r="C950" s="269" t="s">
        <v>980</v>
      </c>
      <c r="D950" s="269">
        <v>50131800</v>
      </c>
      <c r="E950" s="162">
        <v>17</v>
      </c>
      <c r="F950" s="146" t="s">
        <v>1504</v>
      </c>
      <c r="G950" s="141" t="s">
        <v>261</v>
      </c>
      <c r="H950" s="162">
        <f t="shared" si="141"/>
        <v>15</v>
      </c>
      <c r="I950" s="143">
        <v>10</v>
      </c>
      <c r="J950" s="138">
        <v>5</v>
      </c>
      <c r="K950" s="224">
        <v>29750</v>
      </c>
      <c r="L950" s="274">
        <v>0.19</v>
      </c>
      <c r="M950" s="206">
        <f t="shared" si="146"/>
        <v>148750</v>
      </c>
      <c r="N950" s="277">
        <v>36890</v>
      </c>
      <c r="O950" s="274">
        <v>0.19</v>
      </c>
      <c r="P950" s="239">
        <f t="shared" si="147"/>
        <v>184450</v>
      </c>
      <c r="Q950" s="5">
        <f t="shared" si="148"/>
        <v>33320</v>
      </c>
      <c r="R950" s="274">
        <v>0.19</v>
      </c>
      <c r="S950" s="5">
        <f t="shared" si="149"/>
        <v>166600</v>
      </c>
    </row>
    <row r="951" spans="1:19" x14ac:dyDescent="0.3">
      <c r="A951" s="233">
        <v>5</v>
      </c>
      <c r="B951" s="270" t="s">
        <v>354</v>
      </c>
      <c r="C951" s="270" t="s">
        <v>482</v>
      </c>
      <c r="D951" s="269">
        <v>50111514</v>
      </c>
      <c r="E951" s="285">
        <v>18</v>
      </c>
      <c r="F951" s="271" t="s">
        <v>1505</v>
      </c>
      <c r="G951" s="141" t="s">
        <v>261</v>
      </c>
      <c r="H951" s="162">
        <f t="shared" si="141"/>
        <v>15</v>
      </c>
      <c r="I951" s="143">
        <v>10</v>
      </c>
      <c r="J951" s="138">
        <v>5</v>
      </c>
      <c r="K951" s="224">
        <v>18000</v>
      </c>
      <c r="L951" s="274">
        <v>0</v>
      </c>
      <c r="M951" s="206">
        <f t="shared" si="146"/>
        <v>90000</v>
      </c>
      <c r="N951" s="277">
        <v>20000</v>
      </c>
      <c r="O951" s="274">
        <v>0</v>
      </c>
      <c r="P951" s="239">
        <f t="shared" si="147"/>
        <v>100000</v>
      </c>
      <c r="Q951" s="5">
        <f t="shared" si="148"/>
        <v>19000</v>
      </c>
      <c r="R951" s="274">
        <v>0</v>
      </c>
      <c r="S951" s="5">
        <f t="shared" si="149"/>
        <v>95000</v>
      </c>
    </row>
    <row r="952" spans="1:19" x14ac:dyDescent="0.3">
      <c r="A952" s="138">
        <v>5</v>
      </c>
      <c r="B952" s="235" t="s">
        <v>1023</v>
      </c>
      <c r="C952" s="235" t="s">
        <v>931</v>
      </c>
      <c r="D952" s="272">
        <v>47131821</v>
      </c>
      <c r="E952" s="285">
        <v>19</v>
      </c>
      <c r="F952" s="273" t="s">
        <v>1024</v>
      </c>
      <c r="G952" s="141" t="s">
        <v>1025</v>
      </c>
      <c r="H952" s="162">
        <f t="shared" si="141"/>
        <v>12</v>
      </c>
      <c r="I952" s="143">
        <v>10</v>
      </c>
      <c r="J952" s="138">
        <v>2</v>
      </c>
      <c r="K952" s="224">
        <v>95200</v>
      </c>
      <c r="L952" s="274">
        <v>0.19</v>
      </c>
      <c r="M952" s="206">
        <f t="shared" si="146"/>
        <v>190400</v>
      </c>
      <c r="N952" s="277">
        <v>119000</v>
      </c>
      <c r="O952" s="274">
        <v>0.19</v>
      </c>
      <c r="P952" s="239">
        <f t="shared" si="147"/>
        <v>238000</v>
      </c>
      <c r="Q952" s="5">
        <f t="shared" si="148"/>
        <v>107100</v>
      </c>
      <c r="R952" s="274">
        <v>0.19</v>
      </c>
      <c r="S952" s="5">
        <f t="shared" si="149"/>
        <v>214200</v>
      </c>
    </row>
    <row r="953" spans="1:19" x14ac:dyDescent="0.3">
      <c r="A953" s="233">
        <v>5</v>
      </c>
      <c r="B953" s="233" t="s">
        <v>1026</v>
      </c>
      <c r="C953" s="233" t="s">
        <v>482</v>
      </c>
      <c r="D953" s="233">
        <v>50111514</v>
      </c>
      <c r="E953" s="162">
        <v>20</v>
      </c>
      <c r="F953" s="233" t="s">
        <v>1506</v>
      </c>
      <c r="G953" s="233" t="s">
        <v>261</v>
      </c>
      <c r="H953" s="162">
        <f t="shared" si="141"/>
        <v>20</v>
      </c>
      <c r="I953" s="143">
        <v>10</v>
      </c>
      <c r="J953" s="233">
        <v>10</v>
      </c>
      <c r="K953" s="224">
        <v>17850</v>
      </c>
      <c r="L953" s="274">
        <v>0.19</v>
      </c>
      <c r="M953" s="206">
        <f t="shared" si="146"/>
        <v>178500</v>
      </c>
      <c r="N953" s="277">
        <v>17850</v>
      </c>
      <c r="O953" s="274">
        <v>0.19</v>
      </c>
      <c r="P953" s="239">
        <f t="shared" si="147"/>
        <v>178500</v>
      </c>
      <c r="Q953" s="5">
        <f t="shared" si="148"/>
        <v>17850</v>
      </c>
      <c r="R953" s="274">
        <v>0.19</v>
      </c>
      <c r="S953" s="5">
        <f t="shared" si="149"/>
        <v>178500</v>
      </c>
    </row>
    <row r="954" spans="1:19" x14ac:dyDescent="0.3">
      <c r="A954" s="233">
        <v>5</v>
      </c>
      <c r="B954" s="233" t="s">
        <v>1030</v>
      </c>
      <c r="C954" s="233" t="s">
        <v>1031</v>
      </c>
      <c r="D954" s="233">
        <v>52121601</v>
      </c>
      <c r="E954" s="162">
        <v>21</v>
      </c>
      <c r="F954" s="233" t="s">
        <v>1032</v>
      </c>
      <c r="G954" s="233" t="s">
        <v>25</v>
      </c>
      <c r="H954" s="162">
        <f t="shared" si="141"/>
        <v>30</v>
      </c>
      <c r="I954" s="143">
        <v>10</v>
      </c>
      <c r="J954" s="233">
        <v>20</v>
      </c>
      <c r="K954" s="224">
        <v>2380</v>
      </c>
      <c r="L954" s="274">
        <v>0.19</v>
      </c>
      <c r="M954" s="206">
        <f t="shared" si="146"/>
        <v>47600</v>
      </c>
      <c r="N954" s="277">
        <v>3570</v>
      </c>
      <c r="O954" s="274">
        <v>0.19</v>
      </c>
      <c r="P954" s="239">
        <f t="shared" si="147"/>
        <v>71400</v>
      </c>
      <c r="Q954" s="5">
        <f t="shared" si="148"/>
        <v>2975</v>
      </c>
      <c r="R954" s="274">
        <v>0.19</v>
      </c>
      <c r="S954" s="5">
        <f t="shared" si="149"/>
        <v>59500</v>
      </c>
    </row>
    <row r="955" spans="1:19" x14ac:dyDescent="0.3">
      <c r="A955" s="138">
        <v>5</v>
      </c>
      <c r="B955" s="269" t="s">
        <v>1038</v>
      </c>
      <c r="C955" s="269" t="s">
        <v>448</v>
      </c>
      <c r="D955" s="269">
        <v>50151514</v>
      </c>
      <c r="E955" s="285">
        <v>22</v>
      </c>
      <c r="F955" s="146" t="s">
        <v>1039</v>
      </c>
      <c r="G955" s="141" t="s">
        <v>1040</v>
      </c>
      <c r="H955" s="162">
        <f t="shared" si="141"/>
        <v>13</v>
      </c>
      <c r="I955" s="143">
        <v>10</v>
      </c>
      <c r="J955" s="138">
        <v>3</v>
      </c>
      <c r="K955" s="224">
        <v>29750</v>
      </c>
      <c r="L955" s="274">
        <v>0.19</v>
      </c>
      <c r="M955" s="206">
        <f t="shared" si="146"/>
        <v>89250</v>
      </c>
      <c r="N955" s="277">
        <v>29750</v>
      </c>
      <c r="O955" s="274">
        <v>0.19</v>
      </c>
      <c r="P955" s="239">
        <f t="shared" si="147"/>
        <v>89250</v>
      </c>
      <c r="Q955" s="5">
        <f t="shared" si="148"/>
        <v>29750</v>
      </c>
      <c r="R955" s="274">
        <v>0.19</v>
      </c>
      <c r="S955" s="5">
        <f t="shared" si="149"/>
        <v>89250</v>
      </c>
    </row>
    <row r="956" spans="1:19" x14ac:dyDescent="0.3">
      <c r="A956" s="138">
        <v>5</v>
      </c>
      <c r="B956" s="269" t="s">
        <v>323</v>
      </c>
      <c r="C956" s="269" t="s">
        <v>1043</v>
      </c>
      <c r="D956" s="269" t="s">
        <v>1044</v>
      </c>
      <c r="E956" s="285">
        <v>23</v>
      </c>
      <c r="F956" s="146" t="s">
        <v>1045</v>
      </c>
      <c r="G956" s="141" t="s">
        <v>1046</v>
      </c>
      <c r="H956" s="162">
        <f t="shared" si="141"/>
        <v>11</v>
      </c>
      <c r="I956" s="143">
        <v>10</v>
      </c>
      <c r="J956" s="138">
        <v>1</v>
      </c>
      <c r="K956" s="224">
        <v>89250</v>
      </c>
      <c r="L956" s="274">
        <v>0.19</v>
      </c>
      <c r="M956" s="206">
        <f t="shared" si="146"/>
        <v>89250</v>
      </c>
      <c r="N956" s="277">
        <v>89250</v>
      </c>
      <c r="O956" s="274">
        <v>0.19</v>
      </c>
      <c r="P956" s="239">
        <f t="shared" si="147"/>
        <v>89250</v>
      </c>
      <c r="Q956" s="5">
        <f t="shared" si="148"/>
        <v>89250</v>
      </c>
      <c r="R956" s="274">
        <v>0.19</v>
      </c>
      <c r="S956" s="5">
        <f t="shared" si="149"/>
        <v>89250</v>
      </c>
    </row>
    <row r="957" spans="1:19" x14ac:dyDescent="0.3">
      <c r="A957" s="138">
        <v>5</v>
      </c>
      <c r="B957" s="269" t="s">
        <v>1047</v>
      </c>
      <c r="C957" s="269" t="s">
        <v>1043</v>
      </c>
      <c r="D957" s="269" t="s">
        <v>1048</v>
      </c>
      <c r="E957" s="162">
        <v>24</v>
      </c>
      <c r="F957" s="146" t="s">
        <v>1049</v>
      </c>
      <c r="G957" s="141" t="s">
        <v>1046</v>
      </c>
      <c r="H957" s="162">
        <f t="shared" si="141"/>
        <v>11</v>
      </c>
      <c r="I957" s="143">
        <v>10</v>
      </c>
      <c r="J957" s="138">
        <v>1</v>
      </c>
      <c r="K957" s="224">
        <v>170170</v>
      </c>
      <c r="L957" s="274">
        <v>0.19</v>
      </c>
      <c r="M957" s="206">
        <f t="shared" si="146"/>
        <v>170170</v>
      </c>
      <c r="N957" s="277">
        <v>190400</v>
      </c>
      <c r="O957" s="274">
        <v>0.19</v>
      </c>
      <c r="P957" s="239">
        <f t="shared" si="147"/>
        <v>190400</v>
      </c>
      <c r="Q957" s="5">
        <f t="shared" si="148"/>
        <v>180285</v>
      </c>
      <c r="R957" s="274">
        <v>0.19</v>
      </c>
      <c r="S957" s="5">
        <f t="shared" si="149"/>
        <v>180285</v>
      </c>
    </row>
    <row r="958" spans="1:19" x14ac:dyDescent="0.3">
      <c r="A958" s="138">
        <v>5</v>
      </c>
      <c r="B958" s="235" t="s">
        <v>1057</v>
      </c>
      <c r="C958" s="235" t="s">
        <v>1058</v>
      </c>
      <c r="D958" s="269">
        <v>15111501</v>
      </c>
      <c r="E958" s="162">
        <v>25</v>
      </c>
      <c r="F958" s="271" t="s">
        <v>1507</v>
      </c>
      <c r="G958" s="141" t="s">
        <v>1060</v>
      </c>
      <c r="H958" s="162">
        <f t="shared" si="141"/>
        <v>14</v>
      </c>
      <c r="I958" s="143">
        <v>10</v>
      </c>
      <c r="J958" s="138">
        <v>4</v>
      </c>
      <c r="K958" s="224">
        <v>130900</v>
      </c>
      <c r="L958" s="274">
        <v>0.19</v>
      </c>
      <c r="M958" s="206">
        <f t="shared" si="146"/>
        <v>523600</v>
      </c>
      <c r="N958" s="277">
        <v>130900</v>
      </c>
      <c r="O958" s="274">
        <v>0.19</v>
      </c>
      <c r="P958" s="239">
        <f t="shared" si="147"/>
        <v>523600</v>
      </c>
      <c r="Q958" s="5">
        <f t="shared" si="148"/>
        <v>130900</v>
      </c>
      <c r="R958" s="274">
        <v>0.19</v>
      </c>
      <c r="S958" s="5">
        <f t="shared" si="149"/>
        <v>523600</v>
      </c>
    </row>
    <row r="959" spans="1:19" x14ac:dyDescent="0.3">
      <c r="A959" s="138">
        <v>5</v>
      </c>
      <c r="B959" s="269" t="s">
        <v>1061</v>
      </c>
      <c r="C959" s="269" t="s">
        <v>448</v>
      </c>
      <c r="D959" s="269">
        <v>50192404</v>
      </c>
      <c r="E959" s="285">
        <v>26</v>
      </c>
      <c r="F959" s="146" t="s">
        <v>1508</v>
      </c>
      <c r="G959" s="141" t="s">
        <v>261</v>
      </c>
      <c r="H959" s="162">
        <f t="shared" si="141"/>
        <v>11</v>
      </c>
      <c r="I959" s="143">
        <v>10</v>
      </c>
      <c r="J959" s="138">
        <v>1</v>
      </c>
      <c r="K959" s="224">
        <v>23800</v>
      </c>
      <c r="L959" s="274">
        <v>0.19</v>
      </c>
      <c r="M959" s="206">
        <f t="shared" si="146"/>
        <v>23800</v>
      </c>
      <c r="N959" s="277">
        <v>23800</v>
      </c>
      <c r="O959" s="274">
        <v>0.19</v>
      </c>
      <c r="P959" s="239">
        <f t="shared" si="147"/>
        <v>23800</v>
      </c>
      <c r="Q959" s="5">
        <f t="shared" si="148"/>
        <v>23800</v>
      </c>
      <c r="R959" s="274">
        <v>0.19</v>
      </c>
      <c r="S959" s="5">
        <f t="shared" si="149"/>
        <v>23800</v>
      </c>
    </row>
    <row r="960" spans="1:19" x14ac:dyDescent="0.3">
      <c r="A960" s="138">
        <v>5</v>
      </c>
      <c r="B960" s="269" t="s">
        <v>1068</v>
      </c>
      <c r="C960" s="269" t="s">
        <v>448</v>
      </c>
      <c r="D960" s="269">
        <v>50131702</v>
      </c>
      <c r="E960" s="285">
        <v>27</v>
      </c>
      <c r="F960" s="146" t="s">
        <v>1069</v>
      </c>
      <c r="G960" s="141" t="s">
        <v>261</v>
      </c>
      <c r="H960" s="162">
        <f t="shared" si="141"/>
        <v>30</v>
      </c>
      <c r="I960" s="143">
        <v>10</v>
      </c>
      <c r="J960" s="138">
        <v>20</v>
      </c>
      <c r="K960" s="224">
        <v>24752</v>
      </c>
      <c r="L960" s="274">
        <v>0.19</v>
      </c>
      <c r="M960" s="206">
        <f t="shared" si="146"/>
        <v>495040</v>
      </c>
      <c r="N960" s="277">
        <v>24752</v>
      </c>
      <c r="O960" s="274">
        <v>0.19</v>
      </c>
      <c r="P960" s="239">
        <f t="shared" si="147"/>
        <v>495040</v>
      </c>
      <c r="Q960" s="5">
        <f t="shared" si="148"/>
        <v>24752</v>
      </c>
      <c r="R960" s="274">
        <v>0.19</v>
      </c>
      <c r="S960" s="5">
        <f t="shared" si="149"/>
        <v>495040</v>
      </c>
    </row>
    <row r="961" spans="1:19" x14ac:dyDescent="0.3">
      <c r="A961" s="233">
        <v>5</v>
      </c>
      <c r="B961" s="269" t="s">
        <v>556</v>
      </c>
      <c r="C961" s="269" t="s">
        <v>448</v>
      </c>
      <c r="D961" s="269">
        <v>50221303</v>
      </c>
      <c r="E961" s="162">
        <v>28</v>
      </c>
      <c r="F961" s="146" t="s">
        <v>1509</v>
      </c>
      <c r="G961" s="141" t="s">
        <v>261</v>
      </c>
      <c r="H961" s="162">
        <f t="shared" si="141"/>
        <v>11</v>
      </c>
      <c r="I961" s="143">
        <v>10</v>
      </c>
      <c r="J961" s="138">
        <v>1</v>
      </c>
      <c r="K961" s="224">
        <v>19397</v>
      </c>
      <c r="L961" s="274">
        <v>0.19</v>
      </c>
      <c r="M961" s="206">
        <f t="shared" si="146"/>
        <v>19397</v>
      </c>
      <c r="N961" s="277">
        <v>19397</v>
      </c>
      <c r="O961" s="274">
        <v>0.19</v>
      </c>
      <c r="P961" s="239">
        <f t="shared" si="147"/>
        <v>19397</v>
      </c>
      <c r="Q961" s="5">
        <f t="shared" si="148"/>
        <v>19397</v>
      </c>
      <c r="R961" s="274">
        <v>0.19</v>
      </c>
      <c r="S961" s="5">
        <f t="shared" si="149"/>
        <v>19397</v>
      </c>
    </row>
    <row r="962" spans="1:19" x14ac:dyDescent="0.3">
      <c r="A962" s="138">
        <v>5</v>
      </c>
      <c r="B962" s="269" t="s">
        <v>561</v>
      </c>
      <c r="C962" s="269" t="s">
        <v>448</v>
      </c>
      <c r="D962" s="269">
        <v>50131702</v>
      </c>
      <c r="E962" s="162">
        <v>29</v>
      </c>
      <c r="F962" s="146" t="s">
        <v>1510</v>
      </c>
      <c r="G962" s="141" t="s">
        <v>261</v>
      </c>
      <c r="H962" s="162">
        <f t="shared" si="141"/>
        <v>14</v>
      </c>
      <c r="I962" s="143">
        <v>10</v>
      </c>
      <c r="J962" s="138">
        <v>4</v>
      </c>
      <c r="K962" s="224">
        <v>25680</v>
      </c>
      <c r="L962" s="274">
        <v>0.19</v>
      </c>
      <c r="M962" s="206">
        <f t="shared" si="146"/>
        <v>102720</v>
      </c>
      <c r="N962" s="277">
        <v>26870</v>
      </c>
      <c r="O962" s="274">
        <v>0.19</v>
      </c>
      <c r="P962" s="239">
        <f t="shared" si="147"/>
        <v>107480</v>
      </c>
      <c r="Q962" s="5">
        <f t="shared" si="148"/>
        <v>26275</v>
      </c>
      <c r="R962" s="274">
        <v>0.19</v>
      </c>
      <c r="S962" s="5">
        <f t="shared" si="149"/>
        <v>105100</v>
      </c>
    </row>
    <row r="963" spans="1:19" x14ac:dyDescent="0.3">
      <c r="A963" s="138">
        <v>5</v>
      </c>
      <c r="B963" s="269" t="s">
        <v>563</v>
      </c>
      <c r="C963" s="269" t="s">
        <v>448</v>
      </c>
      <c r="D963" s="269">
        <v>10151701</v>
      </c>
      <c r="E963" s="285">
        <v>30</v>
      </c>
      <c r="F963" s="146" t="s">
        <v>1511</v>
      </c>
      <c r="G963" s="141" t="s">
        <v>261</v>
      </c>
      <c r="H963" s="162">
        <f t="shared" si="141"/>
        <v>20</v>
      </c>
      <c r="I963" s="143">
        <v>10</v>
      </c>
      <c r="J963" s="138">
        <v>10</v>
      </c>
      <c r="K963" s="224">
        <v>8330</v>
      </c>
      <c r="L963" s="274">
        <v>0.19</v>
      </c>
      <c r="M963" s="206">
        <f t="shared" si="146"/>
        <v>83300</v>
      </c>
      <c r="N963" s="277">
        <v>10710</v>
      </c>
      <c r="O963" s="274">
        <v>0.19</v>
      </c>
      <c r="P963" s="239">
        <f t="shared" si="147"/>
        <v>107100</v>
      </c>
      <c r="Q963" s="5">
        <f t="shared" si="148"/>
        <v>9520</v>
      </c>
      <c r="R963" s="274">
        <v>0.19</v>
      </c>
      <c r="S963" s="5">
        <f t="shared" si="149"/>
        <v>95200</v>
      </c>
    </row>
    <row r="964" spans="1:19" x14ac:dyDescent="0.3">
      <c r="A964" s="138">
        <v>5</v>
      </c>
      <c r="B964" s="269" t="s">
        <v>573</v>
      </c>
      <c r="C964" s="269" t="s">
        <v>448</v>
      </c>
      <c r="D964" s="269" t="s">
        <v>574</v>
      </c>
      <c r="E964" s="285">
        <v>31</v>
      </c>
      <c r="F964" s="146" t="s">
        <v>1512</v>
      </c>
      <c r="G964" s="141" t="s">
        <v>261</v>
      </c>
      <c r="H964" s="162">
        <f t="shared" si="141"/>
        <v>25</v>
      </c>
      <c r="I964" s="143">
        <v>10</v>
      </c>
      <c r="J964" s="138">
        <v>15</v>
      </c>
      <c r="K964" s="224">
        <v>7378</v>
      </c>
      <c r="L964" s="274">
        <v>0.19</v>
      </c>
      <c r="M964" s="206">
        <f t="shared" si="146"/>
        <v>110670</v>
      </c>
      <c r="N964" s="277">
        <v>7378</v>
      </c>
      <c r="O964" s="274">
        <v>0.19</v>
      </c>
      <c r="P964" s="239">
        <f t="shared" si="147"/>
        <v>110670</v>
      </c>
      <c r="Q964" s="5">
        <f t="shared" si="148"/>
        <v>7378</v>
      </c>
      <c r="R964" s="274">
        <v>0.19</v>
      </c>
      <c r="S964" s="5">
        <f t="shared" si="149"/>
        <v>110670</v>
      </c>
    </row>
    <row r="965" spans="1:19" x14ac:dyDescent="0.3">
      <c r="A965" s="138">
        <v>5</v>
      </c>
      <c r="B965" s="269" t="s">
        <v>576</v>
      </c>
      <c r="C965" s="269" t="s">
        <v>448</v>
      </c>
      <c r="D965" s="269" t="s">
        <v>577</v>
      </c>
      <c r="E965" s="162">
        <v>32</v>
      </c>
      <c r="F965" s="146" t="s">
        <v>578</v>
      </c>
      <c r="G965" s="141" t="s">
        <v>579</v>
      </c>
      <c r="H965" s="162">
        <f t="shared" si="141"/>
        <v>18</v>
      </c>
      <c r="I965" s="143">
        <v>10</v>
      </c>
      <c r="J965" s="138">
        <v>8</v>
      </c>
      <c r="K965" s="224">
        <v>9401</v>
      </c>
      <c r="L965" s="274">
        <v>0.19</v>
      </c>
      <c r="M965" s="206">
        <f t="shared" si="146"/>
        <v>75208</v>
      </c>
      <c r="N965" s="277">
        <v>11900</v>
      </c>
      <c r="O965" s="274">
        <v>0.19</v>
      </c>
      <c r="P965" s="239">
        <f t="shared" si="147"/>
        <v>95200</v>
      </c>
      <c r="Q965" s="5">
        <f t="shared" si="148"/>
        <v>10650.5</v>
      </c>
      <c r="R965" s="274">
        <v>0.19</v>
      </c>
      <c r="S965" s="5">
        <f t="shared" si="149"/>
        <v>85204</v>
      </c>
    </row>
    <row r="966" spans="1:19" x14ac:dyDescent="0.3">
      <c r="A966" s="138">
        <v>5</v>
      </c>
      <c r="B966" s="269" t="s">
        <v>580</v>
      </c>
      <c r="C966" s="269" t="s">
        <v>448</v>
      </c>
      <c r="D966" s="269" t="s">
        <v>581</v>
      </c>
      <c r="E966" s="162">
        <v>33</v>
      </c>
      <c r="F966" s="146" t="s">
        <v>582</v>
      </c>
      <c r="G966" s="141" t="s">
        <v>583</v>
      </c>
      <c r="H966" s="162">
        <f t="shared" si="141"/>
        <v>11</v>
      </c>
      <c r="I966" s="143">
        <v>10</v>
      </c>
      <c r="J966" s="138">
        <v>1</v>
      </c>
      <c r="K966" s="224">
        <v>33320</v>
      </c>
      <c r="L966" s="274">
        <v>0.19</v>
      </c>
      <c r="M966" s="206">
        <f t="shared" si="146"/>
        <v>33320</v>
      </c>
      <c r="N966" s="277">
        <v>33320</v>
      </c>
      <c r="O966" s="274">
        <v>0.19</v>
      </c>
      <c r="P966" s="239">
        <f t="shared" si="147"/>
        <v>33320</v>
      </c>
      <c r="Q966" s="5">
        <f t="shared" si="148"/>
        <v>33320</v>
      </c>
      <c r="R966" s="274">
        <v>0.19</v>
      </c>
      <c r="S966" s="5">
        <f t="shared" si="149"/>
        <v>33320</v>
      </c>
    </row>
    <row r="967" spans="1:19" x14ac:dyDescent="0.3">
      <c r="A967" s="138">
        <v>5</v>
      </c>
      <c r="B967" s="269" t="s">
        <v>584</v>
      </c>
      <c r="C967" s="269" t="s">
        <v>448</v>
      </c>
      <c r="D967" s="269">
        <v>50161813</v>
      </c>
      <c r="E967" s="285">
        <v>34</v>
      </c>
      <c r="F967" s="146" t="s">
        <v>585</v>
      </c>
      <c r="G967" s="141" t="s">
        <v>586</v>
      </c>
      <c r="H967" s="162">
        <f t="shared" si="141"/>
        <v>11</v>
      </c>
      <c r="I967" s="143">
        <v>10</v>
      </c>
      <c r="J967" s="138">
        <v>1</v>
      </c>
      <c r="K967" s="224">
        <v>35700</v>
      </c>
      <c r="L967" s="274">
        <v>0.19</v>
      </c>
      <c r="M967" s="206">
        <f t="shared" si="146"/>
        <v>35700</v>
      </c>
      <c r="N967" s="277">
        <v>35700</v>
      </c>
      <c r="O967" s="274">
        <v>0.19</v>
      </c>
      <c r="P967" s="239">
        <f t="shared" si="147"/>
        <v>35700</v>
      </c>
      <c r="Q967" s="5">
        <f t="shared" si="148"/>
        <v>35700</v>
      </c>
      <c r="R967" s="274">
        <v>0.19</v>
      </c>
      <c r="S967" s="5">
        <f t="shared" si="149"/>
        <v>35700</v>
      </c>
    </row>
    <row r="968" spans="1:19" x14ac:dyDescent="0.3">
      <c r="A968" s="138">
        <v>5</v>
      </c>
      <c r="B968" s="269" t="s">
        <v>587</v>
      </c>
      <c r="C968" s="269" t="s">
        <v>448</v>
      </c>
      <c r="D968" s="269" t="s">
        <v>588</v>
      </c>
      <c r="E968" s="285">
        <v>35</v>
      </c>
      <c r="F968" s="146" t="s">
        <v>1513</v>
      </c>
      <c r="G968" s="141" t="s">
        <v>261</v>
      </c>
      <c r="H968" s="162">
        <f t="shared" si="141"/>
        <v>15</v>
      </c>
      <c r="I968" s="143">
        <v>10</v>
      </c>
      <c r="J968" s="138">
        <v>5</v>
      </c>
      <c r="K968" s="224">
        <v>48790</v>
      </c>
      <c r="L968" s="274">
        <v>0.19</v>
      </c>
      <c r="M968" s="206">
        <f t="shared" si="146"/>
        <v>243950</v>
      </c>
      <c r="N968" s="277">
        <v>48790</v>
      </c>
      <c r="O968" s="274">
        <v>0.19</v>
      </c>
      <c r="P968" s="239">
        <f t="shared" si="147"/>
        <v>243950</v>
      </c>
      <c r="Q968" s="5">
        <f t="shared" si="148"/>
        <v>48790</v>
      </c>
      <c r="R968" s="274">
        <v>0.19</v>
      </c>
      <c r="S968" s="5">
        <f t="shared" si="149"/>
        <v>243950</v>
      </c>
    </row>
    <row r="969" spans="1:19" x14ac:dyDescent="0.3">
      <c r="A969" s="138">
        <v>5</v>
      </c>
      <c r="B969" s="269" t="s">
        <v>590</v>
      </c>
      <c r="C969" s="269" t="s">
        <v>448</v>
      </c>
      <c r="D969" s="269">
        <v>50315817</v>
      </c>
      <c r="E969" s="162">
        <v>36</v>
      </c>
      <c r="F969" s="146" t="s">
        <v>1514</v>
      </c>
      <c r="G969" s="141" t="s">
        <v>261</v>
      </c>
      <c r="H969" s="162">
        <f t="shared" si="141"/>
        <v>12</v>
      </c>
      <c r="I969" s="143">
        <v>10</v>
      </c>
      <c r="J969" s="138">
        <v>2</v>
      </c>
      <c r="K969" s="224">
        <v>33320</v>
      </c>
      <c r="L969" s="274">
        <v>0.19</v>
      </c>
      <c r="M969" s="206">
        <f t="shared" si="146"/>
        <v>66640</v>
      </c>
      <c r="N969" s="277">
        <v>33320</v>
      </c>
      <c r="O969" s="274">
        <v>0.19</v>
      </c>
      <c r="P969" s="239">
        <f t="shared" si="147"/>
        <v>66640</v>
      </c>
      <c r="Q969" s="5">
        <f t="shared" si="148"/>
        <v>33320</v>
      </c>
      <c r="R969" s="274">
        <v>0.19</v>
      </c>
      <c r="S969" s="5">
        <f t="shared" si="149"/>
        <v>66640</v>
      </c>
    </row>
    <row r="970" spans="1:19" x14ac:dyDescent="0.3">
      <c r="A970" s="138">
        <v>5</v>
      </c>
      <c r="B970" s="269" t="s">
        <v>592</v>
      </c>
      <c r="C970" s="269" t="s">
        <v>448</v>
      </c>
      <c r="D970" s="269" t="s">
        <v>588</v>
      </c>
      <c r="E970" s="162">
        <v>37</v>
      </c>
      <c r="F970" s="146" t="s">
        <v>1515</v>
      </c>
      <c r="G970" s="141" t="s">
        <v>594</v>
      </c>
      <c r="H970" s="162">
        <f t="shared" si="141"/>
        <v>20</v>
      </c>
      <c r="I970" s="143">
        <v>10</v>
      </c>
      <c r="J970" s="138">
        <v>10</v>
      </c>
      <c r="K970" s="224">
        <v>29750</v>
      </c>
      <c r="L970" s="274">
        <v>0.19</v>
      </c>
      <c r="M970" s="206">
        <f t="shared" si="146"/>
        <v>297500</v>
      </c>
      <c r="N970" s="277">
        <v>29750</v>
      </c>
      <c r="O970" s="274">
        <v>0.19</v>
      </c>
      <c r="P970" s="239">
        <f t="shared" si="147"/>
        <v>297500</v>
      </c>
      <c r="Q970" s="5">
        <f t="shared" si="148"/>
        <v>29750</v>
      </c>
      <c r="R970" s="274">
        <v>0.19</v>
      </c>
      <c r="S970" s="5">
        <f t="shared" si="149"/>
        <v>297500</v>
      </c>
    </row>
    <row r="971" spans="1:19" x14ac:dyDescent="0.3">
      <c r="A971" s="138">
        <v>5</v>
      </c>
      <c r="B971" s="269" t="s">
        <v>595</v>
      </c>
      <c r="C971" s="269" t="s">
        <v>448</v>
      </c>
      <c r="D971" s="269" t="s">
        <v>588</v>
      </c>
      <c r="E971" s="285">
        <v>38</v>
      </c>
      <c r="F971" s="146" t="s">
        <v>1516</v>
      </c>
      <c r="G971" s="141" t="s">
        <v>594</v>
      </c>
      <c r="H971" s="162">
        <f t="shared" si="141"/>
        <v>25</v>
      </c>
      <c r="I971" s="143">
        <v>10</v>
      </c>
      <c r="J971" s="138">
        <v>15</v>
      </c>
      <c r="K971" s="224">
        <v>29750</v>
      </c>
      <c r="L971" s="274">
        <v>0.19</v>
      </c>
      <c r="M971" s="206">
        <f t="shared" si="146"/>
        <v>446250</v>
      </c>
      <c r="N971" s="277">
        <v>29750</v>
      </c>
      <c r="O971" s="274">
        <v>0.19</v>
      </c>
      <c r="P971" s="239">
        <f t="shared" si="147"/>
        <v>446250</v>
      </c>
      <c r="Q971" s="5">
        <f t="shared" si="148"/>
        <v>29750</v>
      </c>
      <c r="R971" s="274">
        <v>0.19</v>
      </c>
      <c r="S971" s="5">
        <f t="shared" si="149"/>
        <v>446250</v>
      </c>
    </row>
    <row r="972" spans="1:19" x14ac:dyDescent="0.3">
      <c r="A972" s="138">
        <v>5</v>
      </c>
      <c r="B972" s="269" t="s">
        <v>597</v>
      </c>
      <c r="C972" s="269" t="s">
        <v>448</v>
      </c>
      <c r="D972" s="269">
        <v>50101716</v>
      </c>
      <c r="E972" s="285">
        <v>39</v>
      </c>
      <c r="F972" s="146" t="s">
        <v>1517</v>
      </c>
      <c r="G972" s="141" t="s">
        <v>261</v>
      </c>
      <c r="H972" s="162">
        <f t="shared" si="141"/>
        <v>11</v>
      </c>
      <c r="I972" s="143">
        <v>10</v>
      </c>
      <c r="J972" s="138">
        <v>1</v>
      </c>
      <c r="K972" s="224">
        <v>36890</v>
      </c>
      <c r="L972" s="274">
        <v>0.19</v>
      </c>
      <c r="M972" s="206">
        <f t="shared" si="146"/>
        <v>36890</v>
      </c>
      <c r="N972" s="277">
        <v>36890</v>
      </c>
      <c r="O972" s="274">
        <v>0.19</v>
      </c>
      <c r="P972" s="239">
        <f t="shared" si="147"/>
        <v>36890</v>
      </c>
      <c r="Q972" s="5">
        <f t="shared" si="148"/>
        <v>36890</v>
      </c>
      <c r="R972" s="274">
        <v>0.19</v>
      </c>
      <c r="S972" s="5">
        <f t="shared" si="149"/>
        <v>36890</v>
      </c>
    </row>
    <row r="973" spans="1:19" x14ac:dyDescent="0.3">
      <c r="A973" s="138">
        <v>5</v>
      </c>
      <c r="B973" s="269" t="s">
        <v>599</v>
      </c>
      <c r="C973" s="269" t="s">
        <v>448</v>
      </c>
      <c r="D973" s="269" t="s">
        <v>577</v>
      </c>
      <c r="E973" s="162">
        <v>40</v>
      </c>
      <c r="F973" s="146" t="s">
        <v>1518</v>
      </c>
      <c r="G973" s="141" t="s">
        <v>261</v>
      </c>
      <c r="H973" s="162">
        <f t="shared" si="141"/>
        <v>12</v>
      </c>
      <c r="I973" s="143">
        <v>10</v>
      </c>
      <c r="J973" s="138">
        <v>2</v>
      </c>
      <c r="K973" s="275">
        <v>22610</v>
      </c>
      <c r="L973" s="274">
        <v>0.19</v>
      </c>
      <c r="M973" s="206">
        <f t="shared" si="146"/>
        <v>45220</v>
      </c>
      <c r="N973" s="277">
        <v>22610</v>
      </c>
      <c r="O973" s="274">
        <v>0.19</v>
      </c>
      <c r="P973" s="239">
        <f t="shared" si="147"/>
        <v>45220</v>
      </c>
      <c r="Q973" s="5">
        <f t="shared" si="148"/>
        <v>22610</v>
      </c>
      <c r="R973" s="274">
        <v>0.19</v>
      </c>
      <c r="S973" s="5">
        <f t="shared" si="149"/>
        <v>45220</v>
      </c>
    </row>
    <row r="974" spans="1:19" x14ac:dyDescent="0.3">
      <c r="A974" s="138">
        <v>5</v>
      </c>
      <c r="B974" s="269" t="s">
        <v>601</v>
      </c>
      <c r="C974" s="269" t="s">
        <v>448</v>
      </c>
      <c r="D974" s="269">
        <v>50171904</v>
      </c>
      <c r="E974" s="162">
        <v>41</v>
      </c>
      <c r="F974" s="146" t="s">
        <v>602</v>
      </c>
      <c r="G974" s="141" t="s">
        <v>603</v>
      </c>
      <c r="H974" s="162">
        <f t="shared" si="141"/>
        <v>15</v>
      </c>
      <c r="I974" s="143">
        <v>10</v>
      </c>
      <c r="J974" s="138">
        <v>5</v>
      </c>
      <c r="K974" s="224">
        <v>21420</v>
      </c>
      <c r="L974" s="274">
        <v>0.19</v>
      </c>
      <c r="M974" s="206">
        <f t="shared" si="146"/>
        <v>107100</v>
      </c>
      <c r="N974" s="277">
        <v>21420</v>
      </c>
      <c r="O974" s="274">
        <v>0.19</v>
      </c>
      <c r="P974" s="239">
        <f t="shared" si="147"/>
        <v>107100</v>
      </c>
      <c r="Q974" s="5">
        <f t="shared" si="148"/>
        <v>21420</v>
      </c>
      <c r="R974" s="274">
        <v>0.19</v>
      </c>
      <c r="S974" s="5">
        <f t="shared" si="149"/>
        <v>107100</v>
      </c>
    </row>
    <row r="975" spans="1:19" x14ac:dyDescent="0.3">
      <c r="A975" s="233">
        <v>5</v>
      </c>
      <c r="B975" s="233" t="s">
        <v>604</v>
      </c>
      <c r="C975" s="233" t="s">
        <v>448</v>
      </c>
      <c r="D975" s="233">
        <v>50131702</v>
      </c>
      <c r="E975" s="285">
        <v>42</v>
      </c>
      <c r="F975" s="233" t="s">
        <v>1519</v>
      </c>
      <c r="G975" s="233" t="s">
        <v>594</v>
      </c>
      <c r="H975" s="162">
        <f t="shared" si="141"/>
        <v>15</v>
      </c>
      <c r="I975" s="143">
        <v>10</v>
      </c>
      <c r="J975" s="233">
        <v>5</v>
      </c>
      <c r="K975" s="224">
        <v>47600</v>
      </c>
      <c r="L975" s="274">
        <v>0.19</v>
      </c>
      <c r="M975" s="206">
        <f t="shared" si="146"/>
        <v>238000</v>
      </c>
      <c r="N975" s="277">
        <v>47600</v>
      </c>
      <c r="O975" s="274">
        <v>0.19</v>
      </c>
      <c r="P975" s="239">
        <f t="shared" si="147"/>
        <v>238000</v>
      </c>
      <c r="Q975" s="5">
        <f t="shared" si="148"/>
        <v>47600</v>
      </c>
      <c r="R975" s="274">
        <v>0.19</v>
      </c>
      <c r="S975" s="5">
        <f t="shared" si="149"/>
        <v>238000</v>
      </c>
    </row>
    <row r="976" spans="1:19" x14ac:dyDescent="0.3">
      <c r="A976" s="233">
        <v>5</v>
      </c>
      <c r="B976" s="233" t="s">
        <v>606</v>
      </c>
      <c r="C976" s="233" t="s">
        <v>448</v>
      </c>
      <c r="D976" s="233">
        <v>50192401</v>
      </c>
      <c r="E976" s="285">
        <v>43</v>
      </c>
      <c r="F976" s="233" t="s">
        <v>1520</v>
      </c>
      <c r="G976" s="233" t="s">
        <v>261</v>
      </c>
      <c r="H976" s="162">
        <f t="shared" si="141"/>
        <v>12</v>
      </c>
      <c r="I976" s="143">
        <v>10</v>
      </c>
      <c r="J976" s="233">
        <v>2</v>
      </c>
      <c r="K976" s="224">
        <v>29750</v>
      </c>
      <c r="L976" s="274">
        <v>0.19</v>
      </c>
      <c r="M976" s="206">
        <f t="shared" si="146"/>
        <v>59500</v>
      </c>
      <c r="N976" s="277">
        <v>29750</v>
      </c>
      <c r="O976" s="274">
        <v>0.19</v>
      </c>
      <c r="P976" s="239">
        <f t="shared" si="147"/>
        <v>59500</v>
      </c>
      <c r="Q976" s="5">
        <f t="shared" si="148"/>
        <v>29750</v>
      </c>
      <c r="R976" s="274">
        <v>0.19</v>
      </c>
      <c r="S976" s="5">
        <f t="shared" si="149"/>
        <v>59500</v>
      </c>
    </row>
    <row r="977" spans="1:19" x14ac:dyDescent="0.3">
      <c r="A977" s="138">
        <v>5</v>
      </c>
      <c r="B977" s="269" t="s">
        <v>608</v>
      </c>
      <c r="C977" s="269" t="s">
        <v>448</v>
      </c>
      <c r="D977" s="269">
        <v>50221303</v>
      </c>
      <c r="E977" s="162">
        <v>44</v>
      </c>
      <c r="F977" s="146" t="s">
        <v>1521</v>
      </c>
      <c r="G977" s="141" t="s">
        <v>261</v>
      </c>
      <c r="H977" s="162">
        <f t="shared" si="141"/>
        <v>12</v>
      </c>
      <c r="I977" s="143">
        <v>10</v>
      </c>
      <c r="J977" s="138">
        <v>2</v>
      </c>
      <c r="K977" s="224">
        <v>17850</v>
      </c>
      <c r="L977" s="274">
        <v>0.19</v>
      </c>
      <c r="M977" s="206">
        <f t="shared" si="146"/>
        <v>35700</v>
      </c>
      <c r="N977" s="277">
        <v>17850</v>
      </c>
      <c r="O977" s="274">
        <v>0.19</v>
      </c>
      <c r="P977" s="239">
        <f t="shared" si="147"/>
        <v>35700</v>
      </c>
      <c r="Q977" s="5">
        <f t="shared" si="148"/>
        <v>17850</v>
      </c>
      <c r="R977" s="274">
        <v>0.19</v>
      </c>
      <c r="S977" s="5">
        <f t="shared" si="149"/>
        <v>35700</v>
      </c>
    </row>
    <row r="978" spans="1:19" x14ac:dyDescent="0.3">
      <c r="A978" s="233">
        <v>5</v>
      </c>
      <c r="B978" s="233" t="s">
        <v>610</v>
      </c>
      <c r="C978" s="233" t="s">
        <v>448</v>
      </c>
      <c r="D978" s="233">
        <v>50192401</v>
      </c>
      <c r="E978" s="162">
        <v>45</v>
      </c>
      <c r="F978" s="233" t="s">
        <v>1522</v>
      </c>
      <c r="G978" s="233" t="s">
        <v>261</v>
      </c>
      <c r="H978" s="162">
        <f t="shared" si="141"/>
        <v>12</v>
      </c>
      <c r="I978" s="143">
        <v>10</v>
      </c>
      <c r="J978" s="233">
        <v>2</v>
      </c>
      <c r="K978" s="224">
        <v>29750</v>
      </c>
      <c r="L978" s="274">
        <v>0.19</v>
      </c>
      <c r="M978" s="206">
        <f t="shared" si="146"/>
        <v>59500</v>
      </c>
      <c r="N978" s="277">
        <v>29750</v>
      </c>
      <c r="O978" s="274">
        <v>0.19</v>
      </c>
      <c r="P978" s="239">
        <f t="shared" si="147"/>
        <v>59500</v>
      </c>
      <c r="Q978" s="5">
        <f t="shared" si="148"/>
        <v>29750</v>
      </c>
      <c r="R978" s="274">
        <v>0.19</v>
      </c>
      <c r="S978" s="5">
        <f t="shared" si="149"/>
        <v>59500</v>
      </c>
    </row>
    <row r="979" spans="1:19" x14ac:dyDescent="0.3">
      <c r="A979" s="233">
        <v>5</v>
      </c>
      <c r="B979" s="233" t="s">
        <v>612</v>
      </c>
      <c r="C979" s="233" t="s">
        <v>448</v>
      </c>
      <c r="D979" s="233">
        <v>50192401</v>
      </c>
      <c r="E979" s="285">
        <v>46</v>
      </c>
      <c r="F979" s="233" t="s">
        <v>1523</v>
      </c>
      <c r="G979" s="233" t="s">
        <v>261</v>
      </c>
      <c r="H979" s="162">
        <f t="shared" si="141"/>
        <v>12</v>
      </c>
      <c r="I979" s="143">
        <v>10</v>
      </c>
      <c r="J979" s="233">
        <v>2</v>
      </c>
      <c r="K979" s="224">
        <v>29750</v>
      </c>
      <c r="L979" s="274">
        <v>0.19</v>
      </c>
      <c r="M979" s="206">
        <f t="shared" si="146"/>
        <v>59500</v>
      </c>
      <c r="N979" s="277">
        <v>29750</v>
      </c>
      <c r="O979" s="274">
        <v>0.19</v>
      </c>
      <c r="P979" s="239">
        <f t="shared" si="147"/>
        <v>59500</v>
      </c>
      <c r="Q979" s="5">
        <f t="shared" si="148"/>
        <v>29750</v>
      </c>
      <c r="R979" s="274">
        <v>0.19</v>
      </c>
      <c r="S979" s="5">
        <f t="shared" si="149"/>
        <v>59500</v>
      </c>
    </row>
    <row r="980" spans="1:19" x14ac:dyDescent="0.3">
      <c r="A980" s="138">
        <v>5</v>
      </c>
      <c r="B980" s="269" t="s">
        <v>614</v>
      </c>
      <c r="C980" s="269" t="s">
        <v>448</v>
      </c>
      <c r="D980" s="269">
        <v>50131700</v>
      </c>
      <c r="E980" s="285">
        <v>47</v>
      </c>
      <c r="F980" s="146" t="s">
        <v>615</v>
      </c>
      <c r="G980" s="141" t="s">
        <v>616</v>
      </c>
      <c r="H980" s="162">
        <f t="shared" si="141"/>
        <v>13</v>
      </c>
      <c r="I980" s="143">
        <v>10</v>
      </c>
      <c r="J980" s="138">
        <v>3</v>
      </c>
      <c r="K980" s="224">
        <v>33320</v>
      </c>
      <c r="L980" s="274">
        <v>0.19</v>
      </c>
      <c r="M980" s="206">
        <f t="shared" si="146"/>
        <v>99960</v>
      </c>
      <c r="N980" s="277">
        <v>33320</v>
      </c>
      <c r="O980" s="274">
        <v>0.19</v>
      </c>
      <c r="P980" s="239">
        <f t="shared" si="147"/>
        <v>99960</v>
      </c>
      <c r="Q980" s="5">
        <f t="shared" si="148"/>
        <v>33320</v>
      </c>
      <c r="R980" s="274">
        <v>0.19</v>
      </c>
      <c r="S980" s="5">
        <f t="shared" si="149"/>
        <v>99960</v>
      </c>
    </row>
    <row r="981" spans="1:19" x14ac:dyDescent="0.3">
      <c r="A981" s="138">
        <v>5</v>
      </c>
      <c r="B981" s="269" t="s">
        <v>620</v>
      </c>
      <c r="C981" s="269" t="s">
        <v>448</v>
      </c>
      <c r="D981" s="269" t="s">
        <v>621</v>
      </c>
      <c r="E981" s="162">
        <v>48</v>
      </c>
      <c r="F981" s="146" t="s">
        <v>1524</v>
      </c>
      <c r="G981" s="141" t="s">
        <v>261</v>
      </c>
      <c r="H981" s="162">
        <f t="shared" si="141"/>
        <v>15</v>
      </c>
      <c r="I981" s="143">
        <v>10</v>
      </c>
      <c r="J981" s="138">
        <v>5</v>
      </c>
      <c r="K981" s="224">
        <v>29750</v>
      </c>
      <c r="L981" s="274">
        <v>0.19</v>
      </c>
      <c r="M981" s="206">
        <f t="shared" si="146"/>
        <v>148750</v>
      </c>
      <c r="N981" s="277">
        <v>29750</v>
      </c>
      <c r="O981" s="274">
        <v>0.19</v>
      </c>
      <c r="P981" s="239">
        <f t="shared" si="147"/>
        <v>148750</v>
      </c>
      <c r="Q981" s="5">
        <f t="shared" si="148"/>
        <v>29750</v>
      </c>
      <c r="R981" s="274">
        <v>0.19</v>
      </c>
      <c r="S981" s="5">
        <f t="shared" si="149"/>
        <v>148750</v>
      </c>
    </row>
    <row r="982" spans="1:19" x14ac:dyDescent="0.3">
      <c r="A982" s="138">
        <v>5</v>
      </c>
      <c r="B982" s="269" t="s">
        <v>625</v>
      </c>
      <c r="C982" s="269" t="s">
        <v>448</v>
      </c>
      <c r="D982" s="269">
        <v>50151513</v>
      </c>
      <c r="E982" s="162">
        <v>49</v>
      </c>
      <c r="F982" s="146" t="s">
        <v>1525</v>
      </c>
      <c r="G982" s="141" t="s">
        <v>261</v>
      </c>
      <c r="H982" s="162">
        <f t="shared" si="141"/>
        <v>25</v>
      </c>
      <c r="I982" s="143">
        <v>10</v>
      </c>
      <c r="J982" s="138">
        <v>15</v>
      </c>
      <c r="K982" s="224">
        <v>17850</v>
      </c>
      <c r="L982" s="274">
        <v>0.19</v>
      </c>
      <c r="M982" s="206">
        <f t="shared" si="146"/>
        <v>267750</v>
      </c>
      <c r="N982" s="277">
        <v>17850</v>
      </c>
      <c r="O982" s="274">
        <v>0.19</v>
      </c>
      <c r="P982" s="239">
        <f t="shared" si="147"/>
        <v>267750</v>
      </c>
      <c r="Q982" s="5">
        <f t="shared" si="148"/>
        <v>17850</v>
      </c>
      <c r="R982" s="274">
        <v>0.19</v>
      </c>
      <c r="S982" s="5">
        <f t="shared" si="149"/>
        <v>267750</v>
      </c>
    </row>
    <row r="983" spans="1:19" x14ac:dyDescent="0.3">
      <c r="A983" s="138">
        <v>5</v>
      </c>
      <c r="B983" s="269" t="s">
        <v>630</v>
      </c>
      <c r="C983" s="269" t="s">
        <v>448</v>
      </c>
      <c r="D983" s="269">
        <v>50181709</v>
      </c>
      <c r="E983" s="285">
        <v>50</v>
      </c>
      <c r="F983" s="146" t="s">
        <v>1526</v>
      </c>
      <c r="G983" s="141" t="s">
        <v>261</v>
      </c>
      <c r="H983" s="162">
        <f t="shared" si="141"/>
        <v>11</v>
      </c>
      <c r="I983" s="143">
        <v>10</v>
      </c>
      <c r="J983" s="138">
        <v>1</v>
      </c>
      <c r="K983" s="224">
        <v>13090</v>
      </c>
      <c r="L983" s="274">
        <v>0.19</v>
      </c>
      <c r="M983" s="206">
        <f t="shared" si="146"/>
        <v>13090</v>
      </c>
      <c r="N983" s="277">
        <v>13090</v>
      </c>
      <c r="O983" s="274">
        <v>0.19</v>
      </c>
      <c r="P983" s="239">
        <f t="shared" si="147"/>
        <v>13090</v>
      </c>
      <c r="Q983" s="5">
        <f t="shared" si="148"/>
        <v>13090</v>
      </c>
      <c r="R983" s="274">
        <v>0.19</v>
      </c>
      <c r="S983" s="5">
        <f t="shared" si="149"/>
        <v>13090</v>
      </c>
    </row>
    <row r="984" spans="1:19" x14ac:dyDescent="0.3">
      <c r="A984" s="138">
        <v>5</v>
      </c>
      <c r="B984" s="269" t="s">
        <v>632</v>
      </c>
      <c r="C984" s="269" t="s">
        <v>448</v>
      </c>
      <c r="D984" s="269">
        <v>50192110</v>
      </c>
      <c r="E984" s="285">
        <v>51</v>
      </c>
      <c r="F984" s="146" t="s">
        <v>1527</v>
      </c>
      <c r="G984" s="141" t="s">
        <v>594</v>
      </c>
      <c r="H984" s="162">
        <f t="shared" si="141"/>
        <v>11</v>
      </c>
      <c r="I984" s="143">
        <v>10</v>
      </c>
      <c r="J984" s="138">
        <v>1</v>
      </c>
      <c r="K984" s="224">
        <v>154700</v>
      </c>
      <c r="L984" s="274">
        <v>0.19</v>
      </c>
      <c r="M984" s="206">
        <f t="shared" si="146"/>
        <v>154700</v>
      </c>
      <c r="N984" s="277">
        <v>154700</v>
      </c>
      <c r="O984" s="274">
        <v>0.19</v>
      </c>
      <c r="P984" s="239">
        <f t="shared" si="147"/>
        <v>154700</v>
      </c>
      <c r="Q984" s="5">
        <f t="shared" si="148"/>
        <v>154700</v>
      </c>
      <c r="R984" s="274">
        <v>0.19</v>
      </c>
      <c r="S984" s="5">
        <f t="shared" si="149"/>
        <v>154700</v>
      </c>
    </row>
    <row r="985" spans="1:19" x14ac:dyDescent="0.3">
      <c r="A985" s="138">
        <v>5</v>
      </c>
      <c r="B985" s="269" t="s">
        <v>634</v>
      </c>
      <c r="C985" s="269" t="s">
        <v>448</v>
      </c>
      <c r="D985" s="269">
        <v>50181709</v>
      </c>
      <c r="E985" s="162">
        <v>52</v>
      </c>
      <c r="F985" s="146" t="s">
        <v>1528</v>
      </c>
      <c r="G985" s="141" t="s">
        <v>261</v>
      </c>
      <c r="H985" s="162">
        <f t="shared" si="141"/>
        <v>11</v>
      </c>
      <c r="I985" s="143">
        <v>10</v>
      </c>
      <c r="J985" s="138">
        <v>1</v>
      </c>
      <c r="K985" s="224">
        <v>8925</v>
      </c>
      <c r="L985" s="274">
        <v>0.19</v>
      </c>
      <c r="M985" s="206">
        <f t="shared" si="146"/>
        <v>8925</v>
      </c>
      <c r="N985" s="277">
        <v>8925</v>
      </c>
      <c r="O985" s="274">
        <v>0.19</v>
      </c>
      <c r="P985" s="239">
        <f t="shared" si="147"/>
        <v>8925</v>
      </c>
      <c r="Q985" s="5">
        <f t="shared" si="148"/>
        <v>8925</v>
      </c>
      <c r="R985" s="274">
        <v>0.19</v>
      </c>
      <c r="S985" s="5">
        <f t="shared" si="149"/>
        <v>8925</v>
      </c>
    </row>
    <row r="986" spans="1:19" x14ac:dyDescent="0.3">
      <c r="A986" s="233">
        <v>5</v>
      </c>
      <c r="B986" s="233" t="s">
        <v>636</v>
      </c>
      <c r="C986" s="233" t="s">
        <v>448</v>
      </c>
      <c r="D986" s="233">
        <v>50192401</v>
      </c>
      <c r="E986" s="162">
        <v>53</v>
      </c>
      <c r="F986" s="233" t="s">
        <v>1529</v>
      </c>
      <c r="G986" s="233" t="s">
        <v>638</v>
      </c>
      <c r="H986" s="162">
        <f t="shared" si="141"/>
        <v>13</v>
      </c>
      <c r="I986" s="143">
        <v>10</v>
      </c>
      <c r="J986" s="233">
        <v>3</v>
      </c>
      <c r="K986" s="224">
        <v>21420</v>
      </c>
      <c r="L986" s="274">
        <v>0.19</v>
      </c>
      <c r="M986" s="206">
        <f t="shared" si="146"/>
        <v>64260</v>
      </c>
      <c r="N986" s="277">
        <v>21420</v>
      </c>
      <c r="O986" s="274">
        <v>0.19</v>
      </c>
      <c r="P986" s="239">
        <f t="shared" si="147"/>
        <v>64260</v>
      </c>
      <c r="Q986" s="5">
        <f t="shared" si="148"/>
        <v>21420</v>
      </c>
      <c r="R986" s="274">
        <v>0.19</v>
      </c>
      <c r="S986" s="5">
        <f t="shared" si="149"/>
        <v>64260</v>
      </c>
    </row>
    <row r="987" spans="1:19" x14ac:dyDescent="0.3">
      <c r="A987" s="138">
        <v>5</v>
      </c>
      <c r="B987" s="269" t="s">
        <v>639</v>
      </c>
      <c r="C987" s="269" t="s">
        <v>448</v>
      </c>
      <c r="D987" s="269">
        <v>50171551</v>
      </c>
      <c r="E987" s="285">
        <v>54</v>
      </c>
      <c r="F987" s="146" t="s">
        <v>1530</v>
      </c>
      <c r="G987" s="141" t="s">
        <v>261</v>
      </c>
      <c r="H987" s="162">
        <f t="shared" si="141"/>
        <v>15</v>
      </c>
      <c r="I987" s="143">
        <v>10</v>
      </c>
      <c r="J987" s="138">
        <v>5</v>
      </c>
      <c r="K987" s="224">
        <v>3094</v>
      </c>
      <c r="L987" s="274">
        <v>0.19</v>
      </c>
      <c r="M987" s="206">
        <f t="shared" si="146"/>
        <v>15470</v>
      </c>
      <c r="N987" s="277">
        <v>3094</v>
      </c>
      <c r="O987" s="274">
        <v>0.19</v>
      </c>
      <c r="P987" s="239">
        <f t="shared" si="147"/>
        <v>15470</v>
      </c>
      <c r="Q987" s="5">
        <f t="shared" si="148"/>
        <v>3094</v>
      </c>
      <c r="R987" s="274">
        <v>0.19</v>
      </c>
      <c r="S987" s="5">
        <f t="shared" si="149"/>
        <v>15470</v>
      </c>
    </row>
    <row r="988" spans="1:19" x14ac:dyDescent="0.3">
      <c r="A988" s="138">
        <v>5</v>
      </c>
      <c r="B988" s="269" t="s">
        <v>641</v>
      </c>
      <c r="C988" s="269" t="s">
        <v>448</v>
      </c>
      <c r="D988" s="269">
        <v>10151817</v>
      </c>
      <c r="E988" s="285">
        <v>55</v>
      </c>
      <c r="F988" s="146" t="s">
        <v>1531</v>
      </c>
      <c r="G988" s="141" t="s">
        <v>261</v>
      </c>
      <c r="H988" s="162">
        <f t="shared" si="141"/>
        <v>11</v>
      </c>
      <c r="I988" s="143">
        <v>10</v>
      </c>
      <c r="J988" s="138">
        <v>1</v>
      </c>
      <c r="K988" s="224">
        <v>53550</v>
      </c>
      <c r="L988" s="274">
        <v>0.19</v>
      </c>
      <c r="M988" s="206">
        <f t="shared" si="146"/>
        <v>53550</v>
      </c>
      <c r="N988" s="277">
        <v>53550</v>
      </c>
      <c r="O988" s="274">
        <v>0.19</v>
      </c>
      <c r="P988" s="239">
        <f t="shared" si="147"/>
        <v>53550</v>
      </c>
      <c r="Q988" s="5">
        <f t="shared" si="148"/>
        <v>53550</v>
      </c>
      <c r="R988" s="274">
        <v>0.19</v>
      </c>
      <c r="S988" s="5">
        <f t="shared" si="149"/>
        <v>53550</v>
      </c>
    </row>
    <row r="989" spans="1:19" ht="27.6" x14ac:dyDescent="0.3">
      <c r="A989" s="138">
        <v>5</v>
      </c>
      <c r="B989" s="269" t="s">
        <v>652</v>
      </c>
      <c r="C989" s="269" t="s">
        <v>448</v>
      </c>
      <c r="D989" s="269">
        <v>50151513</v>
      </c>
      <c r="E989" s="162">
        <v>56</v>
      </c>
      <c r="F989" s="144" t="s">
        <v>653</v>
      </c>
      <c r="G989" s="141" t="s">
        <v>654</v>
      </c>
      <c r="H989" s="162">
        <f t="shared" si="141"/>
        <v>13</v>
      </c>
      <c r="I989" s="143">
        <v>10</v>
      </c>
      <c r="J989" s="138">
        <v>3</v>
      </c>
      <c r="K989" s="276">
        <v>46410</v>
      </c>
      <c r="L989" s="274">
        <v>0.19</v>
      </c>
      <c r="M989" s="206">
        <f t="shared" si="146"/>
        <v>139230</v>
      </c>
      <c r="N989" s="278">
        <v>46410</v>
      </c>
      <c r="O989" s="274">
        <v>0.19</v>
      </c>
      <c r="P989" s="239">
        <f t="shared" si="147"/>
        <v>139230</v>
      </c>
      <c r="Q989" s="5">
        <f t="shared" si="148"/>
        <v>46410</v>
      </c>
      <c r="R989" s="274">
        <v>0.19</v>
      </c>
      <c r="S989" s="5">
        <f t="shared" si="149"/>
        <v>139230</v>
      </c>
    </row>
    <row r="990" spans="1:19" x14ac:dyDescent="0.3">
      <c r="A990" s="233">
        <v>5</v>
      </c>
      <c r="B990" s="269" t="s">
        <v>655</v>
      </c>
      <c r="C990" s="269" t="s">
        <v>448</v>
      </c>
      <c r="D990" s="269" t="s">
        <v>656</v>
      </c>
      <c r="E990" s="162">
        <v>57</v>
      </c>
      <c r="F990" s="271" t="s">
        <v>1532</v>
      </c>
      <c r="G990" s="219" t="s">
        <v>594</v>
      </c>
      <c r="H990" s="162">
        <f t="shared" si="141"/>
        <v>11</v>
      </c>
      <c r="I990" s="143">
        <v>10</v>
      </c>
      <c r="J990" s="219">
        <v>1</v>
      </c>
      <c r="K990" s="224">
        <v>59500</v>
      </c>
      <c r="L990" s="274">
        <v>0.19</v>
      </c>
      <c r="M990" s="206">
        <f t="shared" si="146"/>
        <v>59500</v>
      </c>
      <c r="N990" s="277">
        <v>59500</v>
      </c>
      <c r="O990" s="274">
        <v>0.19</v>
      </c>
      <c r="P990" s="239">
        <f t="shared" si="147"/>
        <v>59500</v>
      </c>
      <c r="Q990" s="5">
        <f t="shared" si="148"/>
        <v>59500</v>
      </c>
      <c r="R990" s="274">
        <v>0.19</v>
      </c>
      <c r="S990" s="5">
        <f t="shared" si="149"/>
        <v>59500</v>
      </c>
    </row>
    <row r="991" spans="1:19" x14ac:dyDescent="0.3">
      <c r="A991" s="269">
        <v>5</v>
      </c>
      <c r="B991" s="269">
        <v>236667</v>
      </c>
      <c r="C991" s="269">
        <v>150192904</v>
      </c>
      <c r="D991" s="269">
        <v>50161509</v>
      </c>
      <c r="E991" s="285">
        <v>58</v>
      </c>
      <c r="F991" s="146" t="s">
        <v>1533</v>
      </c>
      <c r="G991" s="141" t="s">
        <v>261</v>
      </c>
      <c r="H991" s="162">
        <f t="shared" si="141"/>
        <v>60</v>
      </c>
      <c r="I991" s="143">
        <v>10</v>
      </c>
      <c r="J991" s="138">
        <v>50</v>
      </c>
      <c r="K991" s="224">
        <v>7140</v>
      </c>
      <c r="L991" s="274">
        <v>0.19</v>
      </c>
      <c r="M991" s="206">
        <f t="shared" si="146"/>
        <v>357000</v>
      </c>
      <c r="N991" s="277">
        <v>7140</v>
      </c>
      <c r="O991" s="274">
        <v>0.19</v>
      </c>
      <c r="P991" s="239">
        <f t="shared" si="147"/>
        <v>357000</v>
      </c>
      <c r="Q991" s="5">
        <f t="shared" si="148"/>
        <v>7140</v>
      </c>
      <c r="R991" s="274">
        <v>0.19</v>
      </c>
      <c r="S991" s="5">
        <f t="shared" si="149"/>
        <v>357000</v>
      </c>
    </row>
    <row r="992" spans="1:19" x14ac:dyDescent="0.3">
      <c r="A992" s="138">
        <v>5</v>
      </c>
      <c r="B992" s="269" t="s">
        <v>659</v>
      </c>
      <c r="C992" s="269" t="s">
        <v>448</v>
      </c>
      <c r="D992" s="269">
        <v>50181709</v>
      </c>
      <c r="E992" s="285">
        <v>59</v>
      </c>
      <c r="F992" s="146" t="s">
        <v>1534</v>
      </c>
      <c r="G992" s="141" t="s">
        <v>261</v>
      </c>
      <c r="H992" s="162">
        <f t="shared" si="141"/>
        <v>11</v>
      </c>
      <c r="I992" s="143">
        <v>10</v>
      </c>
      <c r="J992" s="138">
        <v>1</v>
      </c>
      <c r="K992" s="224">
        <v>7140</v>
      </c>
      <c r="L992" s="274">
        <v>0.19</v>
      </c>
      <c r="M992" s="206">
        <f t="shared" si="146"/>
        <v>7140</v>
      </c>
      <c r="N992" s="277">
        <v>7140</v>
      </c>
      <c r="O992" s="274">
        <v>0.19</v>
      </c>
      <c r="P992" s="239">
        <f t="shared" si="147"/>
        <v>7140</v>
      </c>
      <c r="Q992" s="5">
        <f t="shared" si="148"/>
        <v>7140</v>
      </c>
      <c r="R992" s="274">
        <v>0.19</v>
      </c>
      <c r="S992" s="5">
        <f t="shared" si="149"/>
        <v>7140</v>
      </c>
    </row>
    <row r="993" spans="1:19" ht="27.6" x14ac:dyDescent="0.3">
      <c r="A993" s="138">
        <v>5</v>
      </c>
      <c r="B993" s="269" t="s">
        <v>671</v>
      </c>
      <c r="C993" s="269" t="s">
        <v>672</v>
      </c>
      <c r="D993" s="272">
        <v>31181701</v>
      </c>
      <c r="E993" s="162">
        <v>60</v>
      </c>
      <c r="F993" s="148" t="s">
        <v>1535</v>
      </c>
      <c r="G993" s="141" t="s">
        <v>674</v>
      </c>
      <c r="H993" s="162">
        <f t="shared" si="141"/>
        <v>11</v>
      </c>
      <c r="I993" s="143">
        <v>10</v>
      </c>
      <c r="J993" s="138">
        <v>1</v>
      </c>
      <c r="K993" s="224">
        <v>17850</v>
      </c>
      <c r="L993" s="274">
        <v>0.19</v>
      </c>
      <c r="M993" s="206">
        <f t="shared" si="146"/>
        <v>17850</v>
      </c>
      <c r="N993" s="277">
        <v>17850</v>
      </c>
      <c r="O993" s="274">
        <v>0.19</v>
      </c>
      <c r="P993" s="239">
        <f t="shared" si="147"/>
        <v>17850</v>
      </c>
      <c r="Q993" s="5">
        <f t="shared" si="148"/>
        <v>17850</v>
      </c>
      <c r="R993" s="274">
        <v>0.19</v>
      </c>
      <c r="S993" s="5">
        <f t="shared" si="149"/>
        <v>17850</v>
      </c>
    </row>
    <row r="994" spans="1:19" x14ac:dyDescent="0.3">
      <c r="A994" s="138">
        <v>5</v>
      </c>
      <c r="B994" s="269" t="s">
        <v>675</v>
      </c>
      <c r="C994" s="269" t="s">
        <v>448</v>
      </c>
      <c r="D994" s="269">
        <v>12171504</v>
      </c>
      <c r="E994" s="162">
        <v>61</v>
      </c>
      <c r="F994" s="146" t="s">
        <v>676</v>
      </c>
      <c r="G994" s="141" t="s">
        <v>677</v>
      </c>
      <c r="H994" s="162">
        <f t="shared" si="141"/>
        <v>11</v>
      </c>
      <c r="I994" s="143">
        <v>10</v>
      </c>
      <c r="J994" s="138">
        <v>1</v>
      </c>
      <c r="K994" s="224">
        <v>23800</v>
      </c>
      <c r="L994" s="274">
        <v>0.19</v>
      </c>
      <c r="M994" s="206">
        <f t="shared" si="146"/>
        <v>23800</v>
      </c>
      <c r="N994" s="277">
        <v>23800</v>
      </c>
      <c r="O994" s="274">
        <v>0.19</v>
      </c>
      <c r="P994" s="239">
        <f t="shared" si="147"/>
        <v>23800</v>
      </c>
      <c r="Q994" s="5">
        <f t="shared" si="148"/>
        <v>23800</v>
      </c>
      <c r="R994" s="274">
        <v>0.19</v>
      </c>
      <c r="S994" s="5">
        <f t="shared" si="149"/>
        <v>23800</v>
      </c>
    </row>
    <row r="995" spans="1:19" x14ac:dyDescent="0.3">
      <c r="A995" s="138">
        <v>5</v>
      </c>
      <c r="B995" s="269" t="s">
        <v>270</v>
      </c>
      <c r="C995" s="269" t="s">
        <v>482</v>
      </c>
      <c r="D995" s="269">
        <v>50111514</v>
      </c>
      <c r="E995" s="285">
        <v>62</v>
      </c>
      <c r="F995" s="146" t="s">
        <v>1536</v>
      </c>
      <c r="G995" s="141" t="s">
        <v>261</v>
      </c>
      <c r="H995" s="162">
        <f t="shared" si="141"/>
        <v>20</v>
      </c>
      <c r="I995" s="143">
        <v>10</v>
      </c>
      <c r="J995" s="138">
        <v>10</v>
      </c>
      <c r="K995" s="224">
        <v>21420</v>
      </c>
      <c r="L995" s="274">
        <v>0.19</v>
      </c>
      <c r="M995" s="206">
        <f t="shared" si="146"/>
        <v>214200</v>
      </c>
      <c r="N995" s="277">
        <v>21420</v>
      </c>
      <c r="O995" s="274">
        <v>0.19</v>
      </c>
      <c r="P995" s="239">
        <f t="shared" si="147"/>
        <v>214200</v>
      </c>
      <c r="Q995" s="5">
        <f t="shared" si="148"/>
        <v>21420</v>
      </c>
      <c r="R995" s="274">
        <v>0.19</v>
      </c>
      <c r="S995" s="5">
        <f t="shared" si="149"/>
        <v>214200</v>
      </c>
    </row>
    <row r="996" spans="1:19" ht="27.6" x14ac:dyDescent="0.3">
      <c r="A996" s="138">
        <v>5</v>
      </c>
      <c r="B996" s="269" t="s">
        <v>679</v>
      </c>
      <c r="C996" s="269" t="s">
        <v>448</v>
      </c>
      <c r="D996" s="269">
        <v>50130000</v>
      </c>
      <c r="E996" s="285">
        <v>63</v>
      </c>
      <c r="F996" s="142" t="s">
        <v>1537</v>
      </c>
      <c r="G996" s="141" t="s">
        <v>134</v>
      </c>
      <c r="H996" s="162">
        <f t="shared" si="141"/>
        <v>30</v>
      </c>
      <c r="I996" s="143">
        <v>10</v>
      </c>
      <c r="J996" s="138">
        <v>20</v>
      </c>
      <c r="K996" s="224">
        <v>26180</v>
      </c>
      <c r="L996" s="274">
        <v>0.19</v>
      </c>
      <c r="M996" s="206">
        <f t="shared" si="146"/>
        <v>523600</v>
      </c>
      <c r="N996" s="277">
        <v>26180</v>
      </c>
      <c r="O996" s="274">
        <v>0.19</v>
      </c>
      <c r="P996" s="239">
        <f t="shared" si="147"/>
        <v>523600</v>
      </c>
      <c r="Q996" s="5">
        <f t="shared" si="148"/>
        <v>26180</v>
      </c>
      <c r="R996" s="274">
        <v>0.19</v>
      </c>
      <c r="S996" s="5">
        <f t="shared" si="149"/>
        <v>523600</v>
      </c>
    </row>
    <row r="997" spans="1:19" ht="27.6" x14ac:dyDescent="0.3">
      <c r="A997" s="138">
        <v>5</v>
      </c>
      <c r="B997" s="269" t="s">
        <v>686</v>
      </c>
      <c r="C997" s="269" t="s">
        <v>448</v>
      </c>
      <c r="D997" s="269">
        <v>50192401</v>
      </c>
      <c r="E997" s="162">
        <v>64</v>
      </c>
      <c r="F997" s="142" t="s">
        <v>1538</v>
      </c>
      <c r="G997" s="141" t="s">
        <v>688</v>
      </c>
      <c r="H997" s="162">
        <f t="shared" si="141"/>
        <v>20</v>
      </c>
      <c r="I997" s="143">
        <v>10</v>
      </c>
      <c r="J997" s="138">
        <v>10</v>
      </c>
      <c r="K997" s="224">
        <v>17850</v>
      </c>
      <c r="L997" s="274">
        <v>0.19</v>
      </c>
      <c r="M997" s="206">
        <f t="shared" si="146"/>
        <v>178500</v>
      </c>
      <c r="N997" s="277">
        <v>17850</v>
      </c>
      <c r="O997" s="274">
        <v>0.19</v>
      </c>
      <c r="P997" s="239">
        <f t="shared" si="147"/>
        <v>178500</v>
      </c>
      <c r="Q997" s="5">
        <f t="shared" si="148"/>
        <v>17850</v>
      </c>
      <c r="R997" s="274">
        <v>0.19</v>
      </c>
      <c r="S997" s="5">
        <f t="shared" si="149"/>
        <v>178500</v>
      </c>
    </row>
    <row r="998" spans="1:19" x14ac:dyDescent="0.3">
      <c r="A998" s="138">
        <v>5</v>
      </c>
      <c r="B998" s="269" t="s">
        <v>693</v>
      </c>
      <c r="C998" s="269" t="s">
        <v>426</v>
      </c>
      <c r="D998" s="269">
        <v>12164502</v>
      </c>
      <c r="E998" s="162">
        <v>65</v>
      </c>
      <c r="F998" s="146" t="s">
        <v>1539</v>
      </c>
      <c r="G998" s="141" t="s">
        <v>1540</v>
      </c>
      <c r="H998" s="162">
        <f t="shared" si="141"/>
        <v>11</v>
      </c>
      <c r="I998" s="143">
        <v>10</v>
      </c>
      <c r="J998" s="138">
        <v>1</v>
      </c>
      <c r="K998" s="224">
        <v>19040</v>
      </c>
      <c r="L998" s="274">
        <v>0.19</v>
      </c>
      <c r="M998" s="206">
        <f t="shared" si="146"/>
        <v>19040</v>
      </c>
      <c r="N998" s="277">
        <v>19040</v>
      </c>
      <c r="O998" s="274">
        <v>0.19</v>
      </c>
      <c r="P998" s="239">
        <f t="shared" si="147"/>
        <v>19040</v>
      </c>
      <c r="Q998" s="5">
        <f t="shared" si="148"/>
        <v>19040</v>
      </c>
      <c r="R998" s="274">
        <v>0.19</v>
      </c>
      <c r="S998" s="5">
        <f t="shared" si="149"/>
        <v>19040</v>
      </c>
    </row>
    <row r="999" spans="1:19" x14ac:dyDescent="0.3">
      <c r="A999" s="138">
        <v>5</v>
      </c>
      <c r="B999" s="269" t="s">
        <v>697</v>
      </c>
      <c r="C999" s="269" t="s">
        <v>426</v>
      </c>
      <c r="D999" s="269">
        <v>12164502</v>
      </c>
      <c r="E999" s="285">
        <v>66</v>
      </c>
      <c r="F999" s="146" t="s">
        <v>1541</v>
      </c>
      <c r="G999" s="141" t="s">
        <v>1542</v>
      </c>
      <c r="H999" s="162">
        <f t="shared" ref="H999:H1062" si="150">I999+J999</f>
        <v>11</v>
      </c>
      <c r="I999" s="143">
        <v>10</v>
      </c>
      <c r="J999" s="138">
        <v>1</v>
      </c>
      <c r="K999" s="224">
        <v>19040</v>
      </c>
      <c r="L999" s="274">
        <v>0.19</v>
      </c>
      <c r="M999" s="206">
        <f t="shared" si="146"/>
        <v>19040</v>
      </c>
      <c r="N999" s="277">
        <v>19040</v>
      </c>
      <c r="O999" s="274">
        <v>0.19</v>
      </c>
      <c r="P999" s="239">
        <f t="shared" si="147"/>
        <v>19040</v>
      </c>
      <c r="Q999" s="5">
        <f t="shared" si="148"/>
        <v>19040</v>
      </c>
      <c r="R999" s="274">
        <v>0.19</v>
      </c>
      <c r="S999" s="5">
        <f t="shared" si="149"/>
        <v>19040</v>
      </c>
    </row>
    <row r="1000" spans="1:19" x14ac:dyDescent="0.3">
      <c r="A1000" s="138">
        <v>5</v>
      </c>
      <c r="B1000" s="269" t="s">
        <v>699</v>
      </c>
      <c r="C1000" s="269" t="s">
        <v>426</v>
      </c>
      <c r="D1000" s="269">
        <v>12164502</v>
      </c>
      <c r="E1000" s="285">
        <v>67</v>
      </c>
      <c r="F1000" s="146" t="s">
        <v>1543</v>
      </c>
      <c r="G1000" s="141" t="s">
        <v>1540</v>
      </c>
      <c r="H1000" s="162">
        <f t="shared" si="150"/>
        <v>11</v>
      </c>
      <c r="I1000" s="143">
        <v>10</v>
      </c>
      <c r="J1000" s="138">
        <v>1</v>
      </c>
      <c r="K1000" s="224">
        <v>19040</v>
      </c>
      <c r="L1000" s="274">
        <v>0.19</v>
      </c>
      <c r="M1000" s="206">
        <f t="shared" si="146"/>
        <v>19040</v>
      </c>
      <c r="N1000" s="277">
        <v>19040</v>
      </c>
      <c r="O1000" s="274">
        <v>0.19</v>
      </c>
      <c r="P1000" s="239">
        <f t="shared" si="147"/>
        <v>19040</v>
      </c>
      <c r="Q1000" s="5">
        <f t="shared" si="148"/>
        <v>19040</v>
      </c>
      <c r="R1000" s="274">
        <v>0.19</v>
      </c>
      <c r="S1000" s="5">
        <f t="shared" si="149"/>
        <v>19040</v>
      </c>
    </row>
    <row r="1001" spans="1:19" x14ac:dyDescent="0.3">
      <c r="A1001" s="138">
        <v>5</v>
      </c>
      <c r="B1001" s="269" t="s">
        <v>701</v>
      </c>
      <c r="C1001" s="269" t="s">
        <v>426</v>
      </c>
      <c r="D1001" s="269">
        <v>12164502</v>
      </c>
      <c r="E1001" s="162">
        <v>68</v>
      </c>
      <c r="F1001" s="146" t="s">
        <v>1544</v>
      </c>
      <c r="G1001" s="141" t="s">
        <v>1540</v>
      </c>
      <c r="H1001" s="162">
        <f t="shared" si="150"/>
        <v>11</v>
      </c>
      <c r="I1001" s="143">
        <v>10</v>
      </c>
      <c r="J1001" s="138">
        <v>1</v>
      </c>
      <c r="K1001" s="224">
        <v>19040</v>
      </c>
      <c r="L1001" s="274">
        <v>0.19</v>
      </c>
      <c r="M1001" s="206">
        <f t="shared" si="146"/>
        <v>19040</v>
      </c>
      <c r="N1001" s="277">
        <v>19040</v>
      </c>
      <c r="O1001" s="274">
        <v>0.19</v>
      </c>
      <c r="P1001" s="239">
        <f t="shared" si="147"/>
        <v>19040</v>
      </c>
      <c r="Q1001" s="5">
        <f t="shared" si="148"/>
        <v>19040</v>
      </c>
      <c r="R1001" s="274">
        <v>0.19</v>
      </c>
      <c r="S1001" s="5">
        <f t="shared" si="149"/>
        <v>19040</v>
      </c>
    </row>
    <row r="1002" spans="1:19" x14ac:dyDescent="0.3">
      <c r="A1002" s="138">
        <v>5</v>
      </c>
      <c r="B1002" s="235" t="s">
        <v>703</v>
      </c>
      <c r="C1002" s="235" t="s">
        <v>704</v>
      </c>
      <c r="D1002" s="272">
        <v>47121803</v>
      </c>
      <c r="E1002" s="162">
        <v>69</v>
      </c>
      <c r="F1002" s="271" t="s">
        <v>705</v>
      </c>
      <c r="G1002" s="141" t="s">
        <v>706</v>
      </c>
      <c r="H1002" s="162">
        <f t="shared" si="150"/>
        <v>12</v>
      </c>
      <c r="I1002" s="143">
        <v>10</v>
      </c>
      <c r="J1002" s="138">
        <v>2</v>
      </c>
      <c r="K1002" s="224">
        <v>47600</v>
      </c>
      <c r="L1002" s="274">
        <v>0.19</v>
      </c>
      <c r="M1002" s="206">
        <f t="shared" si="146"/>
        <v>95200</v>
      </c>
      <c r="N1002" s="277">
        <v>47600</v>
      </c>
      <c r="O1002" s="274">
        <v>0.19</v>
      </c>
      <c r="P1002" s="239">
        <f t="shared" si="147"/>
        <v>95200</v>
      </c>
      <c r="Q1002" s="5">
        <f t="shared" si="148"/>
        <v>47600</v>
      </c>
      <c r="R1002" s="274">
        <v>0.19</v>
      </c>
      <c r="S1002" s="5">
        <f t="shared" si="149"/>
        <v>95200</v>
      </c>
    </row>
    <row r="1003" spans="1:19" x14ac:dyDescent="0.3">
      <c r="A1003" s="138">
        <v>5</v>
      </c>
      <c r="B1003" s="269" t="s">
        <v>707</v>
      </c>
      <c r="C1003" s="269" t="s">
        <v>448</v>
      </c>
      <c r="D1003" s="269">
        <v>50320000</v>
      </c>
      <c r="E1003" s="285">
        <v>70</v>
      </c>
      <c r="F1003" s="146" t="s">
        <v>708</v>
      </c>
      <c r="G1003" s="141" t="s">
        <v>586</v>
      </c>
      <c r="H1003" s="162">
        <f t="shared" si="150"/>
        <v>12</v>
      </c>
      <c r="I1003" s="143">
        <v>10</v>
      </c>
      <c r="J1003" s="138">
        <v>2</v>
      </c>
      <c r="K1003" s="224">
        <v>13090</v>
      </c>
      <c r="L1003" s="274">
        <v>0.19</v>
      </c>
      <c r="M1003" s="206">
        <f t="shared" si="146"/>
        <v>26180</v>
      </c>
      <c r="N1003" s="277">
        <v>17850</v>
      </c>
      <c r="O1003" s="274">
        <v>0.19</v>
      </c>
      <c r="P1003" s="239">
        <f t="shared" si="147"/>
        <v>35700</v>
      </c>
      <c r="Q1003" s="5">
        <f t="shared" si="148"/>
        <v>15470</v>
      </c>
      <c r="R1003" s="274">
        <v>0.19</v>
      </c>
      <c r="S1003" s="5">
        <f t="shared" si="149"/>
        <v>30940</v>
      </c>
    </row>
    <row r="1004" spans="1:19" ht="27.6" x14ac:dyDescent="0.3">
      <c r="A1004" s="138">
        <v>5</v>
      </c>
      <c r="B1004" s="269" t="s">
        <v>715</v>
      </c>
      <c r="C1004" s="269" t="s">
        <v>448</v>
      </c>
      <c r="D1004" s="269">
        <v>50221002</v>
      </c>
      <c r="E1004" s="285">
        <v>71</v>
      </c>
      <c r="F1004" s="142" t="s">
        <v>1545</v>
      </c>
      <c r="G1004" s="141" t="s">
        <v>594</v>
      </c>
      <c r="H1004" s="162">
        <f t="shared" si="150"/>
        <v>50</v>
      </c>
      <c r="I1004" s="143">
        <v>10</v>
      </c>
      <c r="J1004" s="138">
        <v>40</v>
      </c>
      <c r="K1004" s="224">
        <v>6962</v>
      </c>
      <c r="L1004" s="274">
        <v>0.19</v>
      </c>
      <c r="M1004" s="206">
        <f t="shared" si="146"/>
        <v>278480</v>
      </c>
      <c r="N1004" s="277">
        <v>8330</v>
      </c>
      <c r="O1004" s="274">
        <v>0.19</v>
      </c>
      <c r="P1004" s="239">
        <f t="shared" si="147"/>
        <v>333200</v>
      </c>
      <c r="Q1004" s="5">
        <f t="shared" si="148"/>
        <v>7646</v>
      </c>
      <c r="R1004" s="274">
        <v>0.19</v>
      </c>
      <c r="S1004" s="5">
        <f t="shared" si="149"/>
        <v>305840</v>
      </c>
    </row>
    <row r="1005" spans="1:19" ht="27.6" x14ac:dyDescent="0.3">
      <c r="A1005" s="138">
        <v>5</v>
      </c>
      <c r="B1005" s="269" t="s">
        <v>717</v>
      </c>
      <c r="C1005" s="269" t="s">
        <v>718</v>
      </c>
      <c r="D1005" s="272">
        <v>47131807</v>
      </c>
      <c r="E1005" s="162">
        <v>72</v>
      </c>
      <c r="F1005" s="223" t="s">
        <v>719</v>
      </c>
      <c r="G1005" s="141" t="s">
        <v>720</v>
      </c>
      <c r="H1005" s="162">
        <f t="shared" si="150"/>
        <v>12</v>
      </c>
      <c r="I1005" s="143">
        <v>10</v>
      </c>
      <c r="J1005" s="138">
        <v>2</v>
      </c>
      <c r="K1005" s="224">
        <v>29750</v>
      </c>
      <c r="L1005" s="274">
        <v>0.19</v>
      </c>
      <c r="M1005" s="206">
        <f t="shared" si="146"/>
        <v>59500</v>
      </c>
      <c r="N1005" s="277">
        <v>29750</v>
      </c>
      <c r="O1005" s="274">
        <v>0.19</v>
      </c>
      <c r="P1005" s="239">
        <f t="shared" si="147"/>
        <v>59500</v>
      </c>
      <c r="Q1005" s="5">
        <f t="shared" si="148"/>
        <v>29750</v>
      </c>
      <c r="R1005" s="274">
        <v>0.19</v>
      </c>
      <c r="S1005" s="5">
        <f t="shared" si="149"/>
        <v>59500</v>
      </c>
    </row>
    <row r="1006" spans="1:19" x14ac:dyDescent="0.3">
      <c r="A1006" s="138">
        <v>5</v>
      </c>
      <c r="B1006" s="269" t="s">
        <v>721</v>
      </c>
      <c r="C1006" s="269" t="s">
        <v>722</v>
      </c>
      <c r="D1006" s="269" t="s">
        <v>723</v>
      </c>
      <c r="E1006" s="162">
        <v>73</v>
      </c>
      <c r="F1006" s="146" t="s">
        <v>1546</v>
      </c>
      <c r="G1006" s="141" t="s">
        <v>1547</v>
      </c>
      <c r="H1006" s="162">
        <f t="shared" si="150"/>
        <v>40</v>
      </c>
      <c r="I1006" s="143">
        <v>10</v>
      </c>
      <c r="J1006" s="138">
        <v>30</v>
      </c>
      <c r="K1006" s="224">
        <v>23205</v>
      </c>
      <c r="L1006" s="274">
        <v>0.19</v>
      </c>
      <c r="M1006" s="206">
        <f t="shared" si="146"/>
        <v>696150</v>
      </c>
      <c r="N1006" s="277">
        <v>29750</v>
      </c>
      <c r="O1006" s="274">
        <v>0.19</v>
      </c>
      <c r="P1006" s="239">
        <f t="shared" si="147"/>
        <v>892500</v>
      </c>
      <c r="Q1006" s="5">
        <f t="shared" si="148"/>
        <v>26477.5</v>
      </c>
      <c r="R1006" s="274">
        <v>0.19</v>
      </c>
      <c r="S1006" s="5">
        <f t="shared" si="149"/>
        <v>794325</v>
      </c>
    </row>
    <row r="1007" spans="1:19" x14ac:dyDescent="0.3">
      <c r="A1007" s="138">
        <v>5</v>
      </c>
      <c r="B1007" s="269" t="s">
        <v>1548</v>
      </c>
      <c r="C1007" s="269" t="s">
        <v>980</v>
      </c>
      <c r="D1007" s="139">
        <v>50131706</v>
      </c>
      <c r="E1007" s="285">
        <v>74</v>
      </c>
      <c r="F1007" s="146" t="s">
        <v>1549</v>
      </c>
      <c r="G1007" s="141" t="s">
        <v>134</v>
      </c>
      <c r="H1007" s="162">
        <f t="shared" si="150"/>
        <v>25</v>
      </c>
      <c r="I1007" s="143">
        <v>10</v>
      </c>
      <c r="J1007" s="138">
        <v>15</v>
      </c>
      <c r="K1007" s="224">
        <v>5355</v>
      </c>
      <c r="L1007" s="274">
        <v>0.19</v>
      </c>
      <c r="M1007" s="206">
        <f t="shared" si="146"/>
        <v>80325</v>
      </c>
      <c r="N1007" s="277">
        <v>5712</v>
      </c>
      <c r="O1007" s="274">
        <v>0.19</v>
      </c>
      <c r="P1007" s="239">
        <f t="shared" si="147"/>
        <v>85680</v>
      </c>
      <c r="Q1007" s="5">
        <f t="shared" si="148"/>
        <v>5533.5</v>
      </c>
      <c r="R1007" s="274">
        <v>0.19</v>
      </c>
      <c r="S1007" s="5">
        <f t="shared" si="149"/>
        <v>83002.5</v>
      </c>
    </row>
    <row r="1008" spans="1:19" x14ac:dyDescent="0.3">
      <c r="A1008" s="146">
        <v>5</v>
      </c>
      <c r="B1008" s="146" t="s">
        <v>1550</v>
      </c>
      <c r="C1008" s="146" t="s">
        <v>448</v>
      </c>
      <c r="D1008" s="146">
        <v>50171831</v>
      </c>
      <c r="E1008" s="285">
        <v>75</v>
      </c>
      <c r="F1008" s="146" t="s">
        <v>1551</v>
      </c>
      <c r="G1008" s="146" t="s">
        <v>384</v>
      </c>
      <c r="H1008" s="162">
        <f t="shared" si="150"/>
        <v>12</v>
      </c>
      <c r="I1008" s="143">
        <v>10</v>
      </c>
      <c r="J1008" s="146">
        <v>2</v>
      </c>
      <c r="K1008" s="224">
        <v>12000</v>
      </c>
      <c r="L1008" s="274">
        <v>0.19</v>
      </c>
      <c r="M1008" s="206">
        <f t="shared" si="146"/>
        <v>24000</v>
      </c>
      <c r="N1008" s="277">
        <v>8330</v>
      </c>
      <c r="O1008" s="274">
        <v>0.19</v>
      </c>
      <c r="P1008" s="239">
        <f t="shared" si="147"/>
        <v>16660</v>
      </c>
      <c r="Q1008" s="5">
        <f t="shared" si="148"/>
        <v>10165</v>
      </c>
      <c r="R1008" s="274">
        <v>0.19</v>
      </c>
      <c r="S1008" s="5">
        <f t="shared" si="149"/>
        <v>20330</v>
      </c>
    </row>
    <row r="1009" spans="1:19" x14ac:dyDescent="0.3">
      <c r="A1009" s="146">
        <v>5</v>
      </c>
      <c r="B1009" s="146" t="s">
        <v>1552</v>
      </c>
      <c r="C1009" s="146" t="s">
        <v>448</v>
      </c>
      <c r="D1009" s="146">
        <v>50171831</v>
      </c>
      <c r="E1009" s="162">
        <v>76</v>
      </c>
      <c r="F1009" s="146" t="s">
        <v>1553</v>
      </c>
      <c r="G1009" s="146" t="s">
        <v>1554</v>
      </c>
      <c r="H1009" s="162">
        <f t="shared" si="150"/>
        <v>12</v>
      </c>
      <c r="I1009" s="143">
        <v>10</v>
      </c>
      <c r="J1009" s="146">
        <v>2</v>
      </c>
      <c r="K1009" s="224">
        <v>18000</v>
      </c>
      <c r="L1009" s="274">
        <v>0.19</v>
      </c>
      <c r="M1009" s="206">
        <f t="shared" si="146"/>
        <v>36000</v>
      </c>
      <c r="N1009" s="277">
        <v>12495</v>
      </c>
      <c r="O1009" s="274">
        <v>0.19</v>
      </c>
      <c r="P1009" s="239">
        <f t="shared" si="147"/>
        <v>24990</v>
      </c>
      <c r="Q1009" s="5">
        <f t="shared" si="148"/>
        <v>15247.5</v>
      </c>
      <c r="R1009" s="274">
        <v>0.19</v>
      </c>
      <c r="S1009" s="5">
        <f t="shared" si="149"/>
        <v>30495</v>
      </c>
    </row>
    <row r="1010" spans="1:19" x14ac:dyDescent="0.3">
      <c r="A1010" s="146">
        <v>5</v>
      </c>
      <c r="B1010" s="146" t="s">
        <v>1555</v>
      </c>
      <c r="C1010" s="146" t="s">
        <v>448</v>
      </c>
      <c r="D1010" s="146">
        <v>50404101</v>
      </c>
      <c r="E1010" s="162">
        <v>77</v>
      </c>
      <c r="F1010" s="146" t="s">
        <v>1556</v>
      </c>
      <c r="G1010" s="146" t="s">
        <v>261</v>
      </c>
      <c r="H1010" s="162">
        <f t="shared" si="150"/>
        <v>12</v>
      </c>
      <c r="I1010" s="143">
        <v>10</v>
      </c>
      <c r="J1010" s="146">
        <v>2</v>
      </c>
      <c r="K1010" s="224">
        <v>50000</v>
      </c>
      <c r="L1010" s="274">
        <v>0.19</v>
      </c>
      <c r="M1010" s="206">
        <f t="shared" ref="M1010:M1042" si="151">K1010*J1010</f>
        <v>100000</v>
      </c>
      <c r="N1010" s="277">
        <v>38080</v>
      </c>
      <c r="O1010" s="274">
        <v>0.19</v>
      </c>
      <c r="P1010" s="239">
        <f t="shared" ref="P1010:P1042" si="152">N1010*J1010</f>
        <v>76160</v>
      </c>
      <c r="Q1010" s="5">
        <f t="shared" ref="Q1010:Q1042" si="153">SUM(K1010+N1010)/2</f>
        <v>44040</v>
      </c>
      <c r="R1010" s="274">
        <v>0.19</v>
      </c>
      <c r="S1010" s="5">
        <f t="shared" ref="S1010:S1042" si="154">Q1010*J1010</f>
        <v>88080</v>
      </c>
    </row>
    <row r="1011" spans="1:19" x14ac:dyDescent="0.3">
      <c r="A1011" s="146">
        <v>5</v>
      </c>
      <c r="B1011" s="146" t="s">
        <v>1557</v>
      </c>
      <c r="C1011" s="146" t="s">
        <v>448</v>
      </c>
      <c r="D1011" s="146">
        <v>50192901</v>
      </c>
      <c r="E1011" s="285">
        <v>78</v>
      </c>
      <c r="F1011" s="146" t="s">
        <v>1558</v>
      </c>
      <c r="G1011" s="146" t="s">
        <v>384</v>
      </c>
      <c r="H1011" s="162">
        <f t="shared" si="150"/>
        <v>13</v>
      </c>
      <c r="I1011" s="143">
        <v>10</v>
      </c>
      <c r="J1011" s="146">
        <v>3</v>
      </c>
      <c r="K1011" s="224">
        <v>6000</v>
      </c>
      <c r="L1011" s="274">
        <v>0.19</v>
      </c>
      <c r="M1011" s="206">
        <f t="shared" si="151"/>
        <v>18000</v>
      </c>
      <c r="N1011" s="277">
        <v>4760</v>
      </c>
      <c r="O1011" s="274">
        <v>0.19</v>
      </c>
      <c r="P1011" s="239">
        <f t="shared" si="152"/>
        <v>14280</v>
      </c>
      <c r="Q1011" s="5">
        <f t="shared" si="153"/>
        <v>5380</v>
      </c>
      <c r="R1011" s="274">
        <v>0.19</v>
      </c>
      <c r="S1011" s="5">
        <f t="shared" si="154"/>
        <v>16140</v>
      </c>
    </row>
    <row r="1012" spans="1:19" x14ac:dyDescent="0.3">
      <c r="A1012" s="146">
        <v>5</v>
      </c>
      <c r="B1012" s="146" t="s">
        <v>1559</v>
      </c>
      <c r="C1012" s="146" t="s">
        <v>448</v>
      </c>
      <c r="D1012" s="146">
        <v>50424124</v>
      </c>
      <c r="E1012" s="285">
        <v>79</v>
      </c>
      <c r="F1012" s="146" t="s">
        <v>1560</v>
      </c>
      <c r="G1012" s="146" t="s">
        <v>594</v>
      </c>
      <c r="H1012" s="162">
        <f t="shared" si="150"/>
        <v>12</v>
      </c>
      <c r="I1012" s="143">
        <v>10</v>
      </c>
      <c r="J1012" s="146">
        <v>2</v>
      </c>
      <c r="K1012" s="224">
        <v>13578</v>
      </c>
      <c r="L1012" s="274">
        <v>0.19</v>
      </c>
      <c r="M1012" s="206">
        <f t="shared" si="151"/>
        <v>27156</v>
      </c>
      <c r="N1012" s="277">
        <v>8330</v>
      </c>
      <c r="O1012" s="274">
        <v>0.19</v>
      </c>
      <c r="P1012" s="239">
        <f t="shared" si="152"/>
        <v>16660</v>
      </c>
      <c r="Q1012" s="5">
        <f t="shared" si="153"/>
        <v>10954</v>
      </c>
      <c r="R1012" s="274">
        <v>0.19</v>
      </c>
      <c r="S1012" s="5">
        <f t="shared" si="154"/>
        <v>21908</v>
      </c>
    </row>
    <row r="1013" spans="1:19" x14ac:dyDescent="0.3">
      <c r="A1013" s="146">
        <v>5</v>
      </c>
      <c r="B1013" s="146" t="s">
        <v>1561</v>
      </c>
      <c r="C1013" s="146" t="s">
        <v>448</v>
      </c>
      <c r="D1013" s="146">
        <v>50426818</v>
      </c>
      <c r="E1013" s="162">
        <v>80</v>
      </c>
      <c r="F1013" s="146" t="s">
        <v>1562</v>
      </c>
      <c r="G1013" s="146" t="s">
        <v>594</v>
      </c>
      <c r="H1013" s="162">
        <f t="shared" si="150"/>
        <v>12</v>
      </c>
      <c r="I1013" s="143">
        <v>10</v>
      </c>
      <c r="J1013" s="146">
        <v>2</v>
      </c>
      <c r="K1013" s="224">
        <v>16000</v>
      </c>
      <c r="L1013" s="274">
        <v>0.19</v>
      </c>
      <c r="M1013" s="206">
        <f t="shared" si="151"/>
        <v>32000</v>
      </c>
      <c r="N1013" s="277">
        <v>10591</v>
      </c>
      <c r="O1013" s="274">
        <v>0.19</v>
      </c>
      <c r="P1013" s="239">
        <f t="shared" si="152"/>
        <v>21182</v>
      </c>
      <c r="Q1013" s="5">
        <f t="shared" si="153"/>
        <v>13295.5</v>
      </c>
      <c r="R1013" s="274">
        <v>0.19</v>
      </c>
      <c r="S1013" s="5">
        <f t="shared" si="154"/>
        <v>26591</v>
      </c>
    </row>
    <row r="1014" spans="1:19" x14ac:dyDescent="0.3">
      <c r="A1014" s="146">
        <v>5</v>
      </c>
      <c r="B1014" s="146" t="s">
        <v>305</v>
      </c>
      <c r="C1014" s="146" t="s">
        <v>448</v>
      </c>
      <c r="D1014" s="146">
        <v>50404500</v>
      </c>
      <c r="E1014" s="162">
        <v>81</v>
      </c>
      <c r="F1014" s="146" t="s">
        <v>1563</v>
      </c>
      <c r="G1014" s="146" t="s">
        <v>594</v>
      </c>
      <c r="H1014" s="162">
        <f t="shared" si="150"/>
        <v>12</v>
      </c>
      <c r="I1014" s="143">
        <v>10</v>
      </c>
      <c r="J1014" s="146">
        <v>2</v>
      </c>
      <c r="K1014" s="224">
        <v>6000</v>
      </c>
      <c r="L1014" s="274">
        <v>0.19</v>
      </c>
      <c r="M1014" s="206">
        <f t="shared" si="151"/>
        <v>12000</v>
      </c>
      <c r="N1014" s="277">
        <v>4165</v>
      </c>
      <c r="O1014" s="274">
        <v>0.19</v>
      </c>
      <c r="P1014" s="239">
        <f t="shared" si="152"/>
        <v>8330</v>
      </c>
      <c r="Q1014" s="5">
        <f t="shared" si="153"/>
        <v>5082.5</v>
      </c>
      <c r="R1014" s="274">
        <v>0.19</v>
      </c>
      <c r="S1014" s="5">
        <f t="shared" si="154"/>
        <v>10165</v>
      </c>
    </row>
    <row r="1015" spans="1:19" x14ac:dyDescent="0.3">
      <c r="A1015" s="146">
        <v>5</v>
      </c>
      <c r="B1015" s="146" t="s">
        <v>1564</v>
      </c>
      <c r="C1015" s="146" t="s">
        <v>663</v>
      </c>
      <c r="D1015" s="146" t="s">
        <v>1565</v>
      </c>
      <c r="E1015" s="285">
        <v>82</v>
      </c>
      <c r="F1015" s="146" t="s">
        <v>1566</v>
      </c>
      <c r="G1015" s="142" t="s">
        <v>1567</v>
      </c>
      <c r="H1015" s="162">
        <f t="shared" si="150"/>
        <v>11</v>
      </c>
      <c r="I1015" s="143">
        <v>10</v>
      </c>
      <c r="J1015" s="146">
        <v>1</v>
      </c>
      <c r="K1015" s="224">
        <v>25000</v>
      </c>
      <c r="L1015" s="274">
        <v>0.19</v>
      </c>
      <c r="M1015" s="206">
        <f t="shared" si="151"/>
        <v>25000</v>
      </c>
      <c r="N1015" s="277">
        <v>30583</v>
      </c>
      <c r="O1015" s="274">
        <v>0.19</v>
      </c>
      <c r="P1015" s="239">
        <f t="shared" si="152"/>
        <v>30583</v>
      </c>
      <c r="Q1015" s="5">
        <f t="shared" si="153"/>
        <v>27791.5</v>
      </c>
      <c r="R1015" s="274">
        <v>0.19</v>
      </c>
      <c r="S1015" s="5">
        <f t="shared" si="154"/>
        <v>27791.5</v>
      </c>
    </row>
    <row r="1016" spans="1:19" x14ac:dyDescent="0.3">
      <c r="A1016" s="146">
        <v>5</v>
      </c>
      <c r="B1016" s="146" t="s">
        <v>1564</v>
      </c>
      <c r="C1016" s="146" t="s">
        <v>663</v>
      </c>
      <c r="D1016" s="146" t="s">
        <v>1565</v>
      </c>
      <c r="E1016" s="285">
        <v>83</v>
      </c>
      <c r="F1016" s="146" t="s">
        <v>1568</v>
      </c>
      <c r="G1016" s="142" t="s">
        <v>1567</v>
      </c>
      <c r="H1016" s="162">
        <f t="shared" si="150"/>
        <v>11</v>
      </c>
      <c r="I1016" s="143">
        <v>10</v>
      </c>
      <c r="J1016" s="146">
        <v>1</v>
      </c>
      <c r="K1016" s="224">
        <v>25000</v>
      </c>
      <c r="L1016" s="274">
        <v>0.19</v>
      </c>
      <c r="M1016" s="206">
        <f t="shared" si="151"/>
        <v>25000</v>
      </c>
      <c r="N1016" s="277">
        <v>30583</v>
      </c>
      <c r="O1016" s="274">
        <v>0.19</v>
      </c>
      <c r="P1016" s="239">
        <f t="shared" si="152"/>
        <v>30583</v>
      </c>
      <c r="Q1016" s="5">
        <f t="shared" si="153"/>
        <v>27791.5</v>
      </c>
      <c r="R1016" s="274">
        <v>0.19</v>
      </c>
      <c r="S1016" s="5">
        <f t="shared" si="154"/>
        <v>27791.5</v>
      </c>
    </row>
    <row r="1017" spans="1:19" x14ac:dyDescent="0.3">
      <c r="A1017" s="146">
        <v>5</v>
      </c>
      <c r="B1017" s="146" t="s">
        <v>666</v>
      </c>
      <c r="C1017" s="146" t="s">
        <v>663</v>
      </c>
      <c r="D1017" s="146">
        <v>24111514</v>
      </c>
      <c r="E1017" s="162">
        <v>84</v>
      </c>
      <c r="F1017" s="146" t="s">
        <v>1569</v>
      </c>
      <c r="G1017" s="142" t="s">
        <v>1570</v>
      </c>
      <c r="H1017" s="162">
        <f t="shared" si="150"/>
        <v>11</v>
      </c>
      <c r="I1017" s="143">
        <v>10</v>
      </c>
      <c r="J1017" s="146">
        <v>1</v>
      </c>
      <c r="K1017" s="224">
        <v>25000</v>
      </c>
      <c r="L1017" s="274">
        <v>0.19</v>
      </c>
      <c r="M1017" s="206">
        <f t="shared" si="151"/>
        <v>25000</v>
      </c>
      <c r="N1017" s="277">
        <v>30583</v>
      </c>
      <c r="O1017" s="274">
        <v>0.19</v>
      </c>
      <c r="P1017" s="239">
        <f t="shared" si="152"/>
        <v>30583</v>
      </c>
      <c r="Q1017" s="5">
        <f t="shared" si="153"/>
        <v>27791.5</v>
      </c>
      <c r="R1017" s="274">
        <v>0.19</v>
      </c>
      <c r="S1017" s="5">
        <f t="shared" si="154"/>
        <v>27791.5</v>
      </c>
    </row>
    <row r="1018" spans="1:19" x14ac:dyDescent="0.3">
      <c r="A1018" s="146">
        <v>5</v>
      </c>
      <c r="B1018" s="146" t="s">
        <v>1571</v>
      </c>
      <c r="C1018" s="146" t="s">
        <v>663</v>
      </c>
      <c r="D1018" s="146">
        <v>24111503</v>
      </c>
      <c r="E1018" s="162">
        <v>85</v>
      </c>
      <c r="F1018" s="146" t="s">
        <v>1572</v>
      </c>
      <c r="G1018" s="142" t="s">
        <v>1570</v>
      </c>
      <c r="H1018" s="162">
        <f t="shared" si="150"/>
        <v>11</v>
      </c>
      <c r="I1018" s="143">
        <v>10</v>
      </c>
      <c r="J1018" s="146">
        <v>1</v>
      </c>
      <c r="K1018" s="224">
        <v>25000</v>
      </c>
      <c r="L1018" s="274">
        <v>0.19</v>
      </c>
      <c r="M1018" s="206">
        <f t="shared" si="151"/>
        <v>25000</v>
      </c>
      <c r="N1018" s="277">
        <v>30583</v>
      </c>
      <c r="O1018" s="274">
        <v>0.19</v>
      </c>
      <c r="P1018" s="239">
        <f t="shared" si="152"/>
        <v>30583</v>
      </c>
      <c r="Q1018" s="5">
        <f t="shared" si="153"/>
        <v>27791.5</v>
      </c>
      <c r="R1018" s="274">
        <v>0.19</v>
      </c>
      <c r="S1018" s="5">
        <f t="shared" si="154"/>
        <v>27791.5</v>
      </c>
    </row>
    <row r="1019" spans="1:19" x14ac:dyDescent="0.3">
      <c r="A1019" s="146">
        <v>5</v>
      </c>
      <c r="B1019" s="146" t="s">
        <v>662</v>
      </c>
      <c r="C1019" s="146" t="s">
        <v>663</v>
      </c>
      <c r="D1019" s="146">
        <v>24111503</v>
      </c>
      <c r="E1019" s="285">
        <v>86</v>
      </c>
      <c r="F1019" s="146" t="s">
        <v>1573</v>
      </c>
      <c r="G1019" s="142" t="s">
        <v>1570</v>
      </c>
      <c r="H1019" s="162">
        <f t="shared" si="150"/>
        <v>11</v>
      </c>
      <c r="I1019" s="143">
        <v>10</v>
      </c>
      <c r="J1019" s="146">
        <v>1</v>
      </c>
      <c r="K1019" s="224">
        <v>25000</v>
      </c>
      <c r="L1019" s="274">
        <v>0.19</v>
      </c>
      <c r="M1019" s="206">
        <f t="shared" si="151"/>
        <v>25000</v>
      </c>
      <c r="N1019" s="277">
        <v>30583</v>
      </c>
      <c r="O1019" s="274">
        <v>0.19</v>
      </c>
      <c r="P1019" s="239">
        <f t="shared" si="152"/>
        <v>30583</v>
      </c>
      <c r="Q1019" s="5">
        <f t="shared" si="153"/>
        <v>27791.5</v>
      </c>
      <c r="R1019" s="274">
        <v>0.19</v>
      </c>
      <c r="S1019" s="5">
        <f t="shared" si="154"/>
        <v>27791.5</v>
      </c>
    </row>
    <row r="1020" spans="1:19" x14ac:dyDescent="0.3">
      <c r="A1020" s="146">
        <v>5</v>
      </c>
      <c r="B1020" s="146" t="s">
        <v>1574</v>
      </c>
      <c r="C1020" s="146" t="s">
        <v>1497</v>
      </c>
      <c r="D1020" s="146">
        <v>55121506</v>
      </c>
      <c r="E1020" s="285">
        <v>87</v>
      </c>
      <c r="F1020" s="146" t="s">
        <v>1575</v>
      </c>
      <c r="G1020" s="146" t="s">
        <v>1576</v>
      </c>
      <c r="H1020" s="162">
        <f t="shared" si="150"/>
        <v>12</v>
      </c>
      <c r="I1020" s="143">
        <v>10</v>
      </c>
      <c r="J1020" s="146">
        <v>2</v>
      </c>
      <c r="K1020" s="224">
        <v>10000</v>
      </c>
      <c r="L1020" s="274">
        <v>0.19</v>
      </c>
      <c r="M1020" s="206">
        <f t="shared" si="151"/>
        <v>20000</v>
      </c>
      <c r="N1020" s="277">
        <v>6664</v>
      </c>
      <c r="O1020" s="274">
        <v>0.19</v>
      </c>
      <c r="P1020" s="239">
        <f t="shared" si="152"/>
        <v>13328</v>
      </c>
      <c r="Q1020" s="5">
        <f t="shared" si="153"/>
        <v>8332</v>
      </c>
      <c r="R1020" s="274">
        <v>0.19</v>
      </c>
      <c r="S1020" s="5">
        <f t="shared" si="154"/>
        <v>16664</v>
      </c>
    </row>
    <row r="1021" spans="1:19" x14ac:dyDescent="0.3">
      <c r="A1021" s="138">
        <v>5</v>
      </c>
      <c r="B1021" s="146" t="s">
        <v>1577</v>
      </c>
      <c r="C1021" s="146" t="s">
        <v>1578</v>
      </c>
      <c r="D1021" s="146" t="s">
        <v>1579</v>
      </c>
      <c r="E1021" s="162">
        <v>88</v>
      </c>
      <c r="F1021" s="146" t="s">
        <v>1580</v>
      </c>
      <c r="G1021" s="141" t="s">
        <v>594</v>
      </c>
      <c r="H1021" s="162">
        <f t="shared" si="150"/>
        <v>15</v>
      </c>
      <c r="I1021" s="143">
        <v>10</v>
      </c>
      <c r="J1021" s="138">
        <v>5</v>
      </c>
      <c r="K1021" s="224">
        <v>5950</v>
      </c>
      <c r="L1021" s="274">
        <v>0.19</v>
      </c>
      <c r="M1021" s="206">
        <f t="shared" si="151"/>
        <v>29750</v>
      </c>
      <c r="N1021" s="277">
        <v>6188</v>
      </c>
      <c r="O1021" s="274">
        <v>0.19</v>
      </c>
      <c r="P1021" s="239">
        <f t="shared" si="152"/>
        <v>30940</v>
      </c>
      <c r="Q1021" s="5">
        <f t="shared" si="153"/>
        <v>6069</v>
      </c>
      <c r="R1021" s="274">
        <v>0.19</v>
      </c>
      <c r="S1021" s="5">
        <f t="shared" si="154"/>
        <v>30345</v>
      </c>
    </row>
    <row r="1022" spans="1:19" x14ac:dyDescent="0.3">
      <c r="A1022" s="138">
        <v>5</v>
      </c>
      <c r="B1022" s="146" t="s">
        <v>1581</v>
      </c>
      <c r="C1022" s="146" t="s">
        <v>1578</v>
      </c>
      <c r="D1022" s="146" t="s">
        <v>1582</v>
      </c>
      <c r="E1022" s="162">
        <v>89</v>
      </c>
      <c r="F1022" s="146" t="s">
        <v>1583</v>
      </c>
      <c r="G1022" s="141" t="s">
        <v>594</v>
      </c>
      <c r="H1022" s="162">
        <f t="shared" si="150"/>
        <v>15</v>
      </c>
      <c r="I1022" s="143">
        <v>10</v>
      </c>
      <c r="J1022" s="138">
        <v>5</v>
      </c>
      <c r="K1022" s="224">
        <v>6545</v>
      </c>
      <c r="L1022" s="274">
        <v>0.19</v>
      </c>
      <c r="M1022" s="206">
        <f t="shared" si="151"/>
        <v>32725</v>
      </c>
      <c r="N1022" s="277">
        <v>6902</v>
      </c>
      <c r="O1022" s="274">
        <v>0.19</v>
      </c>
      <c r="P1022" s="239">
        <f t="shared" si="152"/>
        <v>34510</v>
      </c>
      <c r="Q1022" s="5">
        <f t="shared" si="153"/>
        <v>6723.5</v>
      </c>
      <c r="R1022" s="274">
        <v>0.19</v>
      </c>
      <c r="S1022" s="5">
        <f t="shared" si="154"/>
        <v>33617.5</v>
      </c>
    </row>
    <row r="1023" spans="1:19" x14ac:dyDescent="0.3">
      <c r="A1023" s="138">
        <v>5</v>
      </c>
      <c r="B1023" s="146" t="s">
        <v>1584</v>
      </c>
      <c r="C1023" s="146" t="s">
        <v>1578</v>
      </c>
      <c r="D1023" s="146" t="s">
        <v>1585</v>
      </c>
      <c r="E1023" s="285">
        <v>90</v>
      </c>
      <c r="F1023" s="146" t="s">
        <v>1586</v>
      </c>
      <c r="G1023" s="141" t="s">
        <v>594</v>
      </c>
      <c r="H1023" s="162">
        <f t="shared" si="150"/>
        <v>11</v>
      </c>
      <c r="I1023" s="143">
        <v>10</v>
      </c>
      <c r="J1023" s="138">
        <v>1</v>
      </c>
      <c r="K1023" s="224">
        <v>17850</v>
      </c>
      <c r="L1023" s="274">
        <v>0.19</v>
      </c>
      <c r="M1023" s="206">
        <f t="shared" si="151"/>
        <v>17850</v>
      </c>
      <c r="N1023" s="277">
        <v>18564</v>
      </c>
      <c r="O1023" s="274">
        <v>0.19</v>
      </c>
      <c r="P1023" s="239">
        <f t="shared" si="152"/>
        <v>18564</v>
      </c>
      <c r="Q1023" s="5">
        <f t="shared" si="153"/>
        <v>18207</v>
      </c>
      <c r="R1023" s="274">
        <v>0.19</v>
      </c>
      <c r="S1023" s="5">
        <f t="shared" si="154"/>
        <v>18207</v>
      </c>
    </row>
    <row r="1024" spans="1:19" x14ac:dyDescent="0.3">
      <c r="A1024" s="138">
        <v>5</v>
      </c>
      <c r="B1024" s="146" t="s">
        <v>1587</v>
      </c>
      <c r="C1024" s="146" t="s">
        <v>1578</v>
      </c>
      <c r="D1024" s="146" t="s">
        <v>1588</v>
      </c>
      <c r="E1024" s="285">
        <v>91</v>
      </c>
      <c r="F1024" s="146" t="s">
        <v>1589</v>
      </c>
      <c r="G1024" s="141" t="s">
        <v>594</v>
      </c>
      <c r="H1024" s="162">
        <f t="shared" si="150"/>
        <v>15</v>
      </c>
      <c r="I1024" s="143">
        <v>10</v>
      </c>
      <c r="J1024" s="138">
        <v>5</v>
      </c>
      <c r="K1024" s="224">
        <v>3570</v>
      </c>
      <c r="L1024" s="274">
        <v>0.19</v>
      </c>
      <c r="M1024" s="206">
        <f t="shared" si="151"/>
        <v>17850</v>
      </c>
      <c r="N1024" s="277">
        <v>4522</v>
      </c>
      <c r="O1024" s="274">
        <v>0.19</v>
      </c>
      <c r="P1024" s="239">
        <f t="shared" si="152"/>
        <v>22610</v>
      </c>
      <c r="Q1024" s="5">
        <f t="shared" si="153"/>
        <v>4046</v>
      </c>
      <c r="R1024" s="274">
        <v>0.19</v>
      </c>
      <c r="S1024" s="5">
        <f t="shared" si="154"/>
        <v>20230</v>
      </c>
    </row>
    <row r="1025" spans="1:19" x14ac:dyDescent="0.3">
      <c r="A1025" s="138">
        <v>5</v>
      </c>
      <c r="B1025" s="146" t="s">
        <v>1590</v>
      </c>
      <c r="C1025" s="146" t="s">
        <v>1578</v>
      </c>
      <c r="D1025" s="146" t="s">
        <v>1591</v>
      </c>
      <c r="E1025" s="162">
        <v>92</v>
      </c>
      <c r="F1025" s="146" t="s">
        <v>1592</v>
      </c>
      <c r="G1025" s="141" t="s">
        <v>594</v>
      </c>
      <c r="H1025" s="162">
        <f t="shared" si="150"/>
        <v>15</v>
      </c>
      <c r="I1025" s="143">
        <v>10</v>
      </c>
      <c r="J1025" s="138">
        <v>5</v>
      </c>
      <c r="K1025" s="224">
        <v>2380</v>
      </c>
      <c r="L1025" s="274">
        <v>0.19</v>
      </c>
      <c r="M1025" s="206">
        <f t="shared" si="151"/>
        <v>11900</v>
      </c>
      <c r="N1025" s="277">
        <v>3451</v>
      </c>
      <c r="O1025" s="274">
        <v>0.19</v>
      </c>
      <c r="P1025" s="239">
        <f t="shared" si="152"/>
        <v>17255</v>
      </c>
      <c r="Q1025" s="5">
        <f t="shared" si="153"/>
        <v>2915.5</v>
      </c>
      <c r="R1025" s="274">
        <v>0.19</v>
      </c>
      <c r="S1025" s="5">
        <f t="shared" si="154"/>
        <v>14577.5</v>
      </c>
    </row>
    <row r="1026" spans="1:19" x14ac:dyDescent="0.3">
      <c r="A1026" s="138">
        <v>5</v>
      </c>
      <c r="B1026" s="146" t="s">
        <v>1593</v>
      </c>
      <c r="C1026" s="146" t="s">
        <v>1578</v>
      </c>
      <c r="D1026" s="146" t="s">
        <v>1594</v>
      </c>
      <c r="E1026" s="162">
        <v>93</v>
      </c>
      <c r="F1026" s="146" t="s">
        <v>1595</v>
      </c>
      <c r="G1026" s="141" t="s">
        <v>594</v>
      </c>
      <c r="H1026" s="162">
        <f t="shared" si="150"/>
        <v>13</v>
      </c>
      <c r="I1026" s="143">
        <v>10</v>
      </c>
      <c r="J1026" s="138">
        <v>3</v>
      </c>
      <c r="K1026" s="224">
        <v>8330</v>
      </c>
      <c r="L1026" s="274">
        <v>0.19</v>
      </c>
      <c r="M1026" s="206">
        <f t="shared" si="151"/>
        <v>24990</v>
      </c>
      <c r="N1026" s="277">
        <v>9282</v>
      </c>
      <c r="O1026" s="274">
        <v>0.19</v>
      </c>
      <c r="P1026" s="239">
        <f t="shared" si="152"/>
        <v>27846</v>
      </c>
      <c r="Q1026" s="5">
        <f t="shared" si="153"/>
        <v>8806</v>
      </c>
      <c r="R1026" s="274">
        <v>0.19</v>
      </c>
      <c r="S1026" s="5">
        <f t="shared" si="154"/>
        <v>26418</v>
      </c>
    </row>
    <row r="1027" spans="1:19" x14ac:dyDescent="0.3">
      <c r="A1027" s="138">
        <v>5</v>
      </c>
      <c r="B1027" s="146" t="s">
        <v>1596</v>
      </c>
      <c r="C1027" s="146" t="s">
        <v>1578</v>
      </c>
      <c r="D1027" s="146" t="s">
        <v>1597</v>
      </c>
      <c r="E1027" s="285">
        <v>94</v>
      </c>
      <c r="F1027" s="146" t="s">
        <v>1598</v>
      </c>
      <c r="G1027" s="141" t="s">
        <v>594</v>
      </c>
      <c r="H1027" s="162">
        <f t="shared" si="150"/>
        <v>15</v>
      </c>
      <c r="I1027" s="143">
        <v>10</v>
      </c>
      <c r="J1027" s="138">
        <v>5</v>
      </c>
      <c r="K1027" s="224">
        <v>21420</v>
      </c>
      <c r="L1027" s="274">
        <v>0.19</v>
      </c>
      <c r="M1027" s="206">
        <f t="shared" si="151"/>
        <v>107100</v>
      </c>
      <c r="N1027" s="277">
        <v>23562</v>
      </c>
      <c r="O1027" s="274">
        <v>0.19</v>
      </c>
      <c r="P1027" s="239">
        <f t="shared" si="152"/>
        <v>117810</v>
      </c>
      <c r="Q1027" s="5">
        <f t="shared" si="153"/>
        <v>22491</v>
      </c>
      <c r="R1027" s="274">
        <v>0.19</v>
      </c>
      <c r="S1027" s="5">
        <f t="shared" si="154"/>
        <v>112455</v>
      </c>
    </row>
    <row r="1028" spans="1:19" x14ac:dyDescent="0.3">
      <c r="A1028" s="138">
        <v>5</v>
      </c>
      <c r="B1028" s="146" t="s">
        <v>1599</v>
      </c>
      <c r="C1028" s="146" t="s">
        <v>1578</v>
      </c>
      <c r="D1028" s="146" t="s">
        <v>1600</v>
      </c>
      <c r="E1028" s="285">
        <v>95</v>
      </c>
      <c r="F1028" s="146" t="s">
        <v>1601</v>
      </c>
      <c r="G1028" s="141" t="s">
        <v>594</v>
      </c>
      <c r="H1028" s="162">
        <f t="shared" si="150"/>
        <v>12</v>
      </c>
      <c r="I1028" s="143">
        <v>10</v>
      </c>
      <c r="J1028" s="138">
        <v>2</v>
      </c>
      <c r="K1028" s="224">
        <v>2975</v>
      </c>
      <c r="L1028" s="274">
        <v>0.19</v>
      </c>
      <c r="M1028" s="206">
        <f t="shared" si="151"/>
        <v>5950</v>
      </c>
      <c r="N1028" s="277">
        <v>3570</v>
      </c>
      <c r="O1028" s="274">
        <v>0.19</v>
      </c>
      <c r="P1028" s="239">
        <f t="shared" si="152"/>
        <v>7140</v>
      </c>
      <c r="Q1028" s="5">
        <f t="shared" si="153"/>
        <v>3272.5</v>
      </c>
      <c r="R1028" s="274">
        <v>0.19</v>
      </c>
      <c r="S1028" s="5">
        <f t="shared" si="154"/>
        <v>6545</v>
      </c>
    </row>
    <row r="1029" spans="1:19" x14ac:dyDescent="0.3">
      <c r="A1029" s="138">
        <v>5</v>
      </c>
      <c r="B1029" s="146" t="s">
        <v>1602</v>
      </c>
      <c r="C1029" s="146" t="s">
        <v>1578</v>
      </c>
      <c r="D1029" s="146" t="s">
        <v>1603</v>
      </c>
      <c r="E1029" s="162">
        <v>96</v>
      </c>
      <c r="F1029" s="146" t="s">
        <v>1604</v>
      </c>
      <c r="G1029" s="141" t="s">
        <v>594</v>
      </c>
      <c r="H1029" s="162">
        <f t="shared" si="150"/>
        <v>15</v>
      </c>
      <c r="I1029" s="143">
        <v>10</v>
      </c>
      <c r="J1029" s="138">
        <v>5</v>
      </c>
      <c r="K1029" s="224">
        <v>4165</v>
      </c>
      <c r="L1029" s="274">
        <v>0.19</v>
      </c>
      <c r="M1029" s="206">
        <f t="shared" si="151"/>
        <v>20825</v>
      </c>
      <c r="N1029" s="277">
        <v>5950</v>
      </c>
      <c r="O1029" s="274">
        <v>0.19</v>
      </c>
      <c r="P1029" s="239">
        <f t="shared" si="152"/>
        <v>29750</v>
      </c>
      <c r="Q1029" s="5">
        <f t="shared" si="153"/>
        <v>5057.5</v>
      </c>
      <c r="R1029" s="274">
        <v>0.19</v>
      </c>
      <c r="S1029" s="5">
        <f t="shared" si="154"/>
        <v>25287.5</v>
      </c>
    </row>
    <row r="1030" spans="1:19" x14ac:dyDescent="0.3">
      <c r="A1030" s="138">
        <v>5</v>
      </c>
      <c r="B1030" s="146" t="s">
        <v>1605</v>
      </c>
      <c r="C1030" s="146" t="s">
        <v>1578</v>
      </c>
      <c r="D1030" s="146" t="s">
        <v>1606</v>
      </c>
      <c r="E1030" s="162">
        <v>97</v>
      </c>
      <c r="F1030" s="146" t="s">
        <v>1607</v>
      </c>
      <c r="G1030" s="141" t="s">
        <v>594</v>
      </c>
      <c r="H1030" s="162">
        <f t="shared" si="150"/>
        <v>15</v>
      </c>
      <c r="I1030" s="143">
        <v>10</v>
      </c>
      <c r="J1030" s="138">
        <v>5</v>
      </c>
      <c r="K1030" s="224">
        <v>3570</v>
      </c>
      <c r="L1030" s="274">
        <v>0.19</v>
      </c>
      <c r="M1030" s="206">
        <f t="shared" si="151"/>
        <v>17850</v>
      </c>
      <c r="N1030" s="277">
        <v>5950</v>
      </c>
      <c r="O1030" s="274">
        <v>0.19</v>
      </c>
      <c r="P1030" s="239">
        <f t="shared" si="152"/>
        <v>29750</v>
      </c>
      <c r="Q1030" s="5">
        <f t="shared" si="153"/>
        <v>4760</v>
      </c>
      <c r="R1030" s="274">
        <v>0.19</v>
      </c>
      <c r="S1030" s="5">
        <f t="shared" si="154"/>
        <v>23800</v>
      </c>
    </row>
    <row r="1031" spans="1:19" x14ac:dyDescent="0.3">
      <c r="A1031" s="138">
        <v>5</v>
      </c>
      <c r="B1031" s="146" t="s">
        <v>1608</v>
      </c>
      <c r="C1031" s="146" t="s">
        <v>1578</v>
      </c>
      <c r="D1031" s="146">
        <v>50405702</v>
      </c>
      <c r="E1031" s="285">
        <v>98</v>
      </c>
      <c r="F1031" s="146" t="s">
        <v>1609</v>
      </c>
      <c r="G1031" s="141" t="s">
        <v>594</v>
      </c>
      <c r="H1031" s="162">
        <f t="shared" si="150"/>
        <v>25</v>
      </c>
      <c r="I1031" s="143">
        <v>10</v>
      </c>
      <c r="J1031" s="138">
        <v>15</v>
      </c>
      <c r="K1031" s="224">
        <v>7140</v>
      </c>
      <c r="L1031" s="274">
        <v>0.19</v>
      </c>
      <c r="M1031" s="206">
        <f t="shared" si="151"/>
        <v>107100</v>
      </c>
      <c r="N1031" s="277">
        <v>7616</v>
      </c>
      <c r="O1031" s="274">
        <v>0.19</v>
      </c>
      <c r="P1031" s="239">
        <f t="shared" si="152"/>
        <v>114240</v>
      </c>
      <c r="Q1031" s="5">
        <f t="shared" si="153"/>
        <v>7378</v>
      </c>
      <c r="R1031" s="274">
        <v>0.19</v>
      </c>
      <c r="S1031" s="5">
        <f t="shared" si="154"/>
        <v>110670</v>
      </c>
    </row>
    <row r="1032" spans="1:19" x14ac:dyDescent="0.3">
      <c r="A1032" s="138">
        <v>5</v>
      </c>
      <c r="B1032" s="146" t="s">
        <v>1610</v>
      </c>
      <c r="C1032" s="146" t="s">
        <v>1578</v>
      </c>
      <c r="D1032" s="146">
        <v>50405706</v>
      </c>
      <c r="E1032" s="285">
        <v>99</v>
      </c>
      <c r="F1032" s="146" t="s">
        <v>1611</v>
      </c>
      <c r="G1032" s="141" t="s">
        <v>594</v>
      </c>
      <c r="H1032" s="162">
        <f t="shared" si="150"/>
        <v>25</v>
      </c>
      <c r="I1032" s="143">
        <v>10</v>
      </c>
      <c r="J1032" s="138">
        <v>15</v>
      </c>
      <c r="K1032" s="224">
        <v>3570</v>
      </c>
      <c r="L1032" s="274">
        <v>0.19</v>
      </c>
      <c r="M1032" s="206">
        <f t="shared" si="151"/>
        <v>53550</v>
      </c>
      <c r="N1032" s="277">
        <v>4165</v>
      </c>
      <c r="O1032" s="274">
        <v>0.19</v>
      </c>
      <c r="P1032" s="239">
        <f t="shared" si="152"/>
        <v>62475</v>
      </c>
      <c r="Q1032" s="5">
        <f t="shared" si="153"/>
        <v>3867.5</v>
      </c>
      <c r="R1032" s="274">
        <v>0.19</v>
      </c>
      <c r="S1032" s="5">
        <f t="shared" si="154"/>
        <v>58012.5</v>
      </c>
    </row>
    <row r="1033" spans="1:19" x14ac:dyDescent="0.3">
      <c r="A1033" s="138">
        <v>5</v>
      </c>
      <c r="B1033" s="146" t="s">
        <v>1612</v>
      </c>
      <c r="C1033" s="146" t="s">
        <v>1578</v>
      </c>
      <c r="D1033" s="146" t="s">
        <v>1588</v>
      </c>
      <c r="E1033" s="162">
        <v>100</v>
      </c>
      <c r="F1033" s="146" t="s">
        <v>1613</v>
      </c>
      <c r="G1033" s="141" t="s">
        <v>594</v>
      </c>
      <c r="H1033" s="162">
        <f t="shared" si="150"/>
        <v>15</v>
      </c>
      <c r="I1033" s="143">
        <v>10</v>
      </c>
      <c r="J1033" s="138">
        <v>5</v>
      </c>
      <c r="K1033" s="224">
        <v>2975</v>
      </c>
      <c r="L1033" s="274">
        <v>0.19</v>
      </c>
      <c r="M1033" s="206">
        <f t="shared" si="151"/>
        <v>14875</v>
      </c>
      <c r="N1033" s="277">
        <v>3332</v>
      </c>
      <c r="O1033" s="274">
        <v>0.19</v>
      </c>
      <c r="P1033" s="239">
        <f t="shared" si="152"/>
        <v>16660</v>
      </c>
      <c r="Q1033" s="5">
        <f t="shared" si="153"/>
        <v>3153.5</v>
      </c>
      <c r="R1033" s="274">
        <v>0.19</v>
      </c>
      <c r="S1033" s="5">
        <f t="shared" si="154"/>
        <v>15767.5</v>
      </c>
    </row>
    <row r="1034" spans="1:19" x14ac:dyDescent="0.3">
      <c r="A1034" s="138">
        <v>5</v>
      </c>
      <c r="B1034" s="146" t="s">
        <v>1614</v>
      </c>
      <c r="C1034" s="146" t="s">
        <v>1578</v>
      </c>
      <c r="D1034" s="146">
        <v>50402501</v>
      </c>
      <c r="E1034" s="162">
        <v>101</v>
      </c>
      <c r="F1034" s="146" t="s">
        <v>1615</v>
      </c>
      <c r="G1034" s="141" t="s">
        <v>594</v>
      </c>
      <c r="H1034" s="162">
        <f t="shared" si="150"/>
        <v>15</v>
      </c>
      <c r="I1034" s="143">
        <v>10</v>
      </c>
      <c r="J1034" s="138">
        <v>5</v>
      </c>
      <c r="K1034" s="224">
        <v>2142</v>
      </c>
      <c r="L1034" s="274">
        <v>0.19</v>
      </c>
      <c r="M1034" s="206">
        <f t="shared" si="151"/>
        <v>10710</v>
      </c>
      <c r="N1034" s="277">
        <v>2975</v>
      </c>
      <c r="O1034" s="274">
        <v>0.19</v>
      </c>
      <c r="P1034" s="239">
        <f t="shared" si="152"/>
        <v>14875</v>
      </c>
      <c r="Q1034" s="5">
        <f t="shared" si="153"/>
        <v>2558.5</v>
      </c>
      <c r="R1034" s="274">
        <v>0.19</v>
      </c>
      <c r="S1034" s="5">
        <f t="shared" si="154"/>
        <v>12792.5</v>
      </c>
    </row>
    <row r="1035" spans="1:19" x14ac:dyDescent="0.3">
      <c r="A1035" s="138">
        <v>5</v>
      </c>
      <c r="B1035" s="146" t="s">
        <v>1616</v>
      </c>
      <c r="C1035" s="146" t="s">
        <v>1578</v>
      </c>
      <c r="D1035" s="146">
        <v>50401847</v>
      </c>
      <c r="E1035" s="285">
        <v>102</v>
      </c>
      <c r="F1035" s="146" t="s">
        <v>1617</v>
      </c>
      <c r="G1035" s="141" t="s">
        <v>594</v>
      </c>
      <c r="H1035" s="162">
        <f t="shared" si="150"/>
        <v>15</v>
      </c>
      <c r="I1035" s="143">
        <v>10</v>
      </c>
      <c r="J1035" s="138">
        <v>5</v>
      </c>
      <c r="K1035" s="224">
        <v>5355</v>
      </c>
      <c r="L1035" s="274">
        <v>0.19</v>
      </c>
      <c r="M1035" s="206">
        <f t="shared" si="151"/>
        <v>26775</v>
      </c>
      <c r="N1035" s="277">
        <v>6426</v>
      </c>
      <c r="O1035" s="274">
        <v>0.19</v>
      </c>
      <c r="P1035" s="239">
        <f t="shared" si="152"/>
        <v>32130</v>
      </c>
      <c r="Q1035" s="5">
        <f t="shared" si="153"/>
        <v>5890.5</v>
      </c>
      <c r="R1035" s="274">
        <v>0.19</v>
      </c>
      <c r="S1035" s="5">
        <f t="shared" si="154"/>
        <v>29452.5</v>
      </c>
    </row>
    <row r="1036" spans="1:19" ht="27.6" x14ac:dyDescent="0.3">
      <c r="A1036" s="138">
        <v>5</v>
      </c>
      <c r="B1036" s="146" t="s">
        <v>1618</v>
      </c>
      <c r="C1036" s="146" t="s">
        <v>1619</v>
      </c>
      <c r="D1036" s="146">
        <v>52151502</v>
      </c>
      <c r="E1036" s="285">
        <v>103</v>
      </c>
      <c r="F1036" s="142" t="s">
        <v>1620</v>
      </c>
      <c r="G1036" s="141" t="s">
        <v>1621</v>
      </c>
      <c r="H1036" s="162">
        <f t="shared" si="150"/>
        <v>25</v>
      </c>
      <c r="I1036" s="143">
        <v>10</v>
      </c>
      <c r="J1036" s="138">
        <v>15</v>
      </c>
      <c r="K1036" s="224">
        <v>30940</v>
      </c>
      <c r="L1036" s="274">
        <v>0.19</v>
      </c>
      <c r="M1036" s="206">
        <f t="shared" si="151"/>
        <v>464100</v>
      </c>
      <c r="N1036" s="277">
        <v>34510</v>
      </c>
      <c r="O1036" s="274">
        <v>0.19</v>
      </c>
      <c r="P1036" s="239">
        <f t="shared" si="152"/>
        <v>517650</v>
      </c>
      <c r="Q1036" s="5">
        <f t="shared" si="153"/>
        <v>32725</v>
      </c>
      <c r="R1036" s="274">
        <v>0.19</v>
      </c>
      <c r="S1036" s="5">
        <f t="shared" si="154"/>
        <v>490875</v>
      </c>
    </row>
    <row r="1037" spans="1:19" x14ac:dyDescent="0.3">
      <c r="A1037" s="138">
        <v>5</v>
      </c>
      <c r="B1037" s="146" t="s">
        <v>1618</v>
      </c>
      <c r="C1037" s="146" t="s">
        <v>1619</v>
      </c>
      <c r="D1037" s="146">
        <v>52151503</v>
      </c>
      <c r="E1037" s="162">
        <v>104</v>
      </c>
      <c r="F1037" s="146" t="s">
        <v>1622</v>
      </c>
      <c r="G1037" s="141" t="s">
        <v>1621</v>
      </c>
      <c r="H1037" s="162">
        <f t="shared" si="150"/>
        <v>25</v>
      </c>
      <c r="I1037" s="143">
        <v>10</v>
      </c>
      <c r="J1037" s="138">
        <v>15</v>
      </c>
      <c r="K1037" s="224">
        <v>23800</v>
      </c>
      <c r="L1037" s="274">
        <v>0.19</v>
      </c>
      <c r="M1037" s="206">
        <f t="shared" si="151"/>
        <v>357000</v>
      </c>
      <c r="N1037" s="277">
        <v>26180</v>
      </c>
      <c r="O1037" s="274">
        <v>0.19</v>
      </c>
      <c r="P1037" s="239">
        <f t="shared" si="152"/>
        <v>392700</v>
      </c>
      <c r="Q1037" s="5">
        <f t="shared" si="153"/>
        <v>24990</v>
      </c>
      <c r="R1037" s="274">
        <v>0.19</v>
      </c>
      <c r="S1037" s="5">
        <f t="shared" si="154"/>
        <v>374850</v>
      </c>
    </row>
    <row r="1038" spans="1:19" ht="27.6" x14ac:dyDescent="0.3">
      <c r="A1038" s="138">
        <v>5</v>
      </c>
      <c r="B1038" s="146" t="s">
        <v>1618</v>
      </c>
      <c r="C1038" s="146" t="s">
        <v>1619</v>
      </c>
      <c r="D1038" s="146">
        <v>52151502</v>
      </c>
      <c r="E1038" s="162">
        <v>105</v>
      </c>
      <c r="F1038" s="142" t="s">
        <v>1623</v>
      </c>
      <c r="G1038" s="141" t="s">
        <v>1621</v>
      </c>
      <c r="H1038" s="162">
        <f t="shared" si="150"/>
        <v>25</v>
      </c>
      <c r="I1038" s="143">
        <v>10</v>
      </c>
      <c r="J1038" s="138">
        <v>15</v>
      </c>
      <c r="K1038" s="224">
        <v>21420</v>
      </c>
      <c r="L1038" s="274">
        <v>0.19</v>
      </c>
      <c r="M1038" s="206">
        <f t="shared" si="151"/>
        <v>321300</v>
      </c>
      <c r="N1038" s="277">
        <v>19000</v>
      </c>
      <c r="O1038" s="274">
        <v>0.19</v>
      </c>
      <c r="P1038" s="239">
        <f t="shared" si="152"/>
        <v>285000</v>
      </c>
      <c r="Q1038" s="5">
        <f t="shared" si="153"/>
        <v>20210</v>
      </c>
      <c r="R1038" s="274">
        <v>0.19</v>
      </c>
      <c r="S1038" s="5">
        <f t="shared" si="154"/>
        <v>303150</v>
      </c>
    </row>
    <row r="1039" spans="1:19" x14ac:dyDescent="0.3">
      <c r="A1039" s="138">
        <v>5</v>
      </c>
      <c r="B1039" s="146" t="s">
        <v>1624</v>
      </c>
      <c r="C1039" s="146" t="s">
        <v>1619</v>
      </c>
      <c r="D1039" s="146" t="s">
        <v>1625</v>
      </c>
      <c r="E1039" s="285">
        <v>106</v>
      </c>
      <c r="F1039" s="146" t="s">
        <v>1626</v>
      </c>
      <c r="G1039" s="141" t="s">
        <v>1621</v>
      </c>
      <c r="H1039" s="162">
        <f t="shared" si="150"/>
        <v>25</v>
      </c>
      <c r="I1039" s="143">
        <v>10</v>
      </c>
      <c r="J1039" s="138">
        <v>15</v>
      </c>
      <c r="K1039" s="224">
        <v>7140</v>
      </c>
      <c r="L1039" s="274">
        <v>0.19</v>
      </c>
      <c r="M1039" s="206">
        <f t="shared" si="151"/>
        <v>107100</v>
      </c>
      <c r="N1039" s="277">
        <v>9044</v>
      </c>
      <c r="O1039" s="274">
        <v>0.19</v>
      </c>
      <c r="P1039" s="239">
        <f t="shared" si="152"/>
        <v>135660</v>
      </c>
      <c r="Q1039" s="5">
        <f t="shared" si="153"/>
        <v>8092</v>
      </c>
      <c r="R1039" s="274">
        <v>0.19</v>
      </c>
      <c r="S1039" s="5">
        <f t="shared" si="154"/>
        <v>121380</v>
      </c>
    </row>
    <row r="1040" spans="1:19" x14ac:dyDescent="0.3">
      <c r="A1040" s="138">
        <v>5</v>
      </c>
      <c r="B1040" s="146" t="s">
        <v>1624</v>
      </c>
      <c r="C1040" s="146" t="s">
        <v>1619</v>
      </c>
      <c r="D1040" s="146" t="s">
        <v>1625</v>
      </c>
      <c r="E1040" s="285">
        <v>107</v>
      </c>
      <c r="F1040" s="146" t="s">
        <v>1627</v>
      </c>
      <c r="G1040" s="141" t="s">
        <v>1621</v>
      </c>
      <c r="H1040" s="162">
        <f t="shared" si="150"/>
        <v>25</v>
      </c>
      <c r="I1040" s="143">
        <v>10</v>
      </c>
      <c r="J1040" s="138">
        <v>15</v>
      </c>
      <c r="K1040" s="224">
        <v>7140</v>
      </c>
      <c r="L1040" s="274">
        <v>0.19</v>
      </c>
      <c r="M1040" s="206">
        <f t="shared" si="151"/>
        <v>107100</v>
      </c>
      <c r="N1040" s="277">
        <v>9044</v>
      </c>
      <c r="O1040" s="274">
        <v>0.19</v>
      </c>
      <c r="P1040" s="239">
        <f t="shared" si="152"/>
        <v>135660</v>
      </c>
      <c r="Q1040" s="5">
        <f t="shared" si="153"/>
        <v>8092</v>
      </c>
      <c r="R1040" s="274">
        <v>0.19</v>
      </c>
      <c r="S1040" s="5">
        <f t="shared" si="154"/>
        <v>121380</v>
      </c>
    </row>
    <row r="1041" spans="1:19" x14ac:dyDescent="0.3">
      <c r="A1041" s="138">
        <v>5</v>
      </c>
      <c r="B1041" s="146" t="s">
        <v>1628</v>
      </c>
      <c r="C1041" s="146" t="s">
        <v>1619</v>
      </c>
      <c r="D1041" s="146">
        <v>52151505</v>
      </c>
      <c r="E1041" s="162">
        <v>108</v>
      </c>
      <c r="F1041" s="146" t="s">
        <v>1629</v>
      </c>
      <c r="G1041" s="141" t="s">
        <v>1621</v>
      </c>
      <c r="H1041" s="162">
        <f t="shared" si="150"/>
        <v>25</v>
      </c>
      <c r="I1041" s="143">
        <v>10</v>
      </c>
      <c r="J1041" s="138">
        <v>15</v>
      </c>
      <c r="K1041" s="224">
        <v>10591</v>
      </c>
      <c r="L1041" s="274">
        <v>0.19</v>
      </c>
      <c r="M1041" s="206">
        <f t="shared" si="151"/>
        <v>158865</v>
      </c>
      <c r="N1041" s="277">
        <v>11305</v>
      </c>
      <c r="O1041" s="274">
        <v>0.19</v>
      </c>
      <c r="P1041" s="239">
        <f t="shared" si="152"/>
        <v>169575</v>
      </c>
      <c r="Q1041" s="5">
        <f t="shared" si="153"/>
        <v>10948</v>
      </c>
      <c r="R1041" s="274">
        <v>0.19</v>
      </c>
      <c r="S1041" s="5">
        <f t="shared" si="154"/>
        <v>164220</v>
      </c>
    </row>
    <row r="1042" spans="1:19" x14ac:dyDescent="0.3">
      <c r="A1042" s="138">
        <v>5</v>
      </c>
      <c r="B1042" s="146" t="s">
        <v>1630</v>
      </c>
      <c r="C1042" s="146" t="s">
        <v>1631</v>
      </c>
      <c r="D1042" s="146">
        <v>48101902</v>
      </c>
      <c r="E1042" s="162">
        <v>109</v>
      </c>
      <c r="F1042" s="146" t="s">
        <v>1632</v>
      </c>
      <c r="G1042" s="141" t="s">
        <v>1621</v>
      </c>
      <c r="H1042" s="162">
        <f t="shared" si="150"/>
        <v>25</v>
      </c>
      <c r="I1042" s="143">
        <v>10</v>
      </c>
      <c r="J1042" s="138">
        <v>15</v>
      </c>
      <c r="K1042" s="224">
        <v>7140</v>
      </c>
      <c r="L1042" s="274">
        <v>0.19</v>
      </c>
      <c r="M1042" s="206">
        <f t="shared" si="151"/>
        <v>107100</v>
      </c>
      <c r="N1042" s="277">
        <v>9044</v>
      </c>
      <c r="O1042" s="274">
        <v>0.19</v>
      </c>
      <c r="P1042" s="239">
        <f t="shared" si="152"/>
        <v>135660</v>
      </c>
      <c r="Q1042" s="5">
        <f t="shared" si="153"/>
        <v>8092</v>
      </c>
      <c r="R1042" s="274">
        <v>0.19</v>
      </c>
      <c r="S1042" s="5">
        <f t="shared" si="154"/>
        <v>121380</v>
      </c>
    </row>
    <row r="1043" spans="1:19" x14ac:dyDescent="0.3">
      <c r="A1043" s="169">
        <v>5</v>
      </c>
      <c r="B1043" s="279">
        <v>150131713</v>
      </c>
      <c r="C1043" s="213">
        <v>235560</v>
      </c>
      <c r="D1043" s="170">
        <v>50131701</v>
      </c>
      <c r="E1043" s="285">
        <v>110</v>
      </c>
      <c r="F1043" s="280" t="s">
        <v>1633</v>
      </c>
      <c r="G1043" s="293" t="s">
        <v>134</v>
      </c>
      <c r="H1043" s="162">
        <f t="shared" si="150"/>
        <v>150</v>
      </c>
      <c r="I1043" s="293">
        <v>50</v>
      </c>
      <c r="J1043" s="170">
        <v>100</v>
      </c>
      <c r="K1043" s="294">
        <v>2000</v>
      </c>
      <c r="L1043" s="151">
        <v>0.19</v>
      </c>
      <c r="M1043" s="206">
        <f>K1043*J1043</f>
        <v>200000</v>
      </c>
      <c r="N1043" s="294">
        <v>2200</v>
      </c>
      <c r="O1043" s="151">
        <v>0.19</v>
      </c>
      <c r="P1043" s="239">
        <f>N1043*J1043</f>
        <v>220000</v>
      </c>
      <c r="Q1043" s="229">
        <f>SUM(K1043+N1043)/2</f>
        <v>2100</v>
      </c>
      <c r="R1043" s="151">
        <v>0.19</v>
      </c>
      <c r="S1043" s="229">
        <f>Q1043*J1043</f>
        <v>210000</v>
      </c>
    </row>
    <row r="1044" spans="1:19" x14ac:dyDescent="0.3">
      <c r="A1044" s="169">
        <v>5</v>
      </c>
      <c r="B1044" s="281">
        <v>150192904</v>
      </c>
      <c r="C1044" s="281">
        <v>232368</v>
      </c>
      <c r="D1044" s="281">
        <v>50161509</v>
      </c>
      <c r="E1044" s="285">
        <v>111</v>
      </c>
      <c r="F1044" s="282" t="s">
        <v>1634</v>
      </c>
      <c r="G1044" s="285" t="s">
        <v>594</v>
      </c>
      <c r="H1044" s="162">
        <f t="shared" si="150"/>
        <v>80</v>
      </c>
      <c r="I1044" s="143">
        <v>10</v>
      </c>
      <c r="J1044" s="285">
        <v>70</v>
      </c>
      <c r="K1044" s="294">
        <v>10500</v>
      </c>
      <c r="L1044" s="151">
        <v>0.19</v>
      </c>
      <c r="M1044" s="206">
        <f t="shared" ref="M1044:M1064" si="155">K1044*J1044</f>
        <v>735000</v>
      </c>
      <c r="N1044" s="294">
        <v>11000</v>
      </c>
      <c r="O1044" s="151">
        <v>0.19</v>
      </c>
      <c r="P1044" s="239">
        <f t="shared" ref="P1044:P1064" si="156">N1044*J1044</f>
        <v>770000</v>
      </c>
      <c r="Q1044" s="229">
        <f t="shared" ref="Q1044:Q1064" si="157">SUM(K1044+N1044)/2</f>
        <v>10750</v>
      </c>
      <c r="R1044" s="151">
        <v>0.19</v>
      </c>
      <c r="S1044" s="229">
        <f t="shared" ref="S1044:S1064" si="158">Q1044*J1044</f>
        <v>752500</v>
      </c>
    </row>
    <row r="1045" spans="1:19" x14ac:dyDescent="0.3">
      <c r="A1045" s="169">
        <v>5</v>
      </c>
      <c r="B1045" s="281">
        <v>150192904</v>
      </c>
      <c r="C1045" s="281">
        <v>232368</v>
      </c>
      <c r="D1045" s="283">
        <v>50221002</v>
      </c>
      <c r="E1045" s="162">
        <v>112</v>
      </c>
      <c r="F1045" s="284" t="s">
        <v>1635</v>
      </c>
      <c r="G1045" s="285" t="s">
        <v>594</v>
      </c>
      <c r="H1045" s="162">
        <f t="shared" si="150"/>
        <v>20</v>
      </c>
      <c r="I1045" s="143">
        <v>10</v>
      </c>
      <c r="J1045" s="283">
        <v>10</v>
      </c>
      <c r="K1045" s="294">
        <v>13000</v>
      </c>
      <c r="L1045" s="151">
        <v>0.19</v>
      </c>
      <c r="M1045" s="206">
        <f t="shared" si="155"/>
        <v>130000</v>
      </c>
      <c r="N1045" s="294">
        <v>14000</v>
      </c>
      <c r="O1045" s="151">
        <v>0.19</v>
      </c>
      <c r="P1045" s="239">
        <f t="shared" si="156"/>
        <v>140000</v>
      </c>
      <c r="Q1045" s="229">
        <f t="shared" si="157"/>
        <v>13500</v>
      </c>
      <c r="R1045" s="151">
        <v>0.19</v>
      </c>
      <c r="S1045" s="229">
        <f t="shared" si="158"/>
        <v>135000</v>
      </c>
    </row>
    <row r="1046" spans="1:19" x14ac:dyDescent="0.3">
      <c r="A1046" s="169">
        <v>5</v>
      </c>
      <c r="B1046" s="283" t="s">
        <v>426</v>
      </c>
      <c r="C1046" s="283" t="s">
        <v>1493</v>
      </c>
      <c r="D1046" s="283">
        <v>51171504</v>
      </c>
      <c r="E1046" s="162">
        <v>113</v>
      </c>
      <c r="F1046" s="284" t="s">
        <v>1636</v>
      </c>
      <c r="G1046" s="285" t="s">
        <v>594</v>
      </c>
      <c r="H1046" s="162">
        <f t="shared" si="150"/>
        <v>14</v>
      </c>
      <c r="I1046" s="143">
        <v>10</v>
      </c>
      <c r="J1046" s="283">
        <v>4</v>
      </c>
      <c r="K1046" s="294">
        <v>14000</v>
      </c>
      <c r="L1046" s="151">
        <v>0.19</v>
      </c>
      <c r="M1046" s="206">
        <f t="shared" si="155"/>
        <v>56000</v>
      </c>
      <c r="N1046" s="294">
        <v>16000</v>
      </c>
      <c r="O1046" s="151">
        <v>0.19</v>
      </c>
      <c r="P1046" s="239">
        <f t="shared" si="156"/>
        <v>64000</v>
      </c>
      <c r="Q1046" s="229">
        <f t="shared" si="157"/>
        <v>15000</v>
      </c>
      <c r="R1046" s="151">
        <v>0.19</v>
      </c>
      <c r="S1046" s="229">
        <f t="shared" si="158"/>
        <v>60000</v>
      </c>
    </row>
    <row r="1047" spans="1:19" x14ac:dyDescent="0.3">
      <c r="A1047" s="169">
        <v>5</v>
      </c>
      <c r="B1047" s="283" t="s">
        <v>931</v>
      </c>
      <c r="C1047" s="283" t="s">
        <v>1637</v>
      </c>
      <c r="D1047" s="283">
        <v>47131821</v>
      </c>
      <c r="E1047" s="285">
        <v>114</v>
      </c>
      <c r="F1047" s="284" t="s">
        <v>1638</v>
      </c>
      <c r="G1047" s="283" t="s">
        <v>1304</v>
      </c>
      <c r="H1047" s="162">
        <f t="shared" si="150"/>
        <v>16</v>
      </c>
      <c r="I1047" s="143">
        <v>10</v>
      </c>
      <c r="J1047" s="283">
        <v>6</v>
      </c>
      <c r="K1047" s="295">
        <v>14800</v>
      </c>
      <c r="L1047" s="151">
        <v>0.19</v>
      </c>
      <c r="M1047" s="206">
        <f t="shared" si="155"/>
        <v>88800</v>
      </c>
      <c r="N1047" s="295">
        <v>15000</v>
      </c>
      <c r="O1047" s="151">
        <v>0.19</v>
      </c>
      <c r="P1047" s="239">
        <f t="shared" si="156"/>
        <v>90000</v>
      </c>
      <c r="Q1047" s="229">
        <f t="shared" si="157"/>
        <v>14900</v>
      </c>
      <c r="R1047" s="151">
        <v>0.19</v>
      </c>
      <c r="S1047" s="229">
        <f t="shared" si="158"/>
        <v>89400</v>
      </c>
    </row>
    <row r="1048" spans="1:19" x14ac:dyDescent="0.3">
      <c r="A1048" s="169">
        <v>5</v>
      </c>
      <c r="B1048" s="149" t="s">
        <v>1031</v>
      </c>
      <c r="C1048" s="149" t="s">
        <v>1639</v>
      </c>
      <c r="D1048" s="149">
        <v>52121601</v>
      </c>
      <c r="E1048" s="285">
        <v>115</v>
      </c>
      <c r="F1048" s="284" t="s">
        <v>1640</v>
      </c>
      <c r="G1048" s="143" t="s">
        <v>25</v>
      </c>
      <c r="H1048" s="162">
        <f t="shared" si="150"/>
        <v>20</v>
      </c>
      <c r="I1048" s="143">
        <v>10</v>
      </c>
      <c r="J1048" s="283">
        <v>10</v>
      </c>
      <c r="K1048" s="294">
        <v>1000</v>
      </c>
      <c r="L1048" s="151">
        <v>0.19</v>
      </c>
      <c r="M1048" s="206">
        <f t="shared" si="155"/>
        <v>10000</v>
      </c>
      <c r="N1048" s="294">
        <v>1500</v>
      </c>
      <c r="O1048" s="151">
        <v>0.19</v>
      </c>
      <c r="P1048" s="239">
        <f t="shared" si="156"/>
        <v>15000</v>
      </c>
      <c r="Q1048" s="229">
        <f t="shared" si="157"/>
        <v>1250</v>
      </c>
      <c r="R1048" s="151">
        <v>0.19</v>
      </c>
      <c r="S1048" s="229">
        <f t="shared" si="158"/>
        <v>12500</v>
      </c>
    </row>
    <row r="1049" spans="1:19" x14ac:dyDescent="0.3">
      <c r="A1049" s="169">
        <v>5</v>
      </c>
      <c r="B1049" s="149" t="s">
        <v>448</v>
      </c>
      <c r="C1049" s="149" t="s">
        <v>1641</v>
      </c>
      <c r="D1049" s="283">
        <v>50171707</v>
      </c>
      <c r="E1049" s="162">
        <v>116</v>
      </c>
      <c r="F1049" s="284" t="s">
        <v>1642</v>
      </c>
      <c r="G1049" s="283" t="s">
        <v>1304</v>
      </c>
      <c r="H1049" s="162">
        <f t="shared" si="150"/>
        <v>25</v>
      </c>
      <c r="I1049" s="143">
        <v>10</v>
      </c>
      <c r="J1049" s="283">
        <v>15</v>
      </c>
      <c r="K1049" s="294">
        <v>55000</v>
      </c>
      <c r="L1049" s="151">
        <v>0.19</v>
      </c>
      <c r="M1049" s="206">
        <f t="shared" si="155"/>
        <v>825000</v>
      </c>
      <c r="N1049" s="294">
        <v>50000</v>
      </c>
      <c r="O1049" s="151">
        <v>0.19</v>
      </c>
      <c r="P1049" s="239">
        <f t="shared" si="156"/>
        <v>750000</v>
      </c>
      <c r="Q1049" s="229">
        <f t="shared" si="157"/>
        <v>52500</v>
      </c>
      <c r="R1049" s="151">
        <v>0.19</v>
      </c>
      <c r="S1049" s="229">
        <f t="shared" si="158"/>
        <v>787500</v>
      </c>
    </row>
    <row r="1050" spans="1:19" x14ac:dyDescent="0.3">
      <c r="A1050" s="169">
        <v>5</v>
      </c>
      <c r="B1050" s="281" t="s">
        <v>1578</v>
      </c>
      <c r="C1050" s="281">
        <v>235535</v>
      </c>
      <c r="D1050" s="281">
        <v>50405305</v>
      </c>
      <c r="E1050" s="162">
        <v>117</v>
      </c>
      <c r="F1050" s="284" t="s">
        <v>1643</v>
      </c>
      <c r="G1050" s="283" t="s">
        <v>594</v>
      </c>
      <c r="H1050" s="162">
        <f t="shared" si="150"/>
        <v>40</v>
      </c>
      <c r="I1050" s="143">
        <v>10</v>
      </c>
      <c r="J1050" s="283">
        <v>30</v>
      </c>
      <c r="K1050" s="294">
        <v>4000</v>
      </c>
      <c r="L1050" s="151">
        <v>0.19</v>
      </c>
      <c r="M1050" s="206">
        <f t="shared" si="155"/>
        <v>120000</v>
      </c>
      <c r="N1050" s="294">
        <v>6000</v>
      </c>
      <c r="O1050" s="151">
        <v>0.19</v>
      </c>
      <c r="P1050" s="239">
        <f t="shared" si="156"/>
        <v>180000</v>
      </c>
      <c r="Q1050" s="229">
        <f t="shared" si="157"/>
        <v>5000</v>
      </c>
      <c r="R1050" s="151">
        <v>0.19</v>
      </c>
      <c r="S1050" s="229">
        <f t="shared" si="158"/>
        <v>150000</v>
      </c>
    </row>
    <row r="1051" spans="1:19" x14ac:dyDescent="0.3">
      <c r="A1051" s="169">
        <v>5</v>
      </c>
      <c r="B1051" s="281" t="s">
        <v>1578</v>
      </c>
      <c r="C1051" s="283">
        <v>236425</v>
      </c>
      <c r="D1051" s="285">
        <v>50403100</v>
      </c>
      <c r="E1051" s="285">
        <v>118</v>
      </c>
      <c r="F1051" s="284" t="s">
        <v>1607</v>
      </c>
      <c r="G1051" s="283" t="s">
        <v>594</v>
      </c>
      <c r="H1051" s="162">
        <f t="shared" si="150"/>
        <v>40</v>
      </c>
      <c r="I1051" s="143">
        <v>10</v>
      </c>
      <c r="J1051" s="283">
        <v>30</v>
      </c>
      <c r="K1051" s="294">
        <v>5000</v>
      </c>
      <c r="L1051" s="151">
        <v>0.19</v>
      </c>
      <c r="M1051" s="206">
        <f t="shared" si="155"/>
        <v>150000</v>
      </c>
      <c r="N1051" s="294">
        <v>6000</v>
      </c>
      <c r="O1051" s="151">
        <v>0.19</v>
      </c>
      <c r="P1051" s="239">
        <f t="shared" si="156"/>
        <v>180000</v>
      </c>
      <c r="Q1051" s="229">
        <f t="shared" si="157"/>
        <v>5500</v>
      </c>
      <c r="R1051" s="151">
        <v>0.19</v>
      </c>
      <c r="S1051" s="229">
        <f t="shared" si="158"/>
        <v>165000</v>
      </c>
    </row>
    <row r="1052" spans="1:19" x14ac:dyDescent="0.3">
      <c r="A1052" s="169">
        <v>5</v>
      </c>
      <c r="B1052" s="283">
        <v>150101586</v>
      </c>
      <c r="C1052" s="283">
        <v>232214</v>
      </c>
      <c r="D1052" s="140">
        <v>50404106</v>
      </c>
      <c r="E1052" s="285">
        <v>119</v>
      </c>
      <c r="F1052" s="284" t="s">
        <v>1601</v>
      </c>
      <c r="G1052" s="283" t="s">
        <v>594</v>
      </c>
      <c r="H1052" s="162">
        <f t="shared" si="150"/>
        <v>40</v>
      </c>
      <c r="I1052" s="143">
        <v>10</v>
      </c>
      <c r="J1052" s="283">
        <v>30</v>
      </c>
      <c r="K1052" s="294">
        <v>8000</v>
      </c>
      <c r="L1052" s="151">
        <v>0.19</v>
      </c>
      <c r="M1052" s="206">
        <f t="shared" si="155"/>
        <v>240000</v>
      </c>
      <c r="N1052" s="294">
        <v>7000</v>
      </c>
      <c r="O1052" s="151">
        <v>0.19</v>
      </c>
      <c r="P1052" s="239">
        <f t="shared" si="156"/>
        <v>210000</v>
      </c>
      <c r="Q1052" s="229">
        <f t="shared" si="157"/>
        <v>7500</v>
      </c>
      <c r="R1052" s="151">
        <v>0.19</v>
      </c>
      <c r="S1052" s="229">
        <f t="shared" si="158"/>
        <v>225000</v>
      </c>
    </row>
    <row r="1053" spans="1:19" x14ac:dyDescent="0.3">
      <c r="A1053" s="169">
        <v>5</v>
      </c>
      <c r="B1053" s="281">
        <v>150101586</v>
      </c>
      <c r="C1053" s="281">
        <v>230523</v>
      </c>
      <c r="D1053" s="285">
        <v>50405601</v>
      </c>
      <c r="E1053" s="162">
        <v>120</v>
      </c>
      <c r="F1053" s="284" t="s">
        <v>1644</v>
      </c>
      <c r="G1053" s="283" t="s">
        <v>594</v>
      </c>
      <c r="H1053" s="162">
        <f t="shared" si="150"/>
        <v>40</v>
      </c>
      <c r="I1053" s="143">
        <v>10</v>
      </c>
      <c r="J1053" s="283">
        <v>30</v>
      </c>
      <c r="K1053" s="294">
        <v>7000</v>
      </c>
      <c r="L1053" s="151">
        <v>0.19</v>
      </c>
      <c r="M1053" s="206">
        <f t="shared" si="155"/>
        <v>210000</v>
      </c>
      <c r="N1053" s="294">
        <v>8000</v>
      </c>
      <c r="O1053" s="151">
        <v>0.19</v>
      </c>
      <c r="P1053" s="239">
        <f t="shared" si="156"/>
        <v>240000</v>
      </c>
      <c r="Q1053" s="229">
        <f t="shared" si="157"/>
        <v>7500</v>
      </c>
      <c r="R1053" s="151">
        <v>0.19</v>
      </c>
      <c r="S1053" s="229">
        <f t="shared" si="158"/>
        <v>225000</v>
      </c>
    </row>
    <row r="1054" spans="1:19" x14ac:dyDescent="0.3">
      <c r="A1054" s="169">
        <v>5</v>
      </c>
      <c r="B1054" s="286">
        <v>150101586</v>
      </c>
      <c r="C1054" s="283">
        <v>230762</v>
      </c>
      <c r="D1054" s="140">
        <v>50405612</v>
      </c>
      <c r="E1054" s="162">
        <v>121</v>
      </c>
      <c r="F1054" s="284" t="s">
        <v>1645</v>
      </c>
      <c r="G1054" s="283" t="s">
        <v>594</v>
      </c>
      <c r="H1054" s="162">
        <f t="shared" si="150"/>
        <v>40</v>
      </c>
      <c r="I1054" s="143">
        <v>10</v>
      </c>
      <c r="J1054" s="283">
        <v>30</v>
      </c>
      <c r="K1054" s="294">
        <v>10000</v>
      </c>
      <c r="L1054" s="151">
        <v>0.19</v>
      </c>
      <c r="M1054" s="206">
        <f t="shared" si="155"/>
        <v>300000</v>
      </c>
      <c r="N1054" s="294">
        <v>12000</v>
      </c>
      <c r="O1054" s="151">
        <v>0.19</v>
      </c>
      <c r="P1054" s="239">
        <f t="shared" si="156"/>
        <v>360000</v>
      </c>
      <c r="Q1054" s="229">
        <f t="shared" si="157"/>
        <v>11000</v>
      </c>
      <c r="R1054" s="151">
        <v>0.19</v>
      </c>
      <c r="S1054" s="229">
        <f t="shared" si="158"/>
        <v>330000</v>
      </c>
    </row>
    <row r="1055" spans="1:19" x14ac:dyDescent="0.3">
      <c r="A1055" s="169">
        <v>5</v>
      </c>
      <c r="B1055" s="287">
        <v>150101586</v>
      </c>
      <c r="C1055" s="283">
        <v>234238</v>
      </c>
      <c r="D1055" s="140">
        <v>50402501</v>
      </c>
      <c r="E1055" s="285">
        <v>122</v>
      </c>
      <c r="F1055" s="284" t="s">
        <v>1646</v>
      </c>
      <c r="G1055" s="283" t="s">
        <v>594</v>
      </c>
      <c r="H1055" s="162">
        <f t="shared" si="150"/>
        <v>40</v>
      </c>
      <c r="I1055" s="143">
        <v>10</v>
      </c>
      <c r="J1055" s="283">
        <v>30</v>
      </c>
      <c r="K1055" s="294">
        <v>5000</v>
      </c>
      <c r="L1055" s="151">
        <v>0.19</v>
      </c>
      <c r="M1055" s="206">
        <f t="shared" si="155"/>
        <v>150000</v>
      </c>
      <c r="N1055" s="294">
        <v>6000</v>
      </c>
      <c r="O1055" s="151">
        <v>0.19</v>
      </c>
      <c r="P1055" s="239">
        <f t="shared" si="156"/>
        <v>180000</v>
      </c>
      <c r="Q1055" s="229">
        <f t="shared" si="157"/>
        <v>5500</v>
      </c>
      <c r="R1055" s="151">
        <v>0.19</v>
      </c>
      <c r="S1055" s="229">
        <f t="shared" si="158"/>
        <v>165000</v>
      </c>
    </row>
    <row r="1056" spans="1:19" x14ac:dyDescent="0.3">
      <c r="A1056" s="169">
        <v>5</v>
      </c>
      <c r="B1056" s="287">
        <v>150192904</v>
      </c>
      <c r="C1056" s="283">
        <v>232392</v>
      </c>
      <c r="D1056" s="140">
        <v>50171551</v>
      </c>
      <c r="E1056" s="285">
        <v>123</v>
      </c>
      <c r="F1056" s="284" t="s">
        <v>1647</v>
      </c>
      <c r="G1056" s="283" t="s">
        <v>594</v>
      </c>
      <c r="H1056" s="162">
        <f t="shared" si="150"/>
        <v>20</v>
      </c>
      <c r="I1056" s="143">
        <v>10</v>
      </c>
      <c r="J1056" s="283">
        <v>10</v>
      </c>
      <c r="K1056" s="294">
        <v>6000</v>
      </c>
      <c r="L1056" s="151">
        <v>0.19</v>
      </c>
      <c r="M1056" s="206">
        <f t="shared" si="155"/>
        <v>60000</v>
      </c>
      <c r="N1056" s="294">
        <v>6000</v>
      </c>
      <c r="O1056" s="151">
        <v>0.19</v>
      </c>
      <c r="P1056" s="239">
        <f t="shared" si="156"/>
        <v>60000</v>
      </c>
      <c r="Q1056" s="229">
        <f t="shared" si="157"/>
        <v>6000</v>
      </c>
      <c r="R1056" s="151">
        <v>0.19</v>
      </c>
      <c r="S1056" s="229">
        <f t="shared" si="158"/>
        <v>60000</v>
      </c>
    </row>
    <row r="1057" spans="1:19" ht="27.6" x14ac:dyDescent="0.3">
      <c r="A1057" s="169">
        <v>5</v>
      </c>
      <c r="B1057" s="287">
        <v>152152032</v>
      </c>
      <c r="C1057" s="283">
        <v>232027</v>
      </c>
      <c r="D1057" s="140">
        <v>24112602</v>
      </c>
      <c r="E1057" s="162">
        <v>124</v>
      </c>
      <c r="F1057" s="156" t="s">
        <v>1648</v>
      </c>
      <c r="G1057" s="143" t="s">
        <v>25</v>
      </c>
      <c r="H1057" s="162">
        <f t="shared" si="150"/>
        <v>600</v>
      </c>
      <c r="I1057" s="143">
        <v>100</v>
      </c>
      <c r="J1057" s="140">
        <v>500</v>
      </c>
      <c r="K1057" s="295">
        <v>2000</v>
      </c>
      <c r="L1057" s="151">
        <v>0.19</v>
      </c>
      <c r="M1057" s="206">
        <f t="shared" si="155"/>
        <v>1000000</v>
      </c>
      <c r="N1057" s="231">
        <v>2500</v>
      </c>
      <c r="O1057" s="151">
        <v>0.19</v>
      </c>
      <c r="P1057" s="239">
        <f t="shared" si="156"/>
        <v>1250000</v>
      </c>
      <c r="Q1057" s="229">
        <f t="shared" si="157"/>
        <v>2250</v>
      </c>
      <c r="R1057" s="151">
        <v>0.19</v>
      </c>
      <c r="S1057" s="229">
        <f t="shared" si="158"/>
        <v>1125000</v>
      </c>
    </row>
    <row r="1058" spans="1:19" x14ac:dyDescent="0.3">
      <c r="A1058" s="169">
        <v>5</v>
      </c>
      <c r="B1058" s="287">
        <v>112142106</v>
      </c>
      <c r="C1058" s="140">
        <v>240124</v>
      </c>
      <c r="D1058" s="140">
        <v>15111501</v>
      </c>
      <c r="E1058" s="162">
        <v>125</v>
      </c>
      <c r="F1058" s="271" t="s">
        <v>1507</v>
      </c>
      <c r="G1058" s="143" t="s">
        <v>1060</v>
      </c>
      <c r="H1058" s="162">
        <f t="shared" si="150"/>
        <v>12</v>
      </c>
      <c r="I1058" s="143">
        <v>10</v>
      </c>
      <c r="J1058" s="140">
        <v>2</v>
      </c>
      <c r="K1058" s="231">
        <v>250000</v>
      </c>
      <c r="L1058" s="151">
        <v>0.19</v>
      </c>
      <c r="M1058" s="206">
        <f t="shared" si="155"/>
        <v>500000</v>
      </c>
      <c r="N1058" s="231">
        <v>250000</v>
      </c>
      <c r="O1058" s="151">
        <v>0.19</v>
      </c>
      <c r="P1058" s="239">
        <f t="shared" si="156"/>
        <v>500000</v>
      </c>
      <c r="Q1058" s="229">
        <f t="shared" si="157"/>
        <v>250000</v>
      </c>
      <c r="R1058" s="151">
        <v>0.19</v>
      </c>
      <c r="S1058" s="229">
        <f t="shared" si="158"/>
        <v>500000</v>
      </c>
    </row>
    <row r="1059" spans="1:19" ht="27.6" x14ac:dyDescent="0.3">
      <c r="A1059" s="169">
        <v>5</v>
      </c>
      <c r="B1059" s="140">
        <v>124111521</v>
      </c>
      <c r="C1059" s="140">
        <v>254067</v>
      </c>
      <c r="D1059" s="140">
        <v>24121807</v>
      </c>
      <c r="E1059" s="285">
        <v>126</v>
      </c>
      <c r="F1059" s="288" t="s">
        <v>1649</v>
      </c>
      <c r="G1059" s="143" t="s">
        <v>1650</v>
      </c>
      <c r="H1059" s="162">
        <f t="shared" si="150"/>
        <v>22</v>
      </c>
      <c r="I1059" s="143">
        <v>10</v>
      </c>
      <c r="J1059" s="140">
        <v>12</v>
      </c>
      <c r="K1059" s="231">
        <v>89000</v>
      </c>
      <c r="L1059" s="151">
        <v>0.19</v>
      </c>
      <c r="M1059" s="206">
        <f t="shared" si="155"/>
        <v>1068000</v>
      </c>
      <c r="N1059" s="205">
        <v>89000</v>
      </c>
      <c r="O1059" s="151">
        <v>0.19</v>
      </c>
      <c r="P1059" s="239">
        <f t="shared" si="156"/>
        <v>1068000</v>
      </c>
      <c r="Q1059" s="229">
        <f t="shared" si="157"/>
        <v>89000</v>
      </c>
      <c r="R1059" s="151">
        <v>0.19</v>
      </c>
      <c r="S1059" s="229">
        <f t="shared" si="158"/>
        <v>1068000</v>
      </c>
    </row>
    <row r="1060" spans="1:19" x14ac:dyDescent="0.3">
      <c r="A1060" s="169">
        <v>5</v>
      </c>
      <c r="B1060" s="140">
        <v>150101679</v>
      </c>
      <c r="C1060" s="283">
        <v>230531</v>
      </c>
      <c r="D1060" s="283">
        <v>50304503</v>
      </c>
      <c r="E1060" s="285">
        <v>127</v>
      </c>
      <c r="F1060" s="289" t="s">
        <v>489</v>
      </c>
      <c r="G1060" s="283" t="s">
        <v>594</v>
      </c>
      <c r="H1060" s="162">
        <f t="shared" si="150"/>
        <v>30</v>
      </c>
      <c r="I1060" s="143">
        <v>10</v>
      </c>
      <c r="J1060" s="140">
        <v>20</v>
      </c>
      <c r="K1060" s="231">
        <v>10500</v>
      </c>
      <c r="L1060" s="151">
        <v>0.19</v>
      </c>
      <c r="M1060" s="206">
        <f t="shared" si="155"/>
        <v>210000</v>
      </c>
      <c r="N1060" s="277">
        <v>10500</v>
      </c>
      <c r="O1060" s="151">
        <v>0.19</v>
      </c>
      <c r="P1060" s="239">
        <f t="shared" si="156"/>
        <v>210000</v>
      </c>
      <c r="Q1060" s="229">
        <f t="shared" si="157"/>
        <v>10500</v>
      </c>
      <c r="R1060" s="151">
        <v>0.19</v>
      </c>
      <c r="S1060" s="229">
        <f t="shared" si="158"/>
        <v>210000</v>
      </c>
    </row>
    <row r="1061" spans="1:19" x14ac:dyDescent="0.3">
      <c r="A1061" s="169">
        <v>5</v>
      </c>
      <c r="B1061" s="140" t="s">
        <v>491</v>
      </c>
      <c r="C1061" s="283" t="s">
        <v>490</v>
      </c>
      <c r="D1061" s="283" t="s">
        <v>492</v>
      </c>
      <c r="E1061" s="162">
        <v>128</v>
      </c>
      <c r="F1061" s="289" t="s">
        <v>493</v>
      </c>
      <c r="G1061" s="283" t="s">
        <v>594</v>
      </c>
      <c r="H1061" s="162">
        <f t="shared" si="150"/>
        <v>30</v>
      </c>
      <c r="I1061" s="143">
        <v>10</v>
      </c>
      <c r="J1061" s="140">
        <v>20</v>
      </c>
      <c r="K1061" s="231">
        <v>14500</v>
      </c>
      <c r="L1061" s="151">
        <v>0.19</v>
      </c>
      <c r="M1061" s="206">
        <f t="shared" si="155"/>
        <v>290000</v>
      </c>
      <c r="N1061" s="277">
        <v>10500</v>
      </c>
      <c r="O1061" s="151">
        <v>0.19</v>
      </c>
      <c r="P1061" s="239">
        <f t="shared" si="156"/>
        <v>210000</v>
      </c>
      <c r="Q1061" s="229">
        <f t="shared" si="157"/>
        <v>12500</v>
      </c>
      <c r="R1061" s="151">
        <v>0.19</v>
      </c>
      <c r="S1061" s="229">
        <f t="shared" si="158"/>
        <v>250000</v>
      </c>
    </row>
    <row r="1062" spans="1:19" ht="27.6" x14ac:dyDescent="0.3">
      <c r="A1062" s="169">
        <v>5</v>
      </c>
      <c r="B1062" s="283" t="s">
        <v>717</v>
      </c>
      <c r="C1062" s="283" t="s">
        <v>718</v>
      </c>
      <c r="D1062" s="283">
        <v>47131807</v>
      </c>
      <c r="E1062" s="162">
        <v>129</v>
      </c>
      <c r="F1062" s="156" t="s">
        <v>719</v>
      </c>
      <c r="G1062" s="284" t="s">
        <v>720</v>
      </c>
      <c r="H1062" s="162">
        <f t="shared" si="150"/>
        <v>13</v>
      </c>
      <c r="I1062" s="143">
        <v>10</v>
      </c>
      <c r="J1062" s="140">
        <v>3</v>
      </c>
      <c r="K1062" s="231">
        <v>29750</v>
      </c>
      <c r="L1062" s="151">
        <v>0.19</v>
      </c>
      <c r="M1062" s="206">
        <f t="shared" si="155"/>
        <v>89250</v>
      </c>
      <c r="N1062" s="231">
        <v>29750</v>
      </c>
      <c r="O1062" s="151">
        <v>0.19</v>
      </c>
      <c r="P1062" s="239">
        <f t="shared" si="156"/>
        <v>89250</v>
      </c>
      <c r="Q1062" s="229">
        <f t="shared" si="157"/>
        <v>29750</v>
      </c>
      <c r="R1062" s="151">
        <v>0.19</v>
      </c>
      <c r="S1062" s="229">
        <f t="shared" si="158"/>
        <v>89250</v>
      </c>
    </row>
    <row r="1063" spans="1:19" x14ac:dyDescent="0.3">
      <c r="A1063" s="169">
        <v>5</v>
      </c>
      <c r="B1063" s="140" t="s">
        <v>703</v>
      </c>
      <c r="C1063" s="283" t="s">
        <v>704</v>
      </c>
      <c r="D1063" s="283">
        <v>47121803</v>
      </c>
      <c r="E1063" s="285">
        <v>130</v>
      </c>
      <c r="F1063" s="289" t="s">
        <v>705</v>
      </c>
      <c r="G1063" s="284" t="s">
        <v>706</v>
      </c>
      <c r="H1063" s="162">
        <f t="shared" ref="H1063:H1064" si="159">I1063+J1063</f>
        <v>11</v>
      </c>
      <c r="I1063" s="143">
        <v>10</v>
      </c>
      <c r="J1063" s="140">
        <v>1</v>
      </c>
      <c r="K1063" s="277">
        <v>47600</v>
      </c>
      <c r="L1063" s="151">
        <v>0.19</v>
      </c>
      <c r="M1063" s="206">
        <f t="shared" si="155"/>
        <v>47600</v>
      </c>
      <c r="N1063" s="277">
        <v>47600</v>
      </c>
      <c r="O1063" s="151">
        <v>0.19</v>
      </c>
      <c r="P1063" s="239">
        <f t="shared" si="156"/>
        <v>47600</v>
      </c>
      <c r="Q1063" s="229">
        <f t="shared" si="157"/>
        <v>47600</v>
      </c>
      <c r="R1063" s="151">
        <v>0.19</v>
      </c>
      <c r="S1063" s="229">
        <f t="shared" si="158"/>
        <v>47600</v>
      </c>
    </row>
    <row r="1064" spans="1:19" ht="27.6" x14ac:dyDescent="0.3">
      <c r="A1064" s="169">
        <v>5</v>
      </c>
      <c r="B1064" s="290" t="s">
        <v>429</v>
      </c>
      <c r="C1064" s="291" t="s">
        <v>430</v>
      </c>
      <c r="D1064" s="290" t="s">
        <v>431</v>
      </c>
      <c r="E1064" s="285">
        <v>131</v>
      </c>
      <c r="F1064" s="292" t="s">
        <v>1651</v>
      </c>
      <c r="G1064" s="291" t="s">
        <v>433</v>
      </c>
      <c r="H1064" s="162">
        <f t="shared" si="159"/>
        <v>11</v>
      </c>
      <c r="I1064" s="143">
        <v>10</v>
      </c>
      <c r="J1064" s="285">
        <v>1</v>
      </c>
      <c r="K1064" s="231">
        <v>47700</v>
      </c>
      <c r="L1064" s="151">
        <v>0.19</v>
      </c>
      <c r="M1064" s="206">
        <f t="shared" si="155"/>
        <v>47700</v>
      </c>
      <c r="N1064" s="294">
        <v>46550</v>
      </c>
      <c r="O1064" s="151">
        <v>0.19</v>
      </c>
      <c r="P1064" s="239">
        <f t="shared" si="156"/>
        <v>46550</v>
      </c>
      <c r="Q1064" s="229">
        <f t="shared" si="157"/>
        <v>47125</v>
      </c>
      <c r="R1064" s="151">
        <v>0.19</v>
      </c>
      <c r="S1064" s="229">
        <f t="shared" si="158"/>
        <v>47125</v>
      </c>
    </row>
    <row r="1065" spans="1:19" x14ac:dyDescent="0.3">
      <c r="M1065" s="206">
        <f>SUM(M934:M1064)</f>
        <v>24617706</v>
      </c>
      <c r="P1065" s="239">
        <f>SUM(P934:P1064)</f>
        <v>26214317</v>
      </c>
      <c r="S1065" s="229">
        <f>SUM(S934:S1064)</f>
        <v>25416011.5</v>
      </c>
    </row>
    <row r="1067" spans="1:19" ht="14.55" customHeight="1" x14ac:dyDescent="0.3">
      <c r="A1067" s="541" t="s">
        <v>1652</v>
      </c>
      <c r="B1067" s="541"/>
      <c r="C1067" s="541"/>
      <c r="D1067" s="541"/>
      <c r="E1067" s="541"/>
      <c r="F1067" s="541"/>
      <c r="G1067" s="541"/>
      <c r="H1067" s="541"/>
      <c r="I1067" s="541"/>
      <c r="J1067" s="541"/>
      <c r="K1067" s="541"/>
      <c r="L1067" s="541"/>
      <c r="M1067" s="541"/>
      <c r="N1067" s="541"/>
      <c r="O1067" s="541"/>
      <c r="P1067" s="541"/>
      <c r="Q1067" s="541"/>
      <c r="R1067" s="541"/>
      <c r="S1067" s="541"/>
    </row>
    <row r="1068" spans="1:19" ht="14.55" customHeight="1" x14ac:dyDescent="0.3">
      <c r="A1068" s="541"/>
      <c r="B1068" s="541"/>
      <c r="C1068" s="541"/>
      <c r="D1068" s="541"/>
      <c r="E1068" s="699" t="s">
        <v>1652</v>
      </c>
      <c r="F1068" s="700"/>
      <c r="G1068" s="700"/>
      <c r="H1068" s="701"/>
      <c r="I1068" s="541"/>
      <c r="J1068" s="541"/>
      <c r="K1068" s="541"/>
      <c r="L1068" s="541"/>
      <c r="M1068" s="541"/>
      <c r="N1068" s="541"/>
      <c r="O1068" s="541"/>
      <c r="P1068" s="541"/>
      <c r="Q1068" s="541"/>
      <c r="R1068" s="541"/>
      <c r="S1068" s="541"/>
    </row>
    <row r="1069" spans="1:19" ht="15.6" x14ac:dyDescent="0.3">
      <c r="A1069" s="709" t="s">
        <v>83</v>
      </c>
      <c r="B1069" s="709" t="s">
        <v>84</v>
      </c>
      <c r="C1069" s="709" t="s">
        <v>85</v>
      </c>
      <c r="D1069" s="711" t="s">
        <v>86</v>
      </c>
      <c r="E1069" s="709" t="s">
        <v>6</v>
      </c>
      <c r="F1069" s="709" t="s">
        <v>87</v>
      </c>
      <c r="G1069" s="709" t="s">
        <v>88</v>
      </c>
      <c r="H1069" s="702" t="s">
        <v>89</v>
      </c>
      <c r="I1069" s="124"/>
      <c r="J1069" s="705" t="s">
        <v>89</v>
      </c>
      <c r="K1069" s="710" t="s">
        <v>818</v>
      </c>
      <c r="L1069" s="710"/>
      <c r="M1069" s="710"/>
      <c r="N1069" s="704" t="s">
        <v>819</v>
      </c>
      <c r="O1069" s="704"/>
      <c r="P1069" s="704"/>
      <c r="Q1069" s="705" t="s">
        <v>15</v>
      </c>
      <c r="R1069" s="705"/>
      <c r="S1069" s="705"/>
    </row>
    <row r="1070" spans="1:19" ht="46.8" x14ac:dyDescent="0.3">
      <c r="A1070" s="709"/>
      <c r="B1070" s="709"/>
      <c r="C1070" s="709"/>
      <c r="D1070" s="711"/>
      <c r="E1070" s="709"/>
      <c r="F1070" s="709"/>
      <c r="G1070" s="709"/>
      <c r="H1070" s="703"/>
      <c r="I1070" s="124"/>
      <c r="J1070" s="705"/>
      <c r="K1070" s="25" t="s">
        <v>382</v>
      </c>
      <c r="L1070" s="25" t="s">
        <v>17</v>
      </c>
      <c r="M1070" s="25" t="s">
        <v>18</v>
      </c>
      <c r="N1070" s="25" t="s">
        <v>367</v>
      </c>
      <c r="O1070" s="25" t="s">
        <v>17</v>
      </c>
      <c r="P1070" s="248" t="s">
        <v>18</v>
      </c>
      <c r="Q1070" s="25" t="s">
        <v>367</v>
      </c>
      <c r="R1070" s="25" t="s">
        <v>17</v>
      </c>
      <c r="S1070" s="25" t="s">
        <v>18</v>
      </c>
    </row>
    <row r="1071" spans="1:19" ht="41.4" x14ac:dyDescent="0.3">
      <c r="A1071" s="140">
        <v>5</v>
      </c>
      <c r="B1071" s="140">
        <v>279729</v>
      </c>
      <c r="C1071" s="140">
        <v>152141710</v>
      </c>
      <c r="D1071" s="140">
        <v>52141703</v>
      </c>
      <c r="E1071" s="143">
        <v>1</v>
      </c>
      <c r="F1071" s="619" t="s">
        <v>1653</v>
      </c>
      <c r="G1071" s="140" t="s">
        <v>25</v>
      </c>
      <c r="H1071" s="140">
        <f>I1071+J1071</f>
        <v>12</v>
      </c>
      <c r="I1071" s="140">
        <v>10</v>
      </c>
      <c r="J1071" s="140">
        <v>2</v>
      </c>
      <c r="K1071" s="231">
        <v>340000</v>
      </c>
      <c r="L1071" s="618">
        <v>0.19</v>
      </c>
      <c r="M1071" s="178">
        <f>K1071*J1071</f>
        <v>680000</v>
      </c>
      <c r="N1071" s="231">
        <v>374000</v>
      </c>
      <c r="O1071" s="151">
        <v>0.19</v>
      </c>
      <c r="P1071" s="204">
        <f>N1071*J1071</f>
        <v>748000</v>
      </c>
      <c r="Q1071" s="174">
        <f>SUM(K1071+N1071)/2</f>
        <v>357000</v>
      </c>
      <c r="R1071" s="151">
        <v>0.19</v>
      </c>
      <c r="S1071" s="174">
        <f>Q1071*J1071</f>
        <v>714000</v>
      </c>
    </row>
    <row r="1072" spans="1:19" ht="27.6" x14ac:dyDescent="0.3">
      <c r="A1072" s="140">
        <v>5</v>
      </c>
      <c r="B1072" s="140">
        <v>230203</v>
      </c>
      <c r="C1072" s="140">
        <v>147131155</v>
      </c>
      <c r="D1072" s="140">
        <v>53131628</v>
      </c>
      <c r="E1072" s="143">
        <v>2</v>
      </c>
      <c r="F1072" s="156" t="s">
        <v>1654</v>
      </c>
      <c r="G1072" s="140" t="s">
        <v>1304</v>
      </c>
      <c r="H1072" s="140">
        <f t="shared" ref="H1072:H1093" si="160">I1072+J1072</f>
        <v>12</v>
      </c>
      <c r="I1072" s="140">
        <v>10</v>
      </c>
      <c r="J1072" s="140">
        <v>2</v>
      </c>
      <c r="K1072" s="231">
        <v>79500</v>
      </c>
      <c r="L1072" s="618">
        <v>0.19</v>
      </c>
      <c r="M1072" s="178">
        <f t="shared" ref="M1072:M1093" si="161">K1072*J1072</f>
        <v>159000</v>
      </c>
      <c r="N1072" s="231">
        <v>87450</v>
      </c>
      <c r="O1072" s="151">
        <v>0.19</v>
      </c>
      <c r="P1072" s="204">
        <f t="shared" ref="P1072:P1093" si="162">N1072*J1072</f>
        <v>174900</v>
      </c>
      <c r="Q1072" s="174">
        <f t="shared" ref="Q1072:Q1093" si="163">SUM(K1072+N1072)/2</f>
        <v>83475</v>
      </c>
      <c r="R1072" s="151">
        <v>0.19</v>
      </c>
      <c r="S1072" s="174">
        <f t="shared" ref="S1072:S1093" si="164">Q1072*J1072</f>
        <v>166950</v>
      </c>
    </row>
    <row r="1073" spans="1:19" ht="27.6" x14ac:dyDescent="0.3">
      <c r="A1073" s="140">
        <v>5</v>
      </c>
      <c r="B1073" s="140">
        <v>234947</v>
      </c>
      <c r="C1073" s="140">
        <v>147131155</v>
      </c>
      <c r="D1073" s="140">
        <v>53131602</v>
      </c>
      <c r="E1073" s="143">
        <v>3</v>
      </c>
      <c r="F1073" s="156" t="s">
        <v>1655</v>
      </c>
      <c r="G1073" s="140" t="s">
        <v>134</v>
      </c>
      <c r="H1073" s="140">
        <f t="shared" si="160"/>
        <v>12</v>
      </c>
      <c r="I1073" s="140">
        <v>10</v>
      </c>
      <c r="J1073" s="140">
        <v>2</v>
      </c>
      <c r="K1073" s="231">
        <v>39000</v>
      </c>
      <c r="L1073" s="618">
        <v>0.19</v>
      </c>
      <c r="M1073" s="178">
        <f t="shared" si="161"/>
        <v>78000</v>
      </c>
      <c r="N1073" s="231">
        <v>42900</v>
      </c>
      <c r="O1073" s="151">
        <v>0.19</v>
      </c>
      <c r="P1073" s="204">
        <f t="shared" si="162"/>
        <v>85800</v>
      </c>
      <c r="Q1073" s="174">
        <f t="shared" si="163"/>
        <v>40950</v>
      </c>
      <c r="R1073" s="151">
        <v>0.19</v>
      </c>
      <c r="S1073" s="174">
        <f t="shared" si="164"/>
        <v>81900</v>
      </c>
    </row>
    <row r="1074" spans="1:19" ht="27.6" x14ac:dyDescent="0.3">
      <c r="A1074" s="140">
        <v>5</v>
      </c>
      <c r="B1074" s="140">
        <v>274382</v>
      </c>
      <c r="C1074" s="140">
        <v>147131155</v>
      </c>
      <c r="D1074" s="140">
        <v>53131602</v>
      </c>
      <c r="E1074" s="143">
        <v>4</v>
      </c>
      <c r="F1074" s="156" t="s">
        <v>1656</v>
      </c>
      <c r="G1074" s="140" t="s">
        <v>788</v>
      </c>
      <c r="H1074" s="140">
        <f t="shared" si="160"/>
        <v>11</v>
      </c>
      <c r="I1074" s="140">
        <v>10</v>
      </c>
      <c r="J1074" s="140">
        <v>1</v>
      </c>
      <c r="K1074" s="231">
        <v>42000</v>
      </c>
      <c r="L1074" s="618">
        <v>0.19</v>
      </c>
      <c r="M1074" s="178">
        <f t="shared" si="161"/>
        <v>42000</v>
      </c>
      <c r="N1074" s="231">
        <v>46200</v>
      </c>
      <c r="O1074" s="151">
        <v>0.19</v>
      </c>
      <c r="P1074" s="204">
        <f t="shared" si="162"/>
        <v>46200</v>
      </c>
      <c r="Q1074" s="174">
        <f t="shared" si="163"/>
        <v>44100</v>
      </c>
      <c r="R1074" s="151">
        <v>0.19</v>
      </c>
      <c r="S1074" s="174">
        <f t="shared" si="164"/>
        <v>44100</v>
      </c>
    </row>
    <row r="1075" spans="1:19" ht="69" x14ac:dyDescent="0.3">
      <c r="A1075" s="140">
        <v>5</v>
      </c>
      <c r="B1075" s="140">
        <v>283222</v>
      </c>
      <c r="C1075" s="140">
        <v>147131155</v>
      </c>
      <c r="D1075" s="140">
        <v>53131602</v>
      </c>
      <c r="E1075" s="143">
        <v>5</v>
      </c>
      <c r="F1075" s="156" t="s">
        <v>1657</v>
      </c>
      <c r="G1075" s="140" t="s">
        <v>25</v>
      </c>
      <c r="H1075" s="140">
        <f t="shared" si="160"/>
        <v>28</v>
      </c>
      <c r="I1075" s="140">
        <v>10</v>
      </c>
      <c r="J1075" s="140">
        <v>18</v>
      </c>
      <c r="K1075" s="231">
        <v>50000</v>
      </c>
      <c r="L1075" s="618">
        <v>0.19</v>
      </c>
      <c r="M1075" s="178">
        <f t="shared" si="161"/>
        <v>900000</v>
      </c>
      <c r="N1075" s="231">
        <v>55000</v>
      </c>
      <c r="O1075" s="151">
        <v>0.19</v>
      </c>
      <c r="P1075" s="204">
        <f t="shared" si="162"/>
        <v>990000</v>
      </c>
      <c r="Q1075" s="174">
        <f t="shared" si="163"/>
        <v>52500</v>
      </c>
      <c r="R1075" s="151">
        <v>0.19</v>
      </c>
      <c r="S1075" s="174">
        <f t="shared" si="164"/>
        <v>945000</v>
      </c>
    </row>
    <row r="1076" spans="1:19" ht="41.4" x14ac:dyDescent="0.3">
      <c r="A1076" s="140">
        <v>5</v>
      </c>
      <c r="B1076" s="140">
        <v>230202</v>
      </c>
      <c r="C1076" s="140">
        <v>147131155</v>
      </c>
      <c r="D1076" s="140">
        <v>53131602</v>
      </c>
      <c r="E1076" s="143">
        <v>6</v>
      </c>
      <c r="F1076" s="156" t="s">
        <v>1658</v>
      </c>
      <c r="G1076" s="140" t="s">
        <v>134</v>
      </c>
      <c r="H1076" s="140">
        <f t="shared" si="160"/>
        <v>14</v>
      </c>
      <c r="I1076" s="140">
        <v>10</v>
      </c>
      <c r="J1076" s="140">
        <v>4</v>
      </c>
      <c r="K1076" s="231">
        <v>34000</v>
      </c>
      <c r="L1076" s="618">
        <v>0.19</v>
      </c>
      <c r="M1076" s="178">
        <f t="shared" si="161"/>
        <v>136000</v>
      </c>
      <c r="N1076" s="231">
        <v>37400</v>
      </c>
      <c r="O1076" s="151">
        <v>0.19</v>
      </c>
      <c r="P1076" s="204">
        <f t="shared" si="162"/>
        <v>149600</v>
      </c>
      <c r="Q1076" s="174">
        <f t="shared" si="163"/>
        <v>35700</v>
      </c>
      <c r="R1076" s="151">
        <v>0.19</v>
      </c>
      <c r="S1076" s="174">
        <f t="shared" si="164"/>
        <v>142800</v>
      </c>
    </row>
    <row r="1077" spans="1:19" ht="69" x14ac:dyDescent="0.3">
      <c r="A1077" s="140">
        <v>5</v>
      </c>
      <c r="B1077" s="140">
        <v>255922</v>
      </c>
      <c r="C1077" s="140">
        <v>147131155</v>
      </c>
      <c r="D1077" s="140">
        <v>53131602</v>
      </c>
      <c r="E1077" s="143">
        <v>7</v>
      </c>
      <c r="F1077" s="156" t="s">
        <v>1659</v>
      </c>
      <c r="G1077" s="140" t="s">
        <v>134</v>
      </c>
      <c r="H1077" s="140">
        <f t="shared" si="160"/>
        <v>11</v>
      </c>
      <c r="I1077" s="140">
        <v>10</v>
      </c>
      <c r="J1077" s="140">
        <v>1</v>
      </c>
      <c r="K1077" s="231">
        <v>105000</v>
      </c>
      <c r="L1077" s="618">
        <v>0.19</v>
      </c>
      <c r="M1077" s="178">
        <f t="shared" si="161"/>
        <v>105000</v>
      </c>
      <c r="N1077" s="231">
        <v>115500</v>
      </c>
      <c r="O1077" s="151">
        <v>0.19</v>
      </c>
      <c r="P1077" s="204">
        <f t="shared" si="162"/>
        <v>115500</v>
      </c>
      <c r="Q1077" s="174">
        <f t="shared" si="163"/>
        <v>110250</v>
      </c>
      <c r="R1077" s="151">
        <v>0.19</v>
      </c>
      <c r="S1077" s="174">
        <f t="shared" si="164"/>
        <v>110250</v>
      </c>
    </row>
    <row r="1078" spans="1:19" ht="55.2" x14ac:dyDescent="0.3">
      <c r="A1078" s="140">
        <v>5</v>
      </c>
      <c r="B1078" s="140">
        <v>255920</v>
      </c>
      <c r="C1078" s="140">
        <v>147131155</v>
      </c>
      <c r="D1078" s="140">
        <v>91101701</v>
      </c>
      <c r="E1078" s="143">
        <v>8</v>
      </c>
      <c r="F1078" s="156" t="s">
        <v>1660</v>
      </c>
      <c r="G1078" s="140" t="s">
        <v>1661</v>
      </c>
      <c r="H1078" s="140">
        <f t="shared" si="160"/>
        <v>30</v>
      </c>
      <c r="I1078" s="140">
        <v>10</v>
      </c>
      <c r="J1078" s="140">
        <v>20</v>
      </c>
      <c r="K1078" s="231">
        <v>29900</v>
      </c>
      <c r="L1078" s="618">
        <v>0.19</v>
      </c>
      <c r="M1078" s="178">
        <f t="shared" si="161"/>
        <v>598000</v>
      </c>
      <c r="N1078" s="231">
        <v>32890</v>
      </c>
      <c r="O1078" s="151">
        <v>0.19</v>
      </c>
      <c r="P1078" s="204">
        <f t="shared" si="162"/>
        <v>657800</v>
      </c>
      <c r="Q1078" s="174">
        <f t="shared" si="163"/>
        <v>31395</v>
      </c>
      <c r="R1078" s="151">
        <v>0.19</v>
      </c>
      <c r="S1078" s="174">
        <f t="shared" si="164"/>
        <v>627900</v>
      </c>
    </row>
    <row r="1079" spans="1:19" ht="41.4" x14ac:dyDescent="0.3">
      <c r="A1079" s="140">
        <v>5</v>
      </c>
      <c r="B1079" s="140">
        <v>247716</v>
      </c>
      <c r="C1079" s="140">
        <v>147131155</v>
      </c>
      <c r="D1079" s="140">
        <v>53131619</v>
      </c>
      <c r="E1079" s="143">
        <v>9</v>
      </c>
      <c r="F1079" s="156" t="s">
        <v>1662</v>
      </c>
      <c r="G1079" s="140" t="s">
        <v>134</v>
      </c>
      <c r="H1079" s="140">
        <f t="shared" si="160"/>
        <v>12</v>
      </c>
      <c r="I1079" s="140">
        <v>10</v>
      </c>
      <c r="J1079" s="140">
        <v>2</v>
      </c>
      <c r="K1079" s="231">
        <v>26500</v>
      </c>
      <c r="L1079" s="618">
        <v>0.19</v>
      </c>
      <c r="M1079" s="178">
        <f t="shared" si="161"/>
        <v>53000</v>
      </c>
      <c r="N1079" s="231">
        <v>29150</v>
      </c>
      <c r="O1079" s="151">
        <v>0.19</v>
      </c>
      <c r="P1079" s="204">
        <f t="shared" si="162"/>
        <v>58300</v>
      </c>
      <c r="Q1079" s="174">
        <f t="shared" si="163"/>
        <v>27825</v>
      </c>
      <c r="R1079" s="151">
        <v>0.19</v>
      </c>
      <c r="S1079" s="174">
        <f t="shared" si="164"/>
        <v>55650</v>
      </c>
    </row>
    <row r="1080" spans="1:19" ht="41.4" x14ac:dyDescent="0.3">
      <c r="A1080" s="140">
        <v>5</v>
      </c>
      <c r="B1080" s="140">
        <v>247716</v>
      </c>
      <c r="C1080" s="140">
        <v>147131155</v>
      </c>
      <c r="D1080" s="140">
        <v>53131619</v>
      </c>
      <c r="E1080" s="143">
        <v>10</v>
      </c>
      <c r="F1080" s="156" t="s">
        <v>1663</v>
      </c>
      <c r="G1080" s="140" t="s">
        <v>134</v>
      </c>
      <c r="H1080" s="140">
        <f t="shared" si="160"/>
        <v>12</v>
      </c>
      <c r="I1080" s="140">
        <v>10</v>
      </c>
      <c r="J1080" s="140">
        <v>2</v>
      </c>
      <c r="K1080" s="231">
        <v>26500</v>
      </c>
      <c r="L1080" s="618">
        <v>0.19</v>
      </c>
      <c r="M1080" s="178">
        <f t="shared" si="161"/>
        <v>53000</v>
      </c>
      <c r="N1080" s="231">
        <v>29150</v>
      </c>
      <c r="O1080" s="151">
        <v>0.19</v>
      </c>
      <c r="P1080" s="204">
        <f t="shared" si="162"/>
        <v>58300</v>
      </c>
      <c r="Q1080" s="174">
        <f t="shared" si="163"/>
        <v>27825</v>
      </c>
      <c r="R1080" s="151">
        <v>0.19</v>
      </c>
      <c r="S1080" s="174">
        <f t="shared" si="164"/>
        <v>55650</v>
      </c>
    </row>
    <row r="1081" spans="1:19" customFormat="1" ht="41.4" x14ac:dyDescent="0.3">
      <c r="A1081" s="140">
        <v>5</v>
      </c>
      <c r="B1081" s="140">
        <v>247716</v>
      </c>
      <c r="C1081" s="140">
        <v>147131155</v>
      </c>
      <c r="D1081" s="140">
        <v>53131619</v>
      </c>
      <c r="E1081" s="143">
        <v>11</v>
      </c>
      <c r="F1081" s="156" t="s">
        <v>1664</v>
      </c>
      <c r="G1081" s="140" t="s">
        <v>134</v>
      </c>
      <c r="H1081" s="140">
        <f t="shared" si="160"/>
        <v>12</v>
      </c>
      <c r="I1081" s="140">
        <v>10</v>
      </c>
      <c r="J1081" s="140">
        <v>2</v>
      </c>
      <c r="K1081" s="231">
        <v>26500</v>
      </c>
      <c r="L1081" s="618">
        <v>0.19</v>
      </c>
      <c r="M1081" s="178">
        <f t="shared" si="161"/>
        <v>53000</v>
      </c>
      <c r="N1081" s="231">
        <v>29150</v>
      </c>
      <c r="O1081" s="618">
        <v>0.19</v>
      </c>
      <c r="P1081" s="204">
        <f t="shared" si="162"/>
        <v>58300</v>
      </c>
      <c r="Q1081" s="174">
        <f t="shared" si="163"/>
        <v>27825</v>
      </c>
      <c r="R1081" s="618">
        <v>0.19</v>
      </c>
      <c r="S1081" s="174">
        <f t="shared" si="164"/>
        <v>55650</v>
      </c>
    </row>
    <row r="1082" spans="1:19" customFormat="1" x14ac:dyDescent="0.3">
      <c r="A1082" s="140">
        <v>5</v>
      </c>
      <c r="B1082" s="140">
        <v>231200</v>
      </c>
      <c r="C1082" s="140">
        <v>147131156</v>
      </c>
      <c r="D1082" s="140">
        <v>53131613</v>
      </c>
      <c r="E1082" s="143">
        <v>12</v>
      </c>
      <c r="F1082" s="156" t="s">
        <v>1665</v>
      </c>
      <c r="G1082" s="140" t="s">
        <v>813</v>
      </c>
      <c r="H1082" s="140">
        <f t="shared" si="160"/>
        <v>13</v>
      </c>
      <c r="I1082" s="140">
        <v>10</v>
      </c>
      <c r="J1082" s="140">
        <v>3</v>
      </c>
      <c r="K1082" s="231">
        <v>75000</v>
      </c>
      <c r="L1082" s="618">
        <v>0.19</v>
      </c>
      <c r="M1082" s="178">
        <f t="shared" si="161"/>
        <v>225000</v>
      </c>
      <c r="N1082" s="231">
        <v>82500</v>
      </c>
      <c r="O1082" s="618">
        <v>0.19</v>
      </c>
      <c r="P1082" s="204">
        <f t="shared" si="162"/>
        <v>247500</v>
      </c>
      <c r="Q1082" s="174">
        <f t="shared" si="163"/>
        <v>78750</v>
      </c>
      <c r="R1082" s="618">
        <v>0.19</v>
      </c>
      <c r="S1082" s="174">
        <f t="shared" si="164"/>
        <v>236250</v>
      </c>
    </row>
    <row r="1083" spans="1:19" customFormat="1" x14ac:dyDescent="0.3">
      <c r="A1083" s="140">
        <v>5</v>
      </c>
      <c r="B1083" s="140">
        <v>247539</v>
      </c>
      <c r="C1083" s="140">
        <v>147131156</v>
      </c>
      <c r="D1083" s="140">
        <v>53131613</v>
      </c>
      <c r="E1083" s="143">
        <v>13</v>
      </c>
      <c r="F1083" s="156" t="s">
        <v>1666</v>
      </c>
      <c r="G1083" s="140" t="s">
        <v>1667</v>
      </c>
      <c r="H1083" s="140">
        <f t="shared" si="160"/>
        <v>14</v>
      </c>
      <c r="I1083" s="140">
        <v>10</v>
      </c>
      <c r="J1083" s="140">
        <v>4</v>
      </c>
      <c r="K1083" s="231">
        <v>25000</v>
      </c>
      <c r="L1083" s="618">
        <v>0.19</v>
      </c>
      <c r="M1083" s="178">
        <f t="shared" si="161"/>
        <v>100000</v>
      </c>
      <c r="N1083" s="231">
        <v>27500</v>
      </c>
      <c r="O1083" s="618">
        <v>0.19</v>
      </c>
      <c r="P1083" s="204">
        <f t="shared" si="162"/>
        <v>110000</v>
      </c>
      <c r="Q1083" s="174">
        <f t="shared" si="163"/>
        <v>26250</v>
      </c>
      <c r="R1083" s="618">
        <v>0.19</v>
      </c>
      <c r="S1083" s="174">
        <f t="shared" si="164"/>
        <v>105000</v>
      </c>
    </row>
    <row r="1084" spans="1:19" customFormat="1" ht="41.4" x14ac:dyDescent="0.3">
      <c r="A1084" s="140">
        <v>5</v>
      </c>
      <c r="B1084" s="140">
        <v>255866</v>
      </c>
      <c r="C1084" s="140">
        <v>147131156</v>
      </c>
      <c r="D1084" s="140">
        <v>53131613</v>
      </c>
      <c r="E1084" s="143">
        <v>14</v>
      </c>
      <c r="F1084" s="156" t="s">
        <v>1668</v>
      </c>
      <c r="G1084" s="140" t="s">
        <v>813</v>
      </c>
      <c r="H1084" s="140">
        <f t="shared" si="160"/>
        <v>13</v>
      </c>
      <c r="I1084" s="140">
        <v>10</v>
      </c>
      <c r="J1084" s="140">
        <v>3</v>
      </c>
      <c r="K1084" s="231">
        <v>66000</v>
      </c>
      <c r="L1084" s="618">
        <v>0.19</v>
      </c>
      <c r="M1084" s="178">
        <f t="shared" si="161"/>
        <v>198000</v>
      </c>
      <c r="N1084" s="231">
        <v>72600</v>
      </c>
      <c r="O1084" s="618">
        <v>0.19</v>
      </c>
      <c r="P1084" s="204">
        <f t="shared" si="162"/>
        <v>217800</v>
      </c>
      <c r="Q1084" s="174">
        <f t="shared" si="163"/>
        <v>69300</v>
      </c>
      <c r="R1084" s="618">
        <v>0.19</v>
      </c>
      <c r="S1084" s="174">
        <f t="shared" si="164"/>
        <v>207900</v>
      </c>
    </row>
    <row r="1085" spans="1:19" customFormat="1" x14ac:dyDescent="0.3">
      <c r="A1085" s="140">
        <v>5</v>
      </c>
      <c r="B1085" s="140">
        <v>286200</v>
      </c>
      <c r="C1085" s="140">
        <v>147131156</v>
      </c>
      <c r="D1085" s="140">
        <v>53131613</v>
      </c>
      <c r="E1085" s="143">
        <v>15</v>
      </c>
      <c r="F1085" s="156" t="s">
        <v>1669</v>
      </c>
      <c r="G1085" s="140" t="s">
        <v>1670</v>
      </c>
      <c r="H1085" s="140">
        <f t="shared" si="160"/>
        <v>16</v>
      </c>
      <c r="I1085" s="140">
        <v>10</v>
      </c>
      <c r="J1085" s="140">
        <v>6</v>
      </c>
      <c r="K1085" s="295">
        <v>99000</v>
      </c>
      <c r="L1085" s="618">
        <v>0.19</v>
      </c>
      <c r="M1085" s="178">
        <f t="shared" si="161"/>
        <v>594000</v>
      </c>
      <c r="N1085" s="231">
        <v>108900</v>
      </c>
      <c r="O1085" s="618">
        <v>0.19</v>
      </c>
      <c r="P1085" s="204">
        <f t="shared" si="162"/>
        <v>653400</v>
      </c>
      <c r="Q1085" s="174">
        <f t="shared" si="163"/>
        <v>103950</v>
      </c>
      <c r="R1085" s="618">
        <v>0.19</v>
      </c>
      <c r="S1085" s="174">
        <f t="shared" si="164"/>
        <v>623700</v>
      </c>
    </row>
    <row r="1086" spans="1:19" customFormat="1" ht="27.6" x14ac:dyDescent="0.3">
      <c r="A1086" s="140">
        <v>5</v>
      </c>
      <c r="B1086" s="140">
        <v>231213</v>
      </c>
      <c r="C1086" s="140">
        <v>147131156</v>
      </c>
      <c r="D1086" s="140">
        <v>47131502</v>
      </c>
      <c r="E1086" s="143">
        <v>16</v>
      </c>
      <c r="F1086" s="156" t="s">
        <v>1671</v>
      </c>
      <c r="G1086" s="140" t="s">
        <v>156</v>
      </c>
      <c r="H1086" s="140">
        <f t="shared" si="160"/>
        <v>13</v>
      </c>
      <c r="I1086" s="140">
        <v>10</v>
      </c>
      <c r="J1086" s="140">
        <v>3</v>
      </c>
      <c r="K1086" s="231">
        <v>29500</v>
      </c>
      <c r="L1086" s="618">
        <v>0.19</v>
      </c>
      <c r="M1086" s="178">
        <f t="shared" si="161"/>
        <v>88500</v>
      </c>
      <c r="N1086" s="231">
        <v>32450</v>
      </c>
      <c r="O1086" s="618">
        <v>0.19</v>
      </c>
      <c r="P1086" s="204">
        <f t="shared" si="162"/>
        <v>97350</v>
      </c>
      <c r="Q1086" s="174">
        <f t="shared" si="163"/>
        <v>30975</v>
      </c>
      <c r="R1086" s="618">
        <v>0.19</v>
      </c>
      <c r="S1086" s="174">
        <f t="shared" si="164"/>
        <v>92925</v>
      </c>
    </row>
    <row r="1087" spans="1:19" customFormat="1" ht="110.4" x14ac:dyDescent="0.3">
      <c r="A1087" s="140">
        <v>5</v>
      </c>
      <c r="B1087" s="140">
        <v>255922</v>
      </c>
      <c r="C1087" s="140">
        <v>147131155</v>
      </c>
      <c r="D1087" s="140">
        <v>53131634</v>
      </c>
      <c r="E1087" s="143">
        <v>17</v>
      </c>
      <c r="F1087" s="156" t="s">
        <v>1672</v>
      </c>
      <c r="G1087" s="140" t="s">
        <v>788</v>
      </c>
      <c r="H1087" s="140">
        <f t="shared" si="160"/>
        <v>13</v>
      </c>
      <c r="I1087" s="140">
        <v>10</v>
      </c>
      <c r="J1087" s="140">
        <v>3</v>
      </c>
      <c r="K1087" s="231">
        <v>398500</v>
      </c>
      <c r="L1087" s="618">
        <v>0.19</v>
      </c>
      <c r="M1087" s="178">
        <f t="shared" si="161"/>
        <v>1195500</v>
      </c>
      <c r="N1087" s="231">
        <v>438350</v>
      </c>
      <c r="O1087" s="618">
        <v>0.19</v>
      </c>
      <c r="P1087" s="204">
        <f t="shared" si="162"/>
        <v>1315050</v>
      </c>
      <c r="Q1087" s="174">
        <f t="shared" si="163"/>
        <v>418425</v>
      </c>
      <c r="R1087" s="618">
        <v>0.19</v>
      </c>
      <c r="S1087" s="174">
        <f t="shared" si="164"/>
        <v>1255275</v>
      </c>
    </row>
    <row r="1088" spans="1:19" customFormat="1" ht="41.4" x14ac:dyDescent="0.3">
      <c r="A1088" s="140">
        <v>5</v>
      </c>
      <c r="B1088" s="140">
        <v>255922</v>
      </c>
      <c r="C1088" s="140">
        <v>147131155</v>
      </c>
      <c r="D1088" s="140">
        <v>53131602</v>
      </c>
      <c r="E1088" s="143">
        <v>18</v>
      </c>
      <c r="F1088" s="156" t="s">
        <v>1673</v>
      </c>
      <c r="G1088" s="140" t="s">
        <v>788</v>
      </c>
      <c r="H1088" s="140">
        <f t="shared" si="160"/>
        <v>12</v>
      </c>
      <c r="I1088" s="140">
        <v>10</v>
      </c>
      <c r="J1088" s="140">
        <v>2</v>
      </c>
      <c r="K1088" s="297">
        <v>52000</v>
      </c>
      <c r="L1088" s="618">
        <v>0.19</v>
      </c>
      <c r="M1088" s="178">
        <f t="shared" si="161"/>
        <v>104000</v>
      </c>
      <c r="N1088" s="231">
        <v>57200</v>
      </c>
      <c r="O1088" s="618">
        <v>0.19</v>
      </c>
      <c r="P1088" s="204">
        <f t="shared" si="162"/>
        <v>114400</v>
      </c>
      <c r="Q1088" s="174">
        <f t="shared" si="163"/>
        <v>54600</v>
      </c>
      <c r="R1088" s="618">
        <v>0.19</v>
      </c>
      <c r="S1088" s="174">
        <f t="shared" si="164"/>
        <v>109200</v>
      </c>
    </row>
    <row r="1089" spans="1:19" ht="55.2" x14ac:dyDescent="0.3">
      <c r="A1089" s="140">
        <v>5</v>
      </c>
      <c r="B1089" s="140">
        <v>255922</v>
      </c>
      <c r="C1089" s="140">
        <v>147131155</v>
      </c>
      <c r="D1089" s="140">
        <v>53131602</v>
      </c>
      <c r="E1089" s="143">
        <v>19</v>
      </c>
      <c r="F1089" s="156" t="s">
        <v>1674</v>
      </c>
      <c r="G1089" s="140" t="s">
        <v>788</v>
      </c>
      <c r="H1089" s="140">
        <f t="shared" si="160"/>
        <v>14</v>
      </c>
      <c r="I1089" s="140">
        <v>10</v>
      </c>
      <c r="J1089" s="140">
        <v>4</v>
      </c>
      <c r="K1089" s="297">
        <v>21000</v>
      </c>
      <c r="L1089" s="618">
        <v>0.19</v>
      </c>
      <c r="M1089" s="178">
        <f t="shared" si="161"/>
        <v>84000</v>
      </c>
      <c r="N1089" s="231">
        <v>23100</v>
      </c>
      <c r="O1089" s="151">
        <v>0.19</v>
      </c>
      <c r="P1089" s="204">
        <f t="shared" si="162"/>
        <v>92400</v>
      </c>
      <c r="Q1089" s="174">
        <f t="shared" si="163"/>
        <v>22050</v>
      </c>
      <c r="R1089" s="151">
        <v>0.19</v>
      </c>
      <c r="S1089" s="174">
        <f t="shared" si="164"/>
        <v>88200</v>
      </c>
    </row>
    <row r="1090" spans="1:19" ht="82.8" x14ac:dyDescent="0.3">
      <c r="A1090" s="140">
        <v>5</v>
      </c>
      <c r="B1090" s="140">
        <v>255922</v>
      </c>
      <c r="C1090" s="140">
        <v>147131155</v>
      </c>
      <c r="D1090" s="140">
        <v>53131602</v>
      </c>
      <c r="E1090" s="143">
        <v>20</v>
      </c>
      <c r="F1090" s="156" t="s">
        <v>1675</v>
      </c>
      <c r="G1090" s="140" t="s">
        <v>25</v>
      </c>
      <c r="H1090" s="140">
        <f t="shared" si="160"/>
        <v>12</v>
      </c>
      <c r="I1090" s="140">
        <v>10</v>
      </c>
      <c r="J1090" s="140">
        <v>2</v>
      </c>
      <c r="K1090" s="297">
        <v>36000</v>
      </c>
      <c r="L1090" s="618">
        <v>0.19</v>
      </c>
      <c r="M1090" s="178">
        <f t="shared" si="161"/>
        <v>72000</v>
      </c>
      <c r="N1090" s="231">
        <v>39600</v>
      </c>
      <c r="O1090" s="151">
        <v>0.19</v>
      </c>
      <c r="P1090" s="204">
        <f t="shared" si="162"/>
        <v>79200</v>
      </c>
      <c r="Q1090" s="174">
        <f t="shared" si="163"/>
        <v>37800</v>
      </c>
      <c r="R1090" s="151">
        <v>0.19</v>
      </c>
      <c r="S1090" s="174">
        <f t="shared" si="164"/>
        <v>75600</v>
      </c>
    </row>
    <row r="1091" spans="1:19" ht="41.4" x14ac:dyDescent="0.3">
      <c r="A1091" s="140">
        <v>5</v>
      </c>
      <c r="B1091" s="140">
        <v>274030</v>
      </c>
      <c r="C1091" s="140">
        <v>147131155</v>
      </c>
      <c r="D1091" s="140">
        <v>53131619</v>
      </c>
      <c r="E1091" s="143">
        <v>21</v>
      </c>
      <c r="F1091" s="156" t="s">
        <v>1676</v>
      </c>
      <c r="G1091" s="140" t="s">
        <v>1667</v>
      </c>
      <c r="H1091" s="140">
        <f t="shared" si="160"/>
        <v>12</v>
      </c>
      <c r="I1091" s="140">
        <v>10</v>
      </c>
      <c r="J1091" s="140">
        <v>2</v>
      </c>
      <c r="K1091" s="297">
        <v>78000</v>
      </c>
      <c r="L1091" s="618">
        <v>0.19</v>
      </c>
      <c r="M1091" s="178">
        <f t="shared" si="161"/>
        <v>156000</v>
      </c>
      <c r="N1091" s="231">
        <v>85800</v>
      </c>
      <c r="O1091" s="151">
        <v>0.19</v>
      </c>
      <c r="P1091" s="204">
        <f t="shared" si="162"/>
        <v>171600</v>
      </c>
      <c r="Q1091" s="174">
        <f t="shared" si="163"/>
        <v>81900</v>
      </c>
      <c r="R1091" s="151">
        <v>0.19</v>
      </c>
      <c r="S1091" s="174">
        <f t="shared" si="164"/>
        <v>163800</v>
      </c>
    </row>
    <row r="1092" spans="1:19" ht="41.4" x14ac:dyDescent="0.3">
      <c r="A1092" s="140">
        <v>5</v>
      </c>
      <c r="B1092" s="140">
        <v>234940</v>
      </c>
      <c r="C1092" s="140">
        <v>147131155</v>
      </c>
      <c r="D1092" s="140">
        <v>53131602</v>
      </c>
      <c r="E1092" s="143">
        <v>22</v>
      </c>
      <c r="F1092" s="296" t="s">
        <v>1677</v>
      </c>
      <c r="G1092" s="140" t="s">
        <v>156</v>
      </c>
      <c r="H1092" s="140">
        <f t="shared" si="160"/>
        <v>11</v>
      </c>
      <c r="I1092" s="140">
        <v>10</v>
      </c>
      <c r="J1092" s="140">
        <v>1</v>
      </c>
      <c r="K1092" s="297">
        <v>47500</v>
      </c>
      <c r="L1092" s="618">
        <v>0.19</v>
      </c>
      <c r="M1092" s="178">
        <f t="shared" si="161"/>
        <v>47500</v>
      </c>
      <c r="N1092" s="231">
        <v>52250</v>
      </c>
      <c r="O1092" s="151">
        <v>0.19</v>
      </c>
      <c r="P1092" s="204">
        <f t="shared" si="162"/>
        <v>52250</v>
      </c>
      <c r="Q1092" s="174">
        <f t="shared" si="163"/>
        <v>49875</v>
      </c>
      <c r="R1092" s="151">
        <v>0.19</v>
      </c>
      <c r="S1092" s="174">
        <f t="shared" si="164"/>
        <v>49875</v>
      </c>
    </row>
    <row r="1093" spans="1:19" ht="96.6" x14ac:dyDescent="0.3">
      <c r="A1093" s="140">
        <v>5</v>
      </c>
      <c r="B1093" s="140">
        <v>255724</v>
      </c>
      <c r="C1093" s="140">
        <v>147131155</v>
      </c>
      <c r="D1093" s="140">
        <v>53131605</v>
      </c>
      <c r="E1093" s="143">
        <v>23</v>
      </c>
      <c r="F1093" s="296" t="s">
        <v>1678</v>
      </c>
      <c r="G1093" s="140" t="s">
        <v>813</v>
      </c>
      <c r="H1093" s="140">
        <f t="shared" si="160"/>
        <v>11</v>
      </c>
      <c r="I1093" s="140">
        <v>10</v>
      </c>
      <c r="J1093" s="140">
        <v>1</v>
      </c>
      <c r="K1093" s="297">
        <v>330000</v>
      </c>
      <c r="L1093" s="618">
        <v>0.19</v>
      </c>
      <c r="M1093" s="178">
        <f t="shared" si="161"/>
        <v>330000</v>
      </c>
      <c r="N1093" s="231">
        <v>363000</v>
      </c>
      <c r="O1093" s="151">
        <v>0.19</v>
      </c>
      <c r="P1093" s="204">
        <f t="shared" si="162"/>
        <v>363000</v>
      </c>
      <c r="Q1093" s="174">
        <f t="shared" si="163"/>
        <v>346500</v>
      </c>
      <c r="R1093" s="151">
        <v>0.19</v>
      </c>
      <c r="S1093" s="174">
        <f t="shared" si="164"/>
        <v>346500</v>
      </c>
    </row>
    <row r="1094" spans="1:19" x14ac:dyDescent="0.3">
      <c r="A1094" s="713"/>
      <c r="B1094" s="714"/>
      <c r="C1094" s="714"/>
      <c r="D1094" s="714"/>
      <c r="E1094" s="714"/>
      <c r="F1094" s="714"/>
      <c r="G1094" s="714"/>
      <c r="H1094" s="714"/>
      <c r="I1094" s="714"/>
      <c r="J1094" s="714"/>
      <c r="K1094" s="714"/>
      <c r="L1094" s="715"/>
      <c r="M1094" s="178">
        <f>SUM(M1071:M1093)</f>
        <v>6051500</v>
      </c>
      <c r="N1094" s="706"/>
      <c r="O1094" s="708"/>
      <c r="P1094" s="204">
        <f>SUM(P1071:P1093)</f>
        <v>6656650</v>
      </c>
      <c r="Q1094" s="713"/>
      <c r="R1094" s="715"/>
      <c r="S1094" s="174">
        <f>SUM(S1071:S1093)</f>
        <v>6354075</v>
      </c>
    </row>
    <row r="1098" spans="1:19" ht="49.2" customHeight="1" x14ac:dyDescent="0.3">
      <c r="A1098" s="541" t="s">
        <v>1679</v>
      </c>
      <c r="B1098" s="541"/>
      <c r="C1098" s="541"/>
      <c r="D1098" s="541"/>
      <c r="E1098" s="541"/>
      <c r="F1098" s="541"/>
      <c r="G1098" s="541"/>
      <c r="H1098" s="541"/>
      <c r="I1098" s="541"/>
      <c r="J1098" s="541"/>
      <c r="K1098" s="541"/>
      <c r="L1098" s="541"/>
      <c r="M1098" s="541"/>
      <c r="N1098" s="541"/>
      <c r="O1098" s="541"/>
      <c r="P1098" s="541"/>
      <c r="Q1098" s="541"/>
      <c r="R1098" s="541"/>
      <c r="S1098" s="541"/>
    </row>
    <row r="1099" spans="1:19" ht="30" customHeight="1" x14ac:dyDescent="0.3">
      <c r="A1099" s="541"/>
      <c r="B1099" s="541"/>
      <c r="C1099" s="541"/>
      <c r="D1099" s="541"/>
      <c r="E1099" s="699" t="s">
        <v>1679</v>
      </c>
      <c r="F1099" s="700"/>
      <c r="G1099" s="700"/>
      <c r="H1099" s="701"/>
      <c r="I1099" s="541"/>
      <c r="J1099" s="541"/>
      <c r="K1099" s="541"/>
      <c r="L1099" s="541"/>
      <c r="M1099" s="541"/>
      <c r="N1099" s="541"/>
      <c r="O1099" s="541"/>
      <c r="P1099" s="541"/>
      <c r="Q1099" s="541"/>
      <c r="R1099" s="541"/>
      <c r="S1099" s="541"/>
    </row>
    <row r="1100" spans="1:19" ht="15.6" x14ac:dyDescent="0.3">
      <c r="A1100" s="709" t="s">
        <v>83</v>
      </c>
      <c r="B1100" s="709" t="s">
        <v>84</v>
      </c>
      <c r="C1100" s="709" t="s">
        <v>85</v>
      </c>
      <c r="D1100" s="711" t="s">
        <v>86</v>
      </c>
      <c r="E1100" s="709" t="s">
        <v>6</v>
      </c>
      <c r="F1100" s="709" t="s">
        <v>87</v>
      </c>
      <c r="G1100" s="709" t="s">
        <v>88</v>
      </c>
      <c r="H1100" s="702" t="s">
        <v>89</v>
      </c>
      <c r="I1100" s="124"/>
      <c r="J1100" s="705" t="s">
        <v>89</v>
      </c>
      <c r="K1100" s="710" t="s">
        <v>818</v>
      </c>
      <c r="L1100" s="710"/>
      <c r="M1100" s="710"/>
      <c r="N1100" s="704" t="s">
        <v>819</v>
      </c>
      <c r="O1100" s="704"/>
      <c r="P1100" s="704"/>
      <c r="Q1100" s="705" t="s">
        <v>15</v>
      </c>
      <c r="R1100" s="705"/>
      <c r="S1100" s="705"/>
    </row>
    <row r="1101" spans="1:19" ht="46.8" x14ac:dyDescent="0.3">
      <c r="A1101" s="709"/>
      <c r="B1101" s="709"/>
      <c r="C1101" s="709"/>
      <c r="D1101" s="711"/>
      <c r="E1101" s="709"/>
      <c r="F1101" s="709"/>
      <c r="G1101" s="709"/>
      <c r="H1101" s="703"/>
      <c r="I1101" s="124"/>
      <c r="J1101" s="705"/>
      <c r="K1101" s="25" t="s">
        <v>382</v>
      </c>
      <c r="L1101" s="25" t="s">
        <v>17</v>
      </c>
      <c r="M1101" s="25" t="s">
        <v>18</v>
      </c>
      <c r="N1101" s="25" t="s">
        <v>367</v>
      </c>
      <c r="O1101" s="25" t="s">
        <v>17</v>
      </c>
      <c r="P1101" s="248" t="s">
        <v>18</v>
      </c>
      <c r="Q1101" s="25" t="s">
        <v>367</v>
      </c>
      <c r="R1101" s="25" t="s">
        <v>17</v>
      </c>
      <c r="S1101" s="25" t="s">
        <v>18</v>
      </c>
    </row>
    <row r="1102" spans="1:19" ht="27.6" x14ac:dyDescent="0.3">
      <c r="A1102" s="144">
        <v>5</v>
      </c>
      <c r="B1102" s="145" t="s">
        <v>390</v>
      </c>
      <c r="C1102" s="144">
        <v>244030</v>
      </c>
      <c r="D1102" s="144">
        <v>11151507</v>
      </c>
      <c r="E1102" s="144">
        <v>1</v>
      </c>
      <c r="F1102" s="141" t="s">
        <v>1081</v>
      </c>
      <c r="G1102" s="144" t="s">
        <v>384</v>
      </c>
      <c r="H1102" s="144">
        <f>I1102+J1102</f>
        <v>25</v>
      </c>
      <c r="I1102" s="339">
        <v>10</v>
      </c>
      <c r="J1102" s="339">
        <v>15</v>
      </c>
      <c r="K1102" s="231">
        <v>40337</v>
      </c>
      <c r="L1102" s="151">
        <v>0.19</v>
      </c>
      <c r="M1102" s="178">
        <f>K1102*J1102</f>
        <v>605055</v>
      </c>
      <c r="N1102" s="294">
        <v>44369</v>
      </c>
      <c r="O1102" s="151">
        <v>0.19</v>
      </c>
      <c r="P1102" s="204">
        <f>N1102*J1102</f>
        <v>665535</v>
      </c>
      <c r="Q1102" s="174">
        <f>SUM(K1102+N1102)/2</f>
        <v>42353</v>
      </c>
      <c r="R1102" s="151">
        <v>0.19</v>
      </c>
      <c r="S1102" s="174">
        <f>Q1102*J1102</f>
        <v>635295</v>
      </c>
    </row>
    <row r="1103" spans="1:19" x14ac:dyDescent="0.3">
      <c r="A1103" s="144">
        <v>5</v>
      </c>
      <c r="B1103" s="145" t="s">
        <v>1090</v>
      </c>
      <c r="C1103" s="144">
        <v>273419</v>
      </c>
      <c r="D1103" s="144">
        <v>23153400</v>
      </c>
      <c r="E1103" s="144">
        <v>2</v>
      </c>
      <c r="F1103" s="298" t="s">
        <v>1680</v>
      </c>
      <c r="G1103" s="144" t="s">
        <v>1681</v>
      </c>
      <c r="H1103" s="144">
        <f t="shared" ref="H1103:H1111" si="165">I1103+J1103</f>
        <v>12</v>
      </c>
      <c r="I1103" s="339">
        <v>10</v>
      </c>
      <c r="J1103" s="339">
        <v>2</v>
      </c>
      <c r="K1103" s="231">
        <v>147059</v>
      </c>
      <c r="L1103" s="151">
        <v>0.19</v>
      </c>
      <c r="M1103" s="178">
        <f t="shared" ref="M1103:M1111" si="166">K1103*J1103</f>
        <v>294118</v>
      </c>
      <c r="N1103" s="294">
        <v>161764</v>
      </c>
      <c r="O1103" s="151">
        <v>0.19</v>
      </c>
      <c r="P1103" s="204">
        <f t="shared" ref="P1103:P1111" si="167">N1103*J1103</f>
        <v>323528</v>
      </c>
      <c r="Q1103" s="174">
        <f t="shared" ref="Q1103:Q1111" si="168">SUM(K1103+N1103)/2</f>
        <v>154411.5</v>
      </c>
      <c r="R1103" s="151">
        <v>0.19</v>
      </c>
      <c r="S1103" s="174">
        <f t="shared" ref="S1103:S1111" si="169">Q1103*J1103</f>
        <v>308823</v>
      </c>
    </row>
    <row r="1104" spans="1:19" x14ac:dyDescent="0.3">
      <c r="A1104" s="144">
        <v>5</v>
      </c>
      <c r="B1104" s="149" t="s">
        <v>1682</v>
      </c>
      <c r="C1104" s="149" t="s">
        <v>1683</v>
      </c>
      <c r="D1104" s="144">
        <v>53121605</v>
      </c>
      <c r="E1104" s="230">
        <v>3</v>
      </c>
      <c r="F1104" s="298" t="s">
        <v>1684</v>
      </c>
      <c r="G1104" s="144" t="s">
        <v>1685</v>
      </c>
      <c r="H1104" s="144">
        <f t="shared" si="165"/>
        <v>11</v>
      </c>
      <c r="I1104" s="339">
        <v>10</v>
      </c>
      <c r="J1104" s="339">
        <v>1</v>
      </c>
      <c r="K1104" s="231">
        <v>50421</v>
      </c>
      <c r="L1104" s="151">
        <v>0.19</v>
      </c>
      <c r="M1104" s="178">
        <f t="shared" si="166"/>
        <v>50421</v>
      </c>
      <c r="N1104" s="294">
        <v>55462</v>
      </c>
      <c r="O1104" s="151">
        <v>0.19</v>
      </c>
      <c r="P1104" s="204">
        <f t="shared" si="167"/>
        <v>55462</v>
      </c>
      <c r="Q1104" s="174">
        <f t="shared" si="168"/>
        <v>52941.5</v>
      </c>
      <c r="R1104" s="151">
        <v>0.19</v>
      </c>
      <c r="S1104" s="174">
        <f t="shared" si="169"/>
        <v>52941.5</v>
      </c>
    </row>
    <row r="1105" spans="1:19" x14ac:dyDescent="0.3">
      <c r="A1105" s="144">
        <v>5</v>
      </c>
      <c r="B1105" s="145" t="s">
        <v>390</v>
      </c>
      <c r="C1105" s="144" t="s">
        <v>1686</v>
      </c>
      <c r="D1105" s="144">
        <v>53141507</v>
      </c>
      <c r="E1105" s="230">
        <v>4</v>
      </c>
      <c r="F1105" s="298" t="s">
        <v>1687</v>
      </c>
      <c r="G1105" s="144" t="s">
        <v>1331</v>
      </c>
      <c r="H1105" s="144">
        <f t="shared" si="165"/>
        <v>12</v>
      </c>
      <c r="I1105" s="339">
        <v>10</v>
      </c>
      <c r="J1105" s="339">
        <v>2</v>
      </c>
      <c r="K1105" s="231">
        <v>92437</v>
      </c>
      <c r="L1105" s="151">
        <v>0.19</v>
      </c>
      <c r="M1105" s="178">
        <f t="shared" si="166"/>
        <v>184874</v>
      </c>
      <c r="N1105" s="294">
        <v>101680</v>
      </c>
      <c r="O1105" s="151">
        <v>0.19</v>
      </c>
      <c r="P1105" s="204">
        <f t="shared" si="167"/>
        <v>203360</v>
      </c>
      <c r="Q1105" s="174">
        <f t="shared" si="168"/>
        <v>97058.5</v>
      </c>
      <c r="R1105" s="151">
        <v>0.19</v>
      </c>
      <c r="S1105" s="174">
        <f t="shared" si="169"/>
        <v>194117</v>
      </c>
    </row>
    <row r="1106" spans="1:19" x14ac:dyDescent="0.3">
      <c r="A1106" s="144">
        <v>5</v>
      </c>
      <c r="B1106" s="145" t="s">
        <v>390</v>
      </c>
      <c r="C1106" s="144" t="s">
        <v>1688</v>
      </c>
      <c r="D1106" s="144">
        <v>52141608</v>
      </c>
      <c r="E1106" s="144">
        <v>5</v>
      </c>
      <c r="F1106" s="142" t="s">
        <v>1689</v>
      </c>
      <c r="G1106" s="144" t="s">
        <v>1690</v>
      </c>
      <c r="H1106" s="144">
        <f t="shared" si="165"/>
        <v>20</v>
      </c>
      <c r="I1106" s="339">
        <v>10</v>
      </c>
      <c r="J1106" s="144">
        <v>10</v>
      </c>
      <c r="K1106" s="295">
        <v>46219</v>
      </c>
      <c r="L1106" s="151">
        <v>0.19</v>
      </c>
      <c r="M1106" s="178">
        <f t="shared" si="166"/>
        <v>462190</v>
      </c>
      <c r="N1106" s="295">
        <v>50840</v>
      </c>
      <c r="O1106" s="151">
        <v>0.19</v>
      </c>
      <c r="P1106" s="204">
        <f t="shared" si="167"/>
        <v>508400</v>
      </c>
      <c r="Q1106" s="174">
        <f t="shared" si="168"/>
        <v>48529.5</v>
      </c>
      <c r="R1106" s="151">
        <v>0.19</v>
      </c>
      <c r="S1106" s="174">
        <f t="shared" si="169"/>
        <v>485295</v>
      </c>
    </row>
    <row r="1107" spans="1:19" ht="27.6" x14ac:dyDescent="0.3">
      <c r="A1107" s="144">
        <v>5</v>
      </c>
      <c r="B1107" s="145" t="s">
        <v>390</v>
      </c>
      <c r="C1107" s="145" t="s">
        <v>1691</v>
      </c>
      <c r="D1107" s="143">
        <v>11162307</v>
      </c>
      <c r="E1107" s="144">
        <v>6</v>
      </c>
      <c r="F1107" s="620" t="s">
        <v>1692</v>
      </c>
      <c r="G1107" s="144" t="s">
        <v>1693</v>
      </c>
      <c r="H1107" s="144">
        <f t="shared" si="165"/>
        <v>1110</v>
      </c>
      <c r="I1107" s="339">
        <v>10</v>
      </c>
      <c r="J1107" s="340">
        <v>1100</v>
      </c>
      <c r="K1107" s="231">
        <v>1597</v>
      </c>
      <c r="L1107" s="151">
        <v>0.19</v>
      </c>
      <c r="M1107" s="178">
        <f t="shared" si="166"/>
        <v>1756700</v>
      </c>
      <c r="N1107" s="294">
        <v>1756</v>
      </c>
      <c r="O1107" s="151">
        <v>0.19</v>
      </c>
      <c r="P1107" s="204">
        <f t="shared" si="167"/>
        <v>1931600</v>
      </c>
      <c r="Q1107" s="174">
        <f t="shared" si="168"/>
        <v>1676.5</v>
      </c>
      <c r="R1107" s="151">
        <v>0.19</v>
      </c>
      <c r="S1107" s="174">
        <f t="shared" si="169"/>
        <v>1844150</v>
      </c>
    </row>
    <row r="1108" spans="1:19" x14ac:dyDescent="0.3">
      <c r="A1108" s="144">
        <v>5</v>
      </c>
      <c r="B1108" s="145" t="s">
        <v>390</v>
      </c>
      <c r="C1108" s="144" t="s">
        <v>1694</v>
      </c>
      <c r="D1108" s="144">
        <v>53121601</v>
      </c>
      <c r="E1108" s="230">
        <v>7</v>
      </c>
      <c r="F1108" s="620" t="s">
        <v>1695</v>
      </c>
      <c r="G1108" s="144" t="s">
        <v>1696</v>
      </c>
      <c r="H1108" s="144">
        <f t="shared" si="165"/>
        <v>35</v>
      </c>
      <c r="I1108" s="339">
        <v>10</v>
      </c>
      <c r="J1108" s="339">
        <v>25</v>
      </c>
      <c r="K1108" s="231">
        <v>7564</v>
      </c>
      <c r="L1108" s="151">
        <v>0.19</v>
      </c>
      <c r="M1108" s="178">
        <f t="shared" si="166"/>
        <v>189100</v>
      </c>
      <c r="N1108" s="294">
        <v>8319</v>
      </c>
      <c r="O1108" s="151">
        <v>0.19</v>
      </c>
      <c r="P1108" s="204">
        <f t="shared" si="167"/>
        <v>207975</v>
      </c>
      <c r="Q1108" s="174">
        <f t="shared" si="168"/>
        <v>7941.5</v>
      </c>
      <c r="R1108" s="151">
        <v>0.19</v>
      </c>
      <c r="S1108" s="174">
        <f t="shared" si="169"/>
        <v>198537.5</v>
      </c>
    </row>
    <row r="1109" spans="1:19" x14ac:dyDescent="0.3">
      <c r="A1109" s="144">
        <v>5</v>
      </c>
      <c r="B1109" s="145" t="s">
        <v>390</v>
      </c>
      <c r="C1109" s="144"/>
      <c r="D1109" s="144">
        <v>53141627</v>
      </c>
      <c r="E1109" s="230">
        <v>8</v>
      </c>
      <c r="F1109" s="298" t="s">
        <v>1697</v>
      </c>
      <c r="G1109" s="144" t="s">
        <v>1083</v>
      </c>
      <c r="H1109" s="144">
        <f t="shared" si="165"/>
        <v>30</v>
      </c>
      <c r="I1109" s="339">
        <v>10</v>
      </c>
      <c r="J1109" s="144">
        <v>20</v>
      </c>
      <c r="K1109" s="231">
        <v>4202</v>
      </c>
      <c r="L1109" s="151">
        <v>0.19</v>
      </c>
      <c r="M1109" s="178">
        <f t="shared" si="166"/>
        <v>84040</v>
      </c>
      <c r="N1109" s="294">
        <v>4621</v>
      </c>
      <c r="O1109" s="151">
        <v>0.19</v>
      </c>
      <c r="P1109" s="204">
        <f t="shared" si="167"/>
        <v>92420</v>
      </c>
      <c r="Q1109" s="174">
        <f t="shared" si="168"/>
        <v>4411.5</v>
      </c>
      <c r="R1109" s="151">
        <v>0.19</v>
      </c>
      <c r="S1109" s="174">
        <f t="shared" si="169"/>
        <v>88230</v>
      </c>
    </row>
    <row r="1110" spans="1:19" ht="27.6" x14ac:dyDescent="0.3">
      <c r="A1110" s="144">
        <v>5</v>
      </c>
      <c r="B1110" s="145" t="s">
        <v>390</v>
      </c>
      <c r="C1110" s="145" t="s">
        <v>1698</v>
      </c>
      <c r="D1110" s="137">
        <v>11151502</v>
      </c>
      <c r="E1110" s="144">
        <v>9</v>
      </c>
      <c r="F1110" s="621" t="s">
        <v>1699</v>
      </c>
      <c r="G1110" s="144" t="s">
        <v>156</v>
      </c>
      <c r="H1110" s="144">
        <f t="shared" si="165"/>
        <v>25</v>
      </c>
      <c r="I1110" s="339">
        <v>10</v>
      </c>
      <c r="J1110" s="339">
        <v>15</v>
      </c>
      <c r="K1110" s="277">
        <v>7984</v>
      </c>
      <c r="L1110" s="151">
        <v>0.19</v>
      </c>
      <c r="M1110" s="178">
        <f t="shared" si="166"/>
        <v>119760</v>
      </c>
      <c r="N1110" s="277">
        <v>8781</v>
      </c>
      <c r="O1110" s="151">
        <v>0.19</v>
      </c>
      <c r="P1110" s="204">
        <f t="shared" si="167"/>
        <v>131715</v>
      </c>
      <c r="Q1110" s="174">
        <f t="shared" si="168"/>
        <v>8382.5</v>
      </c>
      <c r="R1110" s="151">
        <v>0.19</v>
      </c>
      <c r="S1110" s="174">
        <f t="shared" si="169"/>
        <v>125737.5</v>
      </c>
    </row>
    <row r="1111" spans="1:19" ht="27.6" x14ac:dyDescent="0.3">
      <c r="A1111" s="144">
        <v>5</v>
      </c>
      <c r="B1111" s="145" t="s">
        <v>390</v>
      </c>
      <c r="C1111" s="145" t="s">
        <v>1698</v>
      </c>
      <c r="D1111" s="137">
        <v>11151502</v>
      </c>
      <c r="E1111" s="144">
        <v>10</v>
      </c>
      <c r="F1111" s="155" t="s">
        <v>1700</v>
      </c>
      <c r="G1111" s="144" t="s">
        <v>156</v>
      </c>
      <c r="H1111" s="144">
        <f t="shared" si="165"/>
        <v>25</v>
      </c>
      <c r="I1111" s="339">
        <v>10</v>
      </c>
      <c r="J1111" s="339">
        <v>15</v>
      </c>
      <c r="K1111" s="277">
        <v>7984</v>
      </c>
      <c r="L1111" s="151">
        <v>0.19</v>
      </c>
      <c r="M1111" s="178">
        <f t="shared" si="166"/>
        <v>119760</v>
      </c>
      <c r="N1111" s="277">
        <v>8781</v>
      </c>
      <c r="O1111" s="151">
        <v>0.19</v>
      </c>
      <c r="P1111" s="204">
        <f t="shared" si="167"/>
        <v>131715</v>
      </c>
      <c r="Q1111" s="174">
        <f t="shared" si="168"/>
        <v>8382.5</v>
      </c>
      <c r="R1111" s="151">
        <v>0.19</v>
      </c>
      <c r="S1111" s="174">
        <f t="shared" si="169"/>
        <v>125737.5</v>
      </c>
    </row>
    <row r="1112" spans="1:19" x14ac:dyDescent="0.3">
      <c r="A1112" s="1"/>
      <c r="B1112" s="1"/>
      <c r="C1112" s="1"/>
      <c r="D1112" s="1"/>
      <c r="E1112" s="338"/>
      <c r="F1112" s="1"/>
      <c r="G1112" s="1"/>
      <c r="H1112" s="1"/>
      <c r="I1112" s="1"/>
      <c r="J1112" s="1"/>
      <c r="K1112" s="1"/>
      <c r="L1112" s="1"/>
      <c r="M1112" s="178">
        <f>SUM(M1102:M1111)</f>
        <v>3866018</v>
      </c>
      <c r="N1112" s="179"/>
      <c r="O1112" s="179"/>
      <c r="P1112" s="204">
        <f>SUM(P1102:P1111)</f>
        <v>4251710</v>
      </c>
      <c r="Q1112" s="1"/>
      <c r="R1112" s="1"/>
      <c r="S1112" s="174">
        <f>SUM(S1102:S1111)</f>
        <v>4058864</v>
      </c>
    </row>
    <row r="1115" spans="1:19" ht="14.55" customHeight="1" x14ac:dyDescent="0.3">
      <c r="A1115" s="541" t="s">
        <v>1701</v>
      </c>
      <c r="B1115" s="541"/>
      <c r="C1115" s="541"/>
      <c r="D1115" s="541"/>
      <c r="E1115" s="541"/>
      <c r="F1115" s="541"/>
      <c r="G1115" s="541"/>
      <c r="H1115" s="541"/>
      <c r="I1115" s="541"/>
      <c r="J1115" s="541"/>
      <c r="K1115" s="541"/>
      <c r="L1115" s="541"/>
      <c r="M1115" s="541"/>
      <c r="N1115" s="541"/>
      <c r="O1115" s="541"/>
      <c r="P1115" s="541"/>
      <c r="Q1115" s="541"/>
      <c r="R1115" s="541"/>
      <c r="S1115" s="541"/>
    </row>
    <row r="1116" spans="1:19" ht="14.55" customHeight="1" x14ac:dyDescent="0.3">
      <c r="A1116" s="541"/>
      <c r="B1116" s="541"/>
      <c r="C1116" s="541"/>
      <c r="D1116" s="541"/>
      <c r="E1116" s="699" t="s">
        <v>1701</v>
      </c>
      <c r="F1116" s="700"/>
      <c r="G1116" s="700"/>
      <c r="H1116" s="701"/>
      <c r="I1116" s="541"/>
      <c r="J1116" s="541"/>
      <c r="K1116" s="541"/>
      <c r="L1116" s="541"/>
      <c r="M1116" s="541"/>
      <c r="N1116" s="541"/>
      <c r="O1116" s="541"/>
      <c r="P1116" s="541"/>
      <c r="Q1116" s="541"/>
      <c r="R1116" s="541"/>
      <c r="S1116" s="541"/>
    </row>
    <row r="1117" spans="1:19" ht="15.6" x14ac:dyDescent="0.3">
      <c r="A1117" s="709" t="s">
        <v>83</v>
      </c>
      <c r="B1117" s="709" t="s">
        <v>84</v>
      </c>
      <c r="C1117" s="709" t="s">
        <v>85</v>
      </c>
      <c r="D1117" s="711" t="s">
        <v>86</v>
      </c>
      <c r="E1117" s="709" t="s">
        <v>6</v>
      </c>
      <c r="F1117" s="709" t="s">
        <v>87</v>
      </c>
      <c r="G1117" s="709" t="s">
        <v>88</v>
      </c>
      <c r="H1117" s="702" t="s">
        <v>89</v>
      </c>
      <c r="I1117" s="124"/>
      <c r="J1117" s="705" t="s">
        <v>89</v>
      </c>
      <c r="K1117" s="710" t="s">
        <v>818</v>
      </c>
      <c r="L1117" s="710"/>
      <c r="M1117" s="710"/>
      <c r="N1117" s="704" t="s">
        <v>819</v>
      </c>
      <c r="O1117" s="704"/>
      <c r="P1117" s="704"/>
      <c r="Q1117" s="705" t="s">
        <v>15</v>
      </c>
      <c r="R1117" s="705"/>
      <c r="S1117" s="705"/>
    </row>
    <row r="1118" spans="1:19" ht="46.8" x14ac:dyDescent="0.3">
      <c r="A1118" s="709"/>
      <c r="B1118" s="709"/>
      <c r="C1118" s="709"/>
      <c r="D1118" s="711"/>
      <c r="E1118" s="709"/>
      <c r="F1118" s="709"/>
      <c r="G1118" s="709"/>
      <c r="H1118" s="703"/>
      <c r="I1118" s="124"/>
      <c r="J1118" s="705"/>
      <c r="K1118" s="25" t="s">
        <v>382</v>
      </c>
      <c r="L1118" s="25" t="s">
        <v>17</v>
      </c>
      <c r="M1118" s="25" t="s">
        <v>18</v>
      </c>
      <c r="N1118" s="25" t="s">
        <v>367</v>
      </c>
      <c r="O1118" s="25" t="s">
        <v>17</v>
      </c>
      <c r="P1118" s="248" t="s">
        <v>18</v>
      </c>
      <c r="Q1118" s="25" t="s">
        <v>367</v>
      </c>
      <c r="R1118" s="25" t="s">
        <v>17</v>
      </c>
      <c r="S1118" s="25" t="s">
        <v>18</v>
      </c>
    </row>
    <row r="1119" spans="1:19" x14ac:dyDescent="0.3">
      <c r="A1119" s="299">
        <v>5</v>
      </c>
      <c r="B1119" s="153">
        <v>283205</v>
      </c>
      <c r="C1119" s="153">
        <v>110101908</v>
      </c>
      <c r="D1119" s="154">
        <v>10101900</v>
      </c>
      <c r="E1119" s="152">
        <v>1</v>
      </c>
      <c r="F1119" s="155" t="s">
        <v>1702</v>
      </c>
      <c r="G1119" s="152" t="s">
        <v>594</v>
      </c>
      <c r="H1119" s="152">
        <f>I1119+J1119</f>
        <v>15</v>
      </c>
      <c r="I1119" s="152">
        <v>10</v>
      </c>
      <c r="J1119" s="152">
        <v>5</v>
      </c>
      <c r="K1119" s="303">
        <v>17000</v>
      </c>
      <c r="L1119" s="151">
        <v>0.19</v>
      </c>
      <c r="M1119" s="206">
        <f>J1119*K1119</f>
        <v>85000</v>
      </c>
      <c r="N1119" s="165">
        <v>17850</v>
      </c>
      <c r="O1119" s="151">
        <v>0.19</v>
      </c>
      <c r="P1119" s="239">
        <f>N1119*J1119</f>
        <v>89250</v>
      </c>
      <c r="Q1119" s="229">
        <f>SUM(K1119+N1119)/2</f>
        <v>17425</v>
      </c>
      <c r="R1119" s="151">
        <v>0.19</v>
      </c>
      <c r="S1119" s="229">
        <f>SUM(Q1119*J1119)</f>
        <v>87125</v>
      </c>
    </row>
    <row r="1120" spans="1:19" x14ac:dyDescent="0.3">
      <c r="A1120" s="152">
        <v>5</v>
      </c>
      <c r="B1120" s="153">
        <v>239491</v>
      </c>
      <c r="C1120" s="153">
        <v>110151509</v>
      </c>
      <c r="D1120" s="154">
        <v>10151512</v>
      </c>
      <c r="E1120" s="152">
        <v>2</v>
      </c>
      <c r="F1120" s="155" t="s">
        <v>729</v>
      </c>
      <c r="G1120" s="152" t="s">
        <v>646</v>
      </c>
      <c r="H1120" s="152">
        <f t="shared" ref="H1120:H1183" si="170">I1120+J1120</f>
        <v>14</v>
      </c>
      <c r="I1120" s="152">
        <v>10</v>
      </c>
      <c r="J1120" s="152">
        <v>4</v>
      </c>
      <c r="K1120" s="303">
        <v>25000</v>
      </c>
      <c r="L1120" s="151">
        <v>0.19</v>
      </c>
      <c r="M1120" s="206">
        <f t="shared" ref="M1120:M1159" si="171">J1120*K1120</f>
        <v>100000</v>
      </c>
      <c r="N1120" s="165">
        <v>26250</v>
      </c>
      <c r="O1120" s="151">
        <v>0.19</v>
      </c>
      <c r="P1120" s="239">
        <f t="shared" ref="P1120:P1159" si="172">N1120*J1120</f>
        <v>105000</v>
      </c>
      <c r="Q1120" s="229">
        <f t="shared" ref="Q1120:Q1183" si="173">SUM(K1120+N1120)/2</f>
        <v>25625</v>
      </c>
      <c r="R1120" s="151">
        <v>0.19</v>
      </c>
      <c r="S1120" s="229">
        <f t="shared" ref="S1120:S1183" si="174">SUM(Q1120*J1120)</f>
        <v>102500</v>
      </c>
    </row>
    <row r="1121" spans="1:19" x14ac:dyDescent="0.3">
      <c r="A1121" s="152">
        <v>5</v>
      </c>
      <c r="B1121" s="153">
        <v>252993</v>
      </c>
      <c r="C1121" s="153">
        <v>110151509</v>
      </c>
      <c r="D1121" s="154">
        <v>10151512</v>
      </c>
      <c r="E1121" s="152">
        <v>3</v>
      </c>
      <c r="F1121" s="155" t="s">
        <v>1703</v>
      </c>
      <c r="G1121" s="152" t="s">
        <v>646</v>
      </c>
      <c r="H1121" s="152">
        <f t="shared" si="170"/>
        <v>25</v>
      </c>
      <c r="I1121" s="152">
        <v>10</v>
      </c>
      <c r="J1121" s="152">
        <v>15</v>
      </c>
      <c r="K1121" s="303">
        <v>8450</v>
      </c>
      <c r="L1121" s="151">
        <v>0.19</v>
      </c>
      <c r="M1121" s="206">
        <f t="shared" si="171"/>
        <v>126750</v>
      </c>
      <c r="N1121" s="165">
        <v>8872.5</v>
      </c>
      <c r="O1121" s="151">
        <v>0.19</v>
      </c>
      <c r="P1121" s="239">
        <f t="shared" si="172"/>
        <v>133087.5</v>
      </c>
      <c r="Q1121" s="229">
        <f t="shared" si="173"/>
        <v>8661.25</v>
      </c>
      <c r="R1121" s="151">
        <v>0.19</v>
      </c>
      <c r="S1121" s="229">
        <f t="shared" si="174"/>
        <v>129918.75</v>
      </c>
    </row>
    <row r="1122" spans="1:19" ht="27.6" x14ac:dyDescent="0.3">
      <c r="A1122" s="152">
        <v>5</v>
      </c>
      <c r="B1122" s="153">
        <v>252993</v>
      </c>
      <c r="C1122" s="153">
        <v>110151509</v>
      </c>
      <c r="D1122" s="154">
        <v>10151512</v>
      </c>
      <c r="E1122" s="152">
        <v>4</v>
      </c>
      <c r="F1122" s="300" t="s">
        <v>1704</v>
      </c>
      <c r="G1122" s="152" t="s">
        <v>646</v>
      </c>
      <c r="H1122" s="152">
        <f t="shared" si="170"/>
        <v>20</v>
      </c>
      <c r="I1122" s="152">
        <v>10</v>
      </c>
      <c r="J1122" s="152">
        <v>10</v>
      </c>
      <c r="K1122" s="303">
        <v>10790</v>
      </c>
      <c r="L1122" s="151">
        <v>0.19</v>
      </c>
      <c r="M1122" s="206">
        <f t="shared" si="171"/>
        <v>107900</v>
      </c>
      <c r="N1122" s="165">
        <v>11329.5</v>
      </c>
      <c r="O1122" s="151">
        <v>0.19</v>
      </c>
      <c r="P1122" s="239">
        <f t="shared" si="172"/>
        <v>113295</v>
      </c>
      <c r="Q1122" s="229">
        <f t="shared" si="173"/>
        <v>11059.75</v>
      </c>
      <c r="R1122" s="151">
        <v>0.19</v>
      </c>
      <c r="S1122" s="229">
        <f t="shared" si="174"/>
        <v>110597.5</v>
      </c>
    </row>
    <row r="1123" spans="1:19" x14ac:dyDescent="0.3">
      <c r="A1123" s="152">
        <v>5</v>
      </c>
      <c r="B1123" s="153">
        <v>244613</v>
      </c>
      <c r="C1123" s="153">
        <v>110151509</v>
      </c>
      <c r="D1123" s="154">
        <v>10151805</v>
      </c>
      <c r="E1123" s="152">
        <v>5</v>
      </c>
      <c r="F1123" s="155" t="s">
        <v>1705</v>
      </c>
      <c r="G1123" s="152" t="s">
        <v>261</v>
      </c>
      <c r="H1123" s="152">
        <f t="shared" si="170"/>
        <v>12</v>
      </c>
      <c r="I1123" s="152">
        <v>10</v>
      </c>
      <c r="J1123" s="152">
        <v>2</v>
      </c>
      <c r="K1123" s="303">
        <v>28600</v>
      </c>
      <c r="L1123" s="151">
        <v>0.19</v>
      </c>
      <c r="M1123" s="206">
        <f t="shared" si="171"/>
        <v>57200</v>
      </c>
      <c r="N1123" s="165">
        <v>30030</v>
      </c>
      <c r="O1123" s="151">
        <v>0.19</v>
      </c>
      <c r="P1123" s="239">
        <f t="shared" si="172"/>
        <v>60060</v>
      </c>
      <c r="Q1123" s="229">
        <f t="shared" si="173"/>
        <v>29315</v>
      </c>
      <c r="R1123" s="151">
        <v>0.19</v>
      </c>
      <c r="S1123" s="229">
        <f t="shared" si="174"/>
        <v>58630</v>
      </c>
    </row>
    <row r="1124" spans="1:19" x14ac:dyDescent="0.3">
      <c r="A1124" s="152">
        <v>5</v>
      </c>
      <c r="B1124" s="153">
        <v>233364</v>
      </c>
      <c r="C1124" s="153">
        <v>110151509</v>
      </c>
      <c r="D1124" s="154">
        <v>10151518</v>
      </c>
      <c r="E1124" s="152">
        <v>6</v>
      </c>
      <c r="F1124" s="155" t="s">
        <v>731</v>
      </c>
      <c r="G1124" s="160" t="s">
        <v>646</v>
      </c>
      <c r="H1124" s="152">
        <f t="shared" si="170"/>
        <v>15</v>
      </c>
      <c r="I1124" s="152">
        <v>10</v>
      </c>
      <c r="J1124" s="160">
        <v>5</v>
      </c>
      <c r="K1124" s="303">
        <v>17500</v>
      </c>
      <c r="L1124" s="151">
        <v>0.19</v>
      </c>
      <c r="M1124" s="206">
        <f t="shared" si="171"/>
        <v>87500</v>
      </c>
      <c r="N1124" s="165">
        <v>18375</v>
      </c>
      <c r="O1124" s="151">
        <v>0.19</v>
      </c>
      <c r="P1124" s="239">
        <f t="shared" si="172"/>
        <v>91875</v>
      </c>
      <c r="Q1124" s="229">
        <f t="shared" si="173"/>
        <v>17937.5</v>
      </c>
      <c r="R1124" s="151">
        <v>0.19</v>
      </c>
      <c r="S1124" s="229">
        <f t="shared" si="174"/>
        <v>89687.5</v>
      </c>
    </row>
    <row r="1125" spans="1:19" x14ac:dyDescent="0.3">
      <c r="A1125" s="152">
        <v>5</v>
      </c>
      <c r="B1125" s="154">
        <v>252530</v>
      </c>
      <c r="C1125" s="153">
        <v>110151509</v>
      </c>
      <c r="D1125" s="154">
        <v>10151816</v>
      </c>
      <c r="E1125" s="152">
        <v>7</v>
      </c>
      <c r="F1125" s="155" t="s">
        <v>1706</v>
      </c>
      <c r="G1125" s="152" t="s">
        <v>646</v>
      </c>
      <c r="H1125" s="152">
        <f t="shared" si="170"/>
        <v>20</v>
      </c>
      <c r="I1125" s="152">
        <v>10</v>
      </c>
      <c r="J1125" s="152">
        <v>10</v>
      </c>
      <c r="K1125" s="303">
        <v>8840</v>
      </c>
      <c r="L1125" s="151">
        <v>0.19</v>
      </c>
      <c r="M1125" s="206">
        <f t="shared" si="171"/>
        <v>88400</v>
      </c>
      <c r="N1125" s="165">
        <v>9282</v>
      </c>
      <c r="O1125" s="151">
        <v>0.19</v>
      </c>
      <c r="P1125" s="239">
        <f t="shared" si="172"/>
        <v>92820</v>
      </c>
      <c r="Q1125" s="229">
        <f t="shared" si="173"/>
        <v>9061</v>
      </c>
      <c r="R1125" s="151">
        <v>0.19</v>
      </c>
      <c r="S1125" s="229">
        <f t="shared" si="174"/>
        <v>90610</v>
      </c>
    </row>
    <row r="1126" spans="1:19" x14ac:dyDescent="0.3">
      <c r="A1126" s="152">
        <v>5</v>
      </c>
      <c r="B1126" s="154">
        <v>233237</v>
      </c>
      <c r="C1126" s="153">
        <v>110151509</v>
      </c>
      <c r="D1126" s="154">
        <v>10151512</v>
      </c>
      <c r="E1126" s="152">
        <v>8</v>
      </c>
      <c r="F1126" s="156" t="s">
        <v>1707</v>
      </c>
      <c r="G1126" s="152" t="s">
        <v>646</v>
      </c>
      <c r="H1126" s="152">
        <f t="shared" si="170"/>
        <v>15</v>
      </c>
      <c r="I1126" s="152">
        <v>10</v>
      </c>
      <c r="J1126" s="152">
        <v>5</v>
      </c>
      <c r="K1126" s="303">
        <v>7150</v>
      </c>
      <c r="L1126" s="151">
        <v>0.19</v>
      </c>
      <c r="M1126" s="206">
        <f t="shared" si="171"/>
        <v>35750</v>
      </c>
      <c r="N1126" s="165">
        <v>7507.5</v>
      </c>
      <c r="O1126" s="151">
        <v>0.19</v>
      </c>
      <c r="P1126" s="239">
        <f t="shared" si="172"/>
        <v>37537.5</v>
      </c>
      <c r="Q1126" s="229">
        <f t="shared" si="173"/>
        <v>7328.75</v>
      </c>
      <c r="R1126" s="151">
        <v>0.19</v>
      </c>
      <c r="S1126" s="229">
        <f t="shared" si="174"/>
        <v>36643.75</v>
      </c>
    </row>
    <row r="1127" spans="1:19" x14ac:dyDescent="0.3">
      <c r="A1127" s="152">
        <v>5</v>
      </c>
      <c r="B1127" s="153">
        <v>243905</v>
      </c>
      <c r="C1127" s="153">
        <v>110151509</v>
      </c>
      <c r="D1127" s="301">
        <v>50404120</v>
      </c>
      <c r="E1127" s="152">
        <v>9</v>
      </c>
      <c r="F1127" s="155" t="s">
        <v>1708</v>
      </c>
      <c r="G1127" s="152" t="s">
        <v>646</v>
      </c>
      <c r="H1127" s="152">
        <f t="shared" si="170"/>
        <v>11</v>
      </c>
      <c r="I1127" s="152">
        <v>10</v>
      </c>
      <c r="J1127" s="152">
        <v>1</v>
      </c>
      <c r="K1127" s="303">
        <v>11570</v>
      </c>
      <c r="L1127" s="151">
        <v>0.19</v>
      </c>
      <c r="M1127" s="206">
        <f t="shared" si="171"/>
        <v>11570</v>
      </c>
      <c r="N1127" s="165">
        <v>12148.5</v>
      </c>
      <c r="O1127" s="151">
        <v>0.19</v>
      </c>
      <c r="P1127" s="239">
        <f t="shared" si="172"/>
        <v>12148.5</v>
      </c>
      <c r="Q1127" s="229">
        <f t="shared" si="173"/>
        <v>11859.25</v>
      </c>
      <c r="R1127" s="151">
        <v>0.19</v>
      </c>
      <c r="S1127" s="229">
        <f t="shared" si="174"/>
        <v>11859.25</v>
      </c>
    </row>
    <row r="1128" spans="1:19" x14ac:dyDescent="0.3">
      <c r="A1128" s="152">
        <v>5</v>
      </c>
      <c r="B1128" s="143">
        <v>233251</v>
      </c>
      <c r="C1128" s="153">
        <v>110151509</v>
      </c>
      <c r="D1128" s="143">
        <v>50404115</v>
      </c>
      <c r="E1128" s="152">
        <v>10</v>
      </c>
      <c r="F1128" s="298" t="s">
        <v>1709</v>
      </c>
      <c r="G1128" s="152" t="s">
        <v>646</v>
      </c>
      <c r="H1128" s="152">
        <f t="shared" si="170"/>
        <v>11</v>
      </c>
      <c r="I1128" s="152">
        <v>10</v>
      </c>
      <c r="J1128" s="143">
        <v>1</v>
      </c>
      <c r="K1128" s="303">
        <v>8840</v>
      </c>
      <c r="L1128" s="151">
        <v>0.19</v>
      </c>
      <c r="M1128" s="206">
        <f t="shared" si="171"/>
        <v>8840</v>
      </c>
      <c r="N1128" s="165">
        <v>9282</v>
      </c>
      <c r="O1128" s="151">
        <v>0.19</v>
      </c>
      <c r="P1128" s="239">
        <f t="shared" si="172"/>
        <v>9282</v>
      </c>
      <c r="Q1128" s="229">
        <f t="shared" si="173"/>
        <v>9061</v>
      </c>
      <c r="R1128" s="151">
        <v>0.19</v>
      </c>
      <c r="S1128" s="229">
        <f t="shared" si="174"/>
        <v>9061</v>
      </c>
    </row>
    <row r="1129" spans="1:19" x14ac:dyDescent="0.3">
      <c r="A1129" s="152">
        <v>5</v>
      </c>
      <c r="B1129" s="153">
        <v>252531</v>
      </c>
      <c r="C1129" s="153">
        <v>110151509</v>
      </c>
      <c r="D1129" s="154">
        <v>10151800</v>
      </c>
      <c r="E1129" s="152">
        <v>11</v>
      </c>
      <c r="F1129" s="155" t="s">
        <v>1710</v>
      </c>
      <c r="G1129" s="152" t="s">
        <v>646</v>
      </c>
      <c r="H1129" s="152">
        <f t="shared" si="170"/>
        <v>15</v>
      </c>
      <c r="I1129" s="152">
        <v>10</v>
      </c>
      <c r="J1129" s="152">
        <v>5</v>
      </c>
      <c r="K1129" s="303">
        <v>10400</v>
      </c>
      <c r="L1129" s="151">
        <v>0.19</v>
      </c>
      <c r="M1129" s="206">
        <f t="shared" si="171"/>
        <v>52000</v>
      </c>
      <c r="N1129" s="165">
        <v>10920</v>
      </c>
      <c r="O1129" s="151">
        <v>0.19</v>
      </c>
      <c r="P1129" s="239">
        <f t="shared" si="172"/>
        <v>54600</v>
      </c>
      <c r="Q1129" s="229">
        <f t="shared" si="173"/>
        <v>10660</v>
      </c>
      <c r="R1129" s="151">
        <v>0.19</v>
      </c>
      <c r="S1129" s="229">
        <f t="shared" si="174"/>
        <v>53300</v>
      </c>
    </row>
    <row r="1130" spans="1:19" ht="82.8" x14ac:dyDescent="0.3">
      <c r="A1130" s="152">
        <v>5</v>
      </c>
      <c r="B1130" s="153">
        <v>244832</v>
      </c>
      <c r="C1130" s="153">
        <v>110191507</v>
      </c>
      <c r="D1130" s="154">
        <v>10171504</v>
      </c>
      <c r="E1130" s="152">
        <v>12</v>
      </c>
      <c r="F1130" s="158" t="s">
        <v>750</v>
      </c>
      <c r="G1130" s="159" t="s">
        <v>751</v>
      </c>
      <c r="H1130" s="152">
        <f t="shared" si="170"/>
        <v>11</v>
      </c>
      <c r="I1130" s="152">
        <v>10</v>
      </c>
      <c r="J1130" s="159">
        <v>1</v>
      </c>
      <c r="K1130" s="304">
        <v>55000</v>
      </c>
      <c r="L1130" s="151">
        <v>0.19</v>
      </c>
      <c r="M1130" s="206">
        <f t="shared" si="171"/>
        <v>55000</v>
      </c>
      <c r="N1130" s="165">
        <v>57750</v>
      </c>
      <c r="O1130" s="151">
        <v>0.19</v>
      </c>
      <c r="P1130" s="239">
        <f t="shared" si="172"/>
        <v>57750</v>
      </c>
      <c r="Q1130" s="229">
        <f t="shared" si="173"/>
        <v>56375</v>
      </c>
      <c r="R1130" s="151">
        <v>0.19</v>
      </c>
      <c r="S1130" s="229">
        <f t="shared" si="174"/>
        <v>56375</v>
      </c>
    </row>
    <row r="1131" spans="1:19" x14ac:dyDescent="0.3">
      <c r="A1131" s="152">
        <v>5</v>
      </c>
      <c r="B1131" s="153">
        <v>271380</v>
      </c>
      <c r="C1131" s="153">
        <v>110171607</v>
      </c>
      <c r="D1131" s="154">
        <v>10171505</v>
      </c>
      <c r="E1131" s="152">
        <v>13</v>
      </c>
      <c r="F1131" s="158" t="s">
        <v>1711</v>
      </c>
      <c r="G1131" s="152" t="s">
        <v>753</v>
      </c>
      <c r="H1131" s="152">
        <f t="shared" si="170"/>
        <v>11</v>
      </c>
      <c r="I1131" s="152">
        <v>10</v>
      </c>
      <c r="J1131" s="152">
        <v>1</v>
      </c>
      <c r="K1131" s="303">
        <v>27900</v>
      </c>
      <c r="L1131" s="151">
        <v>0.19</v>
      </c>
      <c r="M1131" s="206">
        <f t="shared" si="171"/>
        <v>27900</v>
      </c>
      <c r="N1131" s="167">
        <v>29295</v>
      </c>
      <c r="O1131" s="151">
        <v>0.19</v>
      </c>
      <c r="P1131" s="239">
        <f t="shared" si="172"/>
        <v>29295</v>
      </c>
      <c r="Q1131" s="229">
        <f t="shared" si="173"/>
        <v>28597.5</v>
      </c>
      <c r="R1131" s="151">
        <v>0.19</v>
      </c>
      <c r="S1131" s="229">
        <f t="shared" si="174"/>
        <v>28597.5</v>
      </c>
    </row>
    <row r="1132" spans="1:19" ht="27.6" x14ac:dyDescent="0.3">
      <c r="A1132" s="152">
        <v>5</v>
      </c>
      <c r="B1132" s="153">
        <v>281978</v>
      </c>
      <c r="C1132" s="153">
        <v>110171607</v>
      </c>
      <c r="D1132" s="154">
        <v>10171504</v>
      </c>
      <c r="E1132" s="152">
        <v>14</v>
      </c>
      <c r="F1132" s="158" t="s">
        <v>754</v>
      </c>
      <c r="G1132" s="152" t="s">
        <v>134</v>
      </c>
      <c r="H1132" s="152">
        <f t="shared" si="170"/>
        <v>13</v>
      </c>
      <c r="I1132" s="152">
        <v>10</v>
      </c>
      <c r="J1132" s="152">
        <v>3</v>
      </c>
      <c r="K1132" s="303">
        <v>48800</v>
      </c>
      <c r="L1132" s="151">
        <v>0.19</v>
      </c>
      <c r="M1132" s="206">
        <f t="shared" si="171"/>
        <v>146400</v>
      </c>
      <c r="N1132" s="167">
        <v>51240</v>
      </c>
      <c r="O1132" s="151">
        <v>0.19</v>
      </c>
      <c r="P1132" s="239">
        <f t="shared" si="172"/>
        <v>153720</v>
      </c>
      <c r="Q1132" s="229">
        <f t="shared" si="173"/>
        <v>50020</v>
      </c>
      <c r="R1132" s="151">
        <v>0.19</v>
      </c>
      <c r="S1132" s="229">
        <f t="shared" si="174"/>
        <v>150060</v>
      </c>
    </row>
    <row r="1133" spans="1:19" x14ac:dyDescent="0.3">
      <c r="A1133" s="152">
        <v>5</v>
      </c>
      <c r="B1133" s="153">
        <v>233314</v>
      </c>
      <c r="C1133" s="153">
        <v>110171607</v>
      </c>
      <c r="D1133" s="154">
        <v>10171505</v>
      </c>
      <c r="E1133" s="152">
        <v>15</v>
      </c>
      <c r="F1133" s="158" t="s">
        <v>1712</v>
      </c>
      <c r="G1133" s="152" t="s">
        <v>594</v>
      </c>
      <c r="H1133" s="152">
        <f t="shared" si="170"/>
        <v>11</v>
      </c>
      <c r="I1133" s="152">
        <v>10</v>
      </c>
      <c r="J1133" s="152">
        <v>1</v>
      </c>
      <c r="K1133" s="303">
        <v>32500</v>
      </c>
      <c r="L1133" s="151">
        <v>0.19</v>
      </c>
      <c r="M1133" s="206">
        <f t="shared" si="171"/>
        <v>32500</v>
      </c>
      <c r="N1133" s="167">
        <v>34125</v>
      </c>
      <c r="O1133" s="151">
        <v>0.19</v>
      </c>
      <c r="P1133" s="239">
        <f t="shared" si="172"/>
        <v>34125</v>
      </c>
      <c r="Q1133" s="229">
        <f t="shared" si="173"/>
        <v>33312.5</v>
      </c>
      <c r="R1133" s="151">
        <v>0.19</v>
      </c>
      <c r="S1133" s="229">
        <f t="shared" si="174"/>
        <v>33312.5</v>
      </c>
    </row>
    <row r="1134" spans="1:19" ht="27.6" x14ac:dyDescent="0.3">
      <c r="A1134" s="152">
        <v>5</v>
      </c>
      <c r="B1134" s="153">
        <v>251527</v>
      </c>
      <c r="C1134" s="153">
        <v>110171607</v>
      </c>
      <c r="D1134" s="154">
        <v>10171506</v>
      </c>
      <c r="E1134" s="152">
        <v>16</v>
      </c>
      <c r="F1134" s="158" t="s">
        <v>755</v>
      </c>
      <c r="G1134" s="152" t="s">
        <v>753</v>
      </c>
      <c r="H1134" s="152">
        <f t="shared" si="170"/>
        <v>14</v>
      </c>
      <c r="I1134" s="152">
        <v>10</v>
      </c>
      <c r="J1134" s="152">
        <v>4</v>
      </c>
      <c r="K1134" s="303">
        <v>78000</v>
      </c>
      <c r="L1134" s="151">
        <v>0.19</v>
      </c>
      <c r="M1134" s="206">
        <f t="shared" si="171"/>
        <v>312000</v>
      </c>
      <c r="N1134" s="167">
        <v>81900</v>
      </c>
      <c r="O1134" s="151">
        <v>0.19</v>
      </c>
      <c r="P1134" s="239">
        <f t="shared" si="172"/>
        <v>327600</v>
      </c>
      <c r="Q1134" s="229">
        <f t="shared" si="173"/>
        <v>79950</v>
      </c>
      <c r="R1134" s="151">
        <v>0.19</v>
      </c>
      <c r="S1134" s="229">
        <f t="shared" si="174"/>
        <v>319800</v>
      </c>
    </row>
    <row r="1135" spans="1:19" x14ac:dyDescent="0.3">
      <c r="A1135" s="152">
        <v>5</v>
      </c>
      <c r="B1135" s="153">
        <v>255772</v>
      </c>
      <c r="C1135" s="153">
        <v>110171607</v>
      </c>
      <c r="D1135" s="154">
        <v>50192403</v>
      </c>
      <c r="E1135" s="152">
        <v>17</v>
      </c>
      <c r="F1135" s="155" t="s">
        <v>1713</v>
      </c>
      <c r="G1135" s="152" t="s">
        <v>753</v>
      </c>
      <c r="H1135" s="152">
        <f t="shared" si="170"/>
        <v>11</v>
      </c>
      <c r="I1135" s="152">
        <v>10</v>
      </c>
      <c r="J1135" s="152">
        <v>1</v>
      </c>
      <c r="K1135" s="303">
        <v>47800</v>
      </c>
      <c r="L1135" s="151">
        <v>0.19</v>
      </c>
      <c r="M1135" s="206">
        <f t="shared" si="171"/>
        <v>47800</v>
      </c>
      <c r="N1135" s="167">
        <v>50190</v>
      </c>
      <c r="O1135" s="151">
        <v>0.19</v>
      </c>
      <c r="P1135" s="239">
        <f t="shared" si="172"/>
        <v>50190</v>
      </c>
      <c r="Q1135" s="229">
        <f t="shared" si="173"/>
        <v>48995</v>
      </c>
      <c r="R1135" s="151">
        <v>0.19</v>
      </c>
      <c r="S1135" s="229">
        <f t="shared" si="174"/>
        <v>48995</v>
      </c>
    </row>
    <row r="1136" spans="1:19" ht="207" x14ac:dyDescent="0.3">
      <c r="A1136" s="159">
        <v>5</v>
      </c>
      <c r="B1136" s="157">
        <v>258174</v>
      </c>
      <c r="C1136" s="157">
        <v>110171607</v>
      </c>
      <c r="D1136" s="144">
        <v>10171505</v>
      </c>
      <c r="E1136" s="152">
        <v>18</v>
      </c>
      <c r="F1136" s="155" t="s">
        <v>1714</v>
      </c>
      <c r="G1136" s="159" t="s">
        <v>134</v>
      </c>
      <c r="H1136" s="152">
        <f t="shared" si="170"/>
        <v>11</v>
      </c>
      <c r="I1136" s="152">
        <v>10</v>
      </c>
      <c r="J1136" s="159">
        <v>1</v>
      </c>
      <c r="K1136" s="305">
        <v>125950</v>
      </c>
      <c r="L1136" s="151">
        <v>0.19</v>
      </c>
      <c r="M1136" s="206">
        <f t="shared" si="171"/>
        <v>125950</v>
      </c>
      <c r="N1136" s="167">
        <v>132247.5</v>
      </c>
      <c r="O1136" s="151">
        <v>0.19</v>
      </c>
      <c r="P1136" s="239">
        <f t="shared" si="172"/>
        <v>132247.5</v>
      </c>
      <c r="Q1136" s="229">
        <f t="shared" si="173"/>
        <v>129098.75</v>
      </c>
      <c r="R1136" s="151">
        <v>0.19</v>
      </c>
      <c r="S1136" s="229">
        <f t="shared" si="174"/>
        <v>129098.75</v>
      </c>
    </row>
    <row r="1137" spans="1:19" x14ac:dyDescent="0.3">
      <c r="A1137" s="152">
        <v>5</v>
      </c>
      <c r="B1137" s="153">
        <v>230942</v>
      </c>
      <c r="C1137" s="153">
        <v>110171703</v>
      </c>
      <c r="D1137" s="154">
        <v>10191509</v>
      </c>
      <c r="E1137" s="152">
        <v>19</v>
      </c>
      <c r="F1137" s="155" t="s">
        <v>1715</v>
      </c>
      <c r="G1137" s="152" t="s">
        <v>594</v>
      </c>
      <c r="H1137" s="152">
        <f t="shared" si="170"/>
        <v>11</v>
      </c>
      <c r="I1137" s="152">
        <v>10</v>
      </c>
      <c r="J1137" s="152">
        <v>1</v>
      </c>
      <c r="K1137" s="303">
        <v>127800</v>
      </c>
      <c r="L1137" s="151">
        <v>0.19</v>
      </c>
      <c r="M1137" s="206">
        <f t="shared" si="171"/>
        <v>127800</v>
      </c>
      <c r="N1137" s="167">
        <v>134190</v>
      </c>
      <c r="O1137" s="151">
        <v>0.19</v>
      </c>
      <c r="P1137" s="239">
        <f t="shared" si="172"/>
        <v>134190</v>
      </c>
      <c r="Q1137" s="229">
        <f t="shared" si="173"/>
        <v>130995</v>
      </c>
      <c r="R1137" s="151">
        <v>0.19</v>
      </c>
      <c r="S1137" s="229">
        <f t="shared" si="174"/>
        <v>130995</v>
      </c>
    </row>
    <row r="1138" spans="1:19" x14ac:dyDescent="0.3">
      <c r="A1138" s="152">
        <v>5</v>
      </c>
      <c r="B1138" s="153">
        <v>242739</v>
      </c>
      <c r="C1138" s="153">
        <v>110171703</v>
      </c>
      <c r="D1138" s="154">
        <v>10191509</v>
      </c>
      <c r="E1138" s="152">
        <v>20</v>
      </c>
      <c r="F1138" s="158" t="s">
        <v>1716</v>
      </c>
      <c r="G1138" s="152" t="s">
        <v>594</v>
      </c>
      <c r="H1138" s="152">
        <f t="shared" si="170"/>
        <v>11</v>
      </c>
      <c r="I1138" s="152">
        <v>10</v>
      </c>
      <c r="J1138" s="152">
        <v>1</v>
      </c>
      <c r="K1138" s="165">
        <v>52000</v>
      </c>
      <c r="L1138" s="151">
        <v>0.19</v>
      </c>
      <c r="M1138" s="206">
        <f t="shared" si="171"/>
        <v>52000</v>
      </c>
      <c r="N1138" s="167">
        <v>54600</v>
      </c>
      <c r="O1138" s="151">
        <v>0.19</v>
      </c>
      <c r="P1138" s="239">
        <f t="shared" si="172"/>
        <v>54600</v>
      </c>
      <c r="Q1138" s="229">
        <f t="shared" si="173"/>
        <v>53300</v>
      </c>
      <c r="R1138" s="151">
        <v>0.19</v>
      </c>
      <c r="S1138" s="229">
        <f t="shared" si="174"/>
        <v>53300</v>
      </c>
    </row>
    <row r="1139" spans="1:19" x14ac:dyDescent="0.3">
      <c r="A1139" s="152">
        <v>5</v>
      </c>
      <c r="B1139" s="153">
        <v>242738</v>
      </c>
      <c r="C1139" s="153">
        <v>110171703</v>
      </c>
      <c r="D1139" s="154">
        <v>10191509</v>
      </c>
      <c r="E1139" s="152">
        <v>21</v>
      </c>
      <c r="F1139" s="158" t="s">
        <v>1717</v>
      </c>
      <c r="G1139" s="152" t="s">
        <v>594</v>
      </c>
      <c r="H1139" s="152">
        <f t="shared" si="170"/>
        <v>11</v>
      </c>
      <c r="I1139" s="152">
        <v>10</v>
      </c>
      <c r="J1139" s="152">
        <v>1</v>
      </c>
      <c r="K1139" s="165">
        <v>55250</v>
      </c>
      <c r="L1139" s="151">
        <v>0.19</v>
      </c>
      <c r="M1139" s="206">
        <f t="shared" si="171"/>
        <v>55250</v>
      </c>
      <c r="N1139" s="167">
        <v>58012.5</v>
      </c>
      <c r="O1139" s="151">
        <v>0.19</v>
      </c>
      <c r="P1139" s="239">
        <f t="shared" si="172"/>
        <v>58012.5</v>
      </c>
      <c r="Q1139" s="229">
        <f t="shared" si="173"/>
        <v>56631.25</v>
      </c>
      <c r="R1139" s="151">
        <v>0.19</v>
      </c>
      <c r="S1139" s="229">
        <f t="shared" si="174"/>
        <v>56631.25</v>
      </c>
    </row>
    <row r="1140" spans="1:19" x14ac:dyDescent="0.3">
      <c r="A1140" s="152">
        <v>5</v>
      </c>
      <c r="B1140" s="153">
        <v>267379</v>
      </c>
      <c r="C1140" s="153">
        <v>110171705</v>
      </c>
      <c r="D1140" s="154">
        <v>10191509</v>
      </c>
      <c r="E1140" s="152">
        <v>22</v>
      </c>
      <c r="F1140" s="158" t="s">
        <v>1718</v>
      </c>
      <c r="G1140" s="152" t="s">
        <v>261</v>
      </c>
      <c r="H1140" s="152">
        <f t="shared" si="170"/>
        <v>11</v>
      </c>
      <c r="I1140" s="152">
        <v>10</v>
      </c>
      <c r="J1140" s="152">
        <v>1</v>
      </c>
      <c r="K1140" s="165">
        <v>55250</v>
      </c>
      <c r="L1140" s="151">
        <v>0.19</v>
      </c>
      <c r="M1140" s="206">
        <f t="shared" si="171"/>
        <v>55250</v>
      </c>
      <c r="N1140" s="167">
        <v>58012.5</v>
      </c>
      <c r="O1140" s="151">
        <v>0.19</v>
      </c>
      <c r="P1140" s="239">
        <f t="shared" si="172"/>
        <v>58012.5</v>
      </c>
      <c r="Q1140" s="229">
        <f t="shared" si="173"/>
        <v>56631.25</v>
      </c>
      <c r="R1140" s="151">
        <v>0.19</v>
      </c>
      <c r="S1140" s="229">
        <f t="shared" si="174"/>
        <v>56631.25</v>
      </c>
    </row>
    <row r="1141" spans="1:19" x14ac:dyDescent="0.3">
      <c r="A1141" s="152">
        <v>5</v>
      </c>
      <c r="B1141" s="153">
        <v>242736</v>
      </c>
      <c r="C1141" s="153">
        <v>110191507</v>
      </c>
      <c r="D1141" s="154">
        <v>10191509</v>
      </c>
      <c r="E1141" s="152">
        <v>23</v>
      </c>
      <c r="F1141" s="158" t="s">
        <v>1719</v>
      </c>
      <c r="G1141" s="152" t="s">
        <v>594</v>
      </c>
      <c r="H1141" s="152">
        <f t="shared" si="170"/>
        <v>11</v>
      </c>
      <c r="I1141" s="152">
        <v>10</v>
      </c>
      <c r="J1141" s="152">
        <v>1</v>
      </c>
      <c r="K1141" s="165">
        <v>55250</v>
      </c>
      <c r="L1141" s="151">
        <v>0.19</v>
      </c>
      <c r="M1141" s="206">
        <f t="shared" si="171"/>
        <v>55250</v>
      </c>
      <c r="N1141" s="167">
        <v>58012.5</v>
      </c>
      <c r="O1141" s="151">
        <v>0.19</v>
      </c>
      <c r="P1141" s="239">
        <f t="shared" si="172"/>
        <v>58012.5</v>
      </c>
      <c r="Q1141" s="229">
        <f t="shared" si="173"/>
        <v>56631.25</v>
      </c>
      <c r="R1141" s="151">
        <v>0.19</v>
      </c>
      <c r="S1141" s="229">
        <f t="shared" si="174"/>
        <v>56631.25</v>
      </c>
    </row>
    <row r="1142" spans="1:19" x14ac:dyDescent="0.3">
      <c r="A1142" s="152">
        <v>5</v>
      </c>
      <c r="B1142" s="153">
        <v>272525</v>
      </c>
      <c r="C1142" s="153">
        <v>111151522</v>
      </c>
      <c r="D1142" s="154">
        <v>11151511</v>
      </c>
      <c r="E1142" s="152">
        <v>24</v>
      </c>
      <c r="F1142" s="155" t="s">
        <v>1720</v>
      </c>
      <c r="G1142" s="152" t="s">
        <v>156</v>
      </c>
      <c r="H1142" s="152">
        <f t="shared" si="170"/>
        <v>11</v>
      </c>
      <c r="I1142" s="152">
        <v>10</v>
      </c>
      <c r="J1142" s="152">
        <v>1</v>
      </c>
      <c r="K1142" s="303">
        <v>28450</v>
      </c>
      <c r="L1142" s="151">
        <v>0.19</v>
      </c>
      <c r="M1142" s="206">
        <f t="shared" si="171"/>
        <v>28450</v>
      </c>
      <c r="N1142" s="165">
        <v>29872.5</v>
      </c>
      <c r="O1142" s="151">
        <v>0.19</v>
      </c>
      <c r="P1142" s="239">
        <f t="shared" si="172"/>
        <v>29872.5</v>
      </c>
      <c r="Q1142" s="229">
        <f t="shared" si="173"/>
        <v>29161.25</v>
      </c>
      <c r="R1142" s="151">
        <v>0.19</v>
      </c>
      <c r="S1142" s="229">
        <f t="shared" si="174"/>
        <v>29161.25</v>
      </c>
    </row>
    <row r="1143" spans="1:19" x14ac:dyDescent="0.3">
      <c r="A1143" s="152">
        <v>5</v>
      </c>
      <c r="B1143" s="153">
        <v>246119</v>
      </c>
      <c r="C1143" s="153">
        <v>111172318</v>
      </c>
      <c r="D1143" s="154">
        <v>46181504</v>
      </c>
      <c r="E1143" s="152">
        <v>25</v>
      </c>
      <c r="F1143" s="155" t="s">
        <v>1721</v>
      </c>
      <c r="G1143" s="152" t="s">
        <v>160</v>
      </c>
      <c r="H1143" s="152">
        <f t="shared" si="170"/>
        <v>13</v>
      </c>
      <c r="I1143" s="152">
        <v>10</v>
      </c>
      <c r="J1143" s="152">
        <v>3</v>
      </c>
      <c r="K1143" s="303">
        <v>65000</v>
      </c>
      <c r="L1143" s="151">
        <v>0.19</v>
      </c>
      <c r="M1143" s="206">
        <f t="shared" si="171"/>
        <v>195000</v>
      </c>
      <c r="N1143" s="165">
        <v>68250</v>
      </c>
      <c r="O1143" s="151">
        <v>0.19</v>
      </c>
      <c r="P1143" s="239">
        <f t="shared" si="172"/>
        <v>204750</v>
      </c>
      <c r="Q1143" s="229">
        <f t="shared" si="173"/>
        <v>66625</v>
      </c>
      <c r="R1143" s="151">
        <v>0.19</v>
      </c>
      <c r="S1143" s="229">
        <f t="shared" si="174"/>
        <v>199875</v>
      </c>
    </row>
    <row r="1144" spans="1:19" x14ac:dyDescent="0.3">
      <c r="A1144" s="152">
        <v>5</v>
      </c>
      <c r="B1144" s="153">
        <v>230944</v>
      </c>
      <c r="C1144" s="153">
        <v>110171703</v>
      </c>
      <c r="D1144" s="154">
        <v>10171702</v>
      </c>
      <c r="E1144" s="152">
        <v>26</v>
      </c>
      <c r="F1144" s="155" t="s">
        <v>1722</v>
      </c>
      <c r="G1144" s="152" t="s">
        <v>134</v>
      </c>
      <c r="H1144" s="152">
        <f t="shared" si="170"/>
        <v>11</v>
      </c>
      <c r="I1144" s="152">
        <v>10</v>
      </c>
      <c r="J1144" s="152">
        <v>1</v>
      </c>
      <c r="K1144" s="303">
        <v>65000</v>
      </c>
      <c r="L1144" s="151">
        <v>0.19</v>
      </c>
      <c r="M1144" s="206">
        <f t="shared" si="171"/>
        <v>65000</v>
      </c>
      <c r="N1144" s="165">
        <v>68250</v>
      </c>
      <c r="O1144" s="151">
        <v>0.19</v>
      </c>
      <c r="P1144" s="239">
        <f t="shared" si="172"/>
        <v>68250</v>
      </c>
      <c r="Q1144" s="229">
        <f t="shared" si="173"/>
        <v>66625</v>
      </c>
      <c r="R1144" s="151">
        <v>0.19</v>
      </c>
      <c r="S1144" s="229">
        <f t="shared" si="174"/>
        <v>66625</v>
      </c>
    </row>
    <row r="1145" spans="1:19" x14ac:dyDescent="0.3">
      <c r="A1145" s="152">
        <v>5</v>
      </c>
      <c r="B1145" s="153">
        <v>249333</v>
      </c>
      <c r="C1145" s="153">
        <v>110171607</v>
      </c>
      <c r="D1145" s="154">
        <v>11121703</v>
      </c>
      <c r="E1145" s="152">
        <v>27</v>
      </c>
      <c r="F1145" s="155" t="s">
        <v>1723</v>
      </c>
      <c r="G1145" s="152" t="s">
        <v>753</v>
      </c>
      <c r="H1145" s="152">
        <f t="shared" si="170"/>
        <v>11</v>
      </c>
      <c r="I1145" s="152">
        <v>10</v>
      </c>
      <c r="J1145" s="152">
        <v>1</v>
      </c>
      <c r="K1145" s="303">
        <v>72000</v>
      </c>
      <c r="L1145" s="151">
        <v>0.19</v>
      </c>
      <c r="M1145" s="206">
        <f t="shared" si="171"/>
        <v>72000</v>
      </c>
      <c r="N1145" s="165">
        <v>75600</v>
      </c>
      <c r="O1145" s="151">
        <v>0.19</v>
      </c>
      <c r="P1145" s="239">
        <f t="shared" si="172"/>
        <v>75600</v>
      </c>
      <c r="Q1145" s="229">
        <f t="shared" si="173"/>
        <v>73800</v>
      </c>
      <c r="R1145" s="151">
        <v>0.19</v>
      </c>
      <c r="S1145" s="229">
        <f t="shared" si="174"/>
        <v>73800</v>
      </c>
    </row>
    <row r="1146" spans="1:19" x14ac:dyDescent="0.3">
      <c r="A1146" s="160">
        <v>5</v>
      </c>
      <c r="B1146" s="153">
        <v>230641</v>
      </c>
      <c r="C1146" s="153">
        <v>110171607</v>
      </c>
      <c r="D1146" s="161">
        <v>10171801</v>
      </c>
      <c r="E1146" s="152">
        <v>28</v>
      </c>
      <c r="F1146" s="158" t="s">
        <v>772</v>
      </c>
      <c r="G1146" s="153" t="s">
        <v>646</v>
      </c>
      <c r="H1146" s="152">
        <f t="shared" si="170"/>
        <v>11</v>
      </c>
      <c r="I1146" s="152">
        <v>10</v>
      </c>
      <c r="J1146" s="154">
        <v>1</v>
      </c>
      <c r="K1146" s="303">
        <v>52000</v>
      </c>
      <c r="L1146" s="151">
        <v>0.19</v>
      </c>
      <c r="M1146" s="206">
        <f t="shared" si="171"/>
        <v>52000</v>
      </c>
      <c r="N1146" s="165">
        <v>54600</v>
      </c>
      <c r="O1146" s="151">
        <v>0.19</v>
      </c>
      <c r="P1146" s="239">
        <f t="shared" si="172"/>
        <v>54600</v>
      </c>
      <c r="Q1146" s="229">
        <f t="shared" si="173"/>
        <v>53300</v>
      </c>
      <c r="R1146" s="151">
        <v>0.19</v>
      </c>
      <c r="S1146" s="229">
        <f t="shared" si="174"/>
        <v>53300</v>
      </c>
    </row>
    <row r="1147" spans="1:19" ht="27.6" x14ac:dyDescent="0.3">
      <c r="A1147" s="160">
        <v>5</v>
      </c>
      <c r="B1147" s="153">
        <v>239473</v>
      </c>
      <c r="C1147" s="153">
        <v>110171607</v>
      </c>
      <c r="D1147" s="153">
        <v>10171801</v>
      </c>
      <c r="E1147" s="152">
        <v>29</v>
      </c>
      <c r="F1147" s="158" t="s">
        <v>778</v>
      </c>
      <c r="G1147" s="153" t="s">
        <v>78</v>
      </c>
      <c r="H1147" s="152">
        <f t="shared" si="170"/>
        <v>12</v>
      </c>
      <c r="I1147" s="152">
        <v>10</v>
      </c>
      <c r="J1147" s="154">
        <v>2</v>
      </c>
      <c r="K1147" s="303">
        <v>95000</v>
      </c>
      <c r="L1147" s="151">
        <v>0.19</v>
      </c>
      <c r="M1147" s="206">
        <f t="shared" si="171"/>
        <v>190000</v>
      </c>
      <c r="N1147" s="165">
        <v>99750</v>
      </c>
      <c r="O1147" s="151">
        <v>0.19</v>
      </c>
      <c r="P1147" s="239">
        <f t="shared" si="172"/>
        <v>199500</v>
      </c>
      <c r="Q1147" s="229">
        <f t="shared" si="173"/>
        <v>97375</v>
      </c>
      <c r="R1147" s="151">
        <v>0.19</v>
      </c>
      <c r="S1147" s="229">
        <f t="shared" si="174"/>
        <v>194750</v>
      </c>
    </row>
    <row r="1148" spans="1:19" x14ac:dyDescent="0.3">
      <c r="A1148" s="160">
        <v>5</v>
      </c>
      <c r="B1148" s="153">
        <v>267348</v>
      </c>
      <c r="C1148" s="153">
        <v>149251515</v>
      </c>
      <c r="D1148" s="153">
        <v>14121806</v>
      </c>
      <c r="E1148" s="152">
        <v>30</v>
      </c>
      <c r="F1148" s="155" t="s">
        <v>1724</v>
      </c>
      <c r="G1148" s="153" t="s">
        <v>1725</v>
      </c>
      <c r="H1148" s="152">
        <f t="shared" si="170"/>
        <v>14</v>
      </c>
      <c r="I1148" s="152">
        <v>10</v>
      </c>
      <c r="J1148" s="154">
        <v>4</v>
      </c>
      <c r="K1148" s="303">
        <v>61100</v>
      </c>
      <c r="L1148" s="151">
        <v>0.19</v>
      </c>
      <c r="M1148" s="206">
        <f t="shared" si="171"/>
        <v>244400</v>
      </c>
      <c r="N1148" s="165">
        <v>64155</v>
      </c>
      <c r="O1148" s="151">
        <v>0.19</v>
      </c>
      <c r="P1148" s="239">
        <f t="shared" si="172"/>
        <v>256620</v>
      </c>
      <c r="Q1148" s="229">
        <f t="shared" si="173"/>
        <v>62627.5</v>
      </c>
      <c r="R1148" s="151">
        <v>0.19</v>
      </c>
      <c r="S1148" s="229">
        <f t="shared" si="174"/>
        <v>250510</v>
      </c>
    </row>
    <row r="1149" spans="1:19" ht="27.6" x14ac:dyDescent="0.3">
      <c r="A1149" s="160">
        <v>5</v>
      </c>
      <c r="B1149" s="153">
        <v>234903</v>
      </c>
      <c r="C1149" s="153">
        <v>124111516</v>
      </c>
      <c r="D1149" s="153">
        <v>50201713</v>
      </c>
      <c r="E1149" s="152">
        <v>31</v>
      </c>
      <c r="F1149" s="155" t="s">
        <v>1726</v>
      </c>
      <c r="G1149" s="153" t="s">
        <v>384</v>
      </c>
      <c r="H1149" s="152">
        <f t="shared" si="170"/>
        <v>18</v>
      </c>
      <c r="I1149" s="152">
        <v>10</v>
      </c>
      <c r="J1149" s="154">
        <v>8</v>
      </c>
      <c r="K1149" s="303">
        <v>75400</v>
      </c>
      <c r="L1149" s="151">
        <v>0.19</v>
      </c>
      <c r="M1149" s="206">
        <f t="shared" si="171"/>
        <v>603200</v>
      </c>
      <c r="N1149" s="165">
        <v>79170</v>
      </c>
      <c r="O1149" s="151">
        <v>0.19</v>
      </c>
      <c r="P1149" s="239">
        <f t="shared" si="172"/>
        <v>633360</v>
      </c>
      <c r="Q1149" s="229">
        <f t="shared" si="173"/>
        <v>77285</v>
      </c>
      <c r="R1149" s="151">
        <v>0.19</v>
      </c>
      <c r="S1149" s="229">
        <f t="shared" si="174"/>
        <v>618280</v>
      </c>
    </row>
    <row r="1150" spans="1:19" ht="27.6" x14ac:dyDescent="0.3">
      <c r="A1150" s="160">
        <v>5</v>
      </c>
      <c r="B1150" s="153">
        <v>234903</v>
      </c>
      <c r="C1150" s="153">
        <v>124111516</v>
      </c>
      <c r="D1150" s="161">
        <v>24111502</v>
      </c>
      <c r="E1150" s="152">
        <v>32</v>
      </c>
      <c r="F1150" s="155" t="s">
        <v>1727</v>
      </c>
      <c r="G1150" s="153" t="s">
        <v>384</v>
      </c>
      <c r="H1150" s="152">
        <f t="shared" si="170"/>
        <v>60</v>
      </c>
      <c r="I1150" s="152">
        <v>10</v>
      </c>
      <c r="J1150" s="154">
        <v>50</v>
      </c>
      <c r="K1150" s="303">
        <v>5700</v>
      </c>
      <c r="L1150" s="151">
        <v>0.19</v>
      </c>
      <c r="M1150" s="206">
        <f t="shared" si="171"/>
        <v>285000</v>
      </c>
      <c r="N1150" s="165">
        <v>5985</v>
      </c>
      <c r="O1150" s="151">
        <v>0.19</v>
      </c>
      <c r="P1150" s="239">
        <f t="shared" si="172"/>
        <v>299250</v>
      </c>
      <c r="Q1150" s="229">
        <f t="shared" si="173"/>
        <v>5842.5</v>
      </c>
      <c r="R1150" s="151">
        <v>0.19</v>
      </c>
      <c r="S1150" s="229">
        <f t="shared" si="174"/>
        <v>292125</v>
      </c>
    </row>
    <row r="1151" spans="1:19" ht="27.6" x14ac:dyDescent="0.3">
      <c r="A1151" s="160">
        <v>5</v>
      </c>
      <c r="B1151" s="153">
        <v>259401</v>
      </c>
      <c r="C1151" s="153">
        <v>155121724</v>
      </c>
      <c r="D1151" s="161">
        <v>60121012</v>
      </c>
      <c r="E1151" s="152">
        <v>33</v>
      </c>
      <c r="F1151" s="155" t="s">
        <v>1728</v>
      </c>
      <c r="G1151" s="153" t="s">
        <v>25</v>
      </c>
      <c r="H1151" s="152">
        <f t="shared" si="170"/>
        <v>3010</v>
      </c>
      <c r="I1151" s="152">
        <v>10</v>
      </c>
      <c r="J1151" s="154">
        <v>3000</v>
      </c>
      <c r="K1151" s="303">
        <v>143</v>
      </c>
      <c r="L1151" s="151">
        <v>0.19</v>
      </c>
      <c r="M1151" s="206">
        <f t="shared" si="171"/>
        <v>429000</v>
      </c>
      <c r="N1151" s="165">
        <v>150.15</v>
      </c>
      <c r="O1151" s="151">
        <v>0.19</v>
      </c>
      <c r="P1151" s="239">
        <f t="shared" si="172"/>
        <v>450450</v>
      </c>
      <c r="Q1151" s="229">
        <f t="shared" si="173"/>
        <v>146.57499999999999</v>
      </c>
      <c r="R1151" s="151">
        <v>0.19</v>
      </c>
      <c r="S1151" s="229">
        <f t="shared" si="174"/>
        <v>439724.99999999994</v>
      </c>
    </row>
    <row r="1152" spans="1:19" ht="27.6" x14ac:dyDescent="0.3">
      <c r="A1152" s="160">
        <v>5</v>
      </c>
      <c r="B1152" s="153">
        <v>276816</v>
      </c>
      <c r="C1152" s="153">
        <v>141103147</v>
      </c>
      <c r="D1152" s="161">
        <v>40142008</v>
      </c>
      <c r="E1152" s="152">
        <v>34</v>
      </c>
      <c r="F1152" s="155" t="s">
        <v>1729</v>
      </c>
      <c r="G1152" s="153" t="s">
        <v>156</v>
      </c>
      <c r="H1152" s="152">
        <f t="shared" si="170"/>
        <v>11</v>
      </c>
      <c r="I1152" s="152">
        <v>10</v>
      </c>
      <c r="J1152" s="154">
        <v>1</v>
      </c>
      <c r="K1152" s="303">
        <v>65000</v>
      </c>
      <c r="L1152" s="151">
        <v>0.19</v>
      </c>
      <c r="M1152" s="206">
        <f t="shared" si="171"/>
        <v>65000</v>
      </c>
      <c r="N1152" s="165">
        <v>68250</v>
      </c>
      <c r="O1152" s="151">
        <v>0.19</v>
      </c>
      <c r="P1152" s="239">
        <f t="shared" si="172"/>
        <v>68250</v>
      </c>
      <c r="Q1152" s="229">
        <f t="shared" si="173"/>
        <v>66625</v>
      </c>
      <c r="R1152" s="151">
        <v>0.19</v>
      </c>
      <c r="S1152" s="229">
        <f t="shared" si="174"/>
        <v>66625</v>
      </c>
    </row>
    <row r="1153" spans="1:19" x14ac:dyDescent="0.3">
      <c r="A1153" s="162">
        <v>5</v>
      </c>
      <c r="B1153" s="137">
        <v>234159</v>
      </c>
      <c r="C1153" s="137">
        <v>110171607</v>
      </c>
      <c r="D1153" s="137">
        <v>10171505</v>
      </c>
      <c r="E1153" s="152">
        <v>35</v>
      </c>
      <c r="F1153" s="163" t="s">
        <v>1730</v>
      </c>
      <c r="G1153" s="169" t="s">
        <v>134</v>
      </c>
      <c r="H1153" s="152">
        <f t="shared" si="170"/>
        <v>11</v>
      </c>
      <c r="I1153" s="152">
        <v>10</v>
      </c>
      <c r="J1153" s="170">
        <v>1</v>
      </c>
      <c r="K1153" s="304">
        <v>45800</v>
      </c>
      <c r="L1153" s="151">
        <v>0.19</v>
      </c>
      <c r="M1153" s="206">
        <f t="shared" si="171"/>
        <v>45800</v>
      </c>
      <c r="N1153" s="165">
        <v>48090</v>
      </c>
      <c r="O1153" s="151">
        <v>0.19</v>
      </c>
      <c r="P1153" s="239">
        <f t="shared" si="172"/>
        <v>48090</v>
      </c>
      <c r="Q1153" s="229">
        <f t="shared" si="173"/>
        <v>46945</v>
      </c>
      <c r="R1153" s="151">
        <v>0.19</v>
      </c>
      <c r="S1153" s="229">
        <f t="shared" si="174"/>
        <v>46945</v>
      </c>
    </row>
    <row r="1154" spans="1:19" ht="124.2" x14ac:dyDescent="0.3">
      <c r="A1154" s="162">
        <v>5</v>
      </c>
      <c r="B1154" s="137">
        <v>234159</v>
      </c>
      <c r="C1154" s="137">
        <v>110171607</v>
      </c>
      <c r="D1154" s="137">
        <v>10171505</v>
      </c>
      <c r="E1154" s="152">
        <v>36</v>
      </c>
      <c r="F1154" s="302" t="s">
        <v>1731</v>
      </c>
      <c r="G1154" s="171" t="s">
        <v>134</v>
      </c>
      <c r="H1154" s="152">
        <f t="shared" si="170"/>
        <v>11</v>
      </c>
      <c r="I1154" s="152">
        <v>10</v>
      </c>
      <c r="J1154" s="170">
        <v>1</v>
      </c>
      <c r="K1154" s="304">
        <v>95160</v>
      </c>
      <c r="L1154" s="151">
        <v>0.19</v>
      </c>
      <c r="M1154" s="206">
        <f t="shared" si="171"/>
        <v>95160</v>
      </c>
      <c r="N1154" s="165">
        <v>99918</v>
      </c>
      <c r="O1154" s="151">
        <v>0.19</v>
      </c>
      <c r="P1154" s="239">
        <f t="shared" si="172"/>
        <v>99918</v>
      </c>
      <c r="Q1154" s="229">
        <f t="shared" si="173"/>
        <v>97539</v>
      </c>
      <c r="R1154" s="151">
        <v>0.19</v>
      </c>
      <c r="S1154" s="229">
        <f t="shared" si="174"/>
        <v>97539</v>
      </c>
    </row>
    <row r="1155" spans="1:19" ht="138" x14ac:dyDescent="0.3">
      <c r="A1155" s="162">
        <v>5</v>
      </c>
      <c r="B1155" s="137">
        <v>284131</v>
      </c>
      <c r="C1155" s="137">
        <v>110171703</v>
      </c>
      <c r="D1155" s="137">
        <v>10171702</v>
      </c>
      <c r="E1155" s="152">
        <v>37</v>
      </c>
      <c r="F1155" s="237" t="s">
        <v>1732</v>
      </c>
      <c r="G1155" s="171" t="s">
        <v>134</v>
      </c>
      <c r="H1155" s="152">
        <f t="shared" si="170"/>
        <v>16</v>
      </c>
      <c r="I1155" s="152">
        <v>10</v>
      </c>
      <c r="J1155" s="170">
        <v>6</v>
      </c>
      <c r="K1155" s="304">
        <v>65000</v>
      </c>
      <c r="L1155" s="151">
        <v>0.19</v>
      </c>
      <c r="M1155" s="206">
        <f t="shared" si="171"/>
        <v>390000</v>
      </c>
      <c r="N1155" s="165">
        <v>68250</v>
      </c>
      <c r="O1155" s="151">
        <v>0.19</v>
      </c>
      <c r="P1155" s="239">
        <f t="shared" si="172"/>
        <v>409500</v>
      </c>
      <c r="Q1155" s="229">
        <f t="shared" si="173"/>
        <v>66625</v>
      </c>
      <c r="R1155" s="151">
        <v>0.19</v>
      </c>
      <c r="S1155" s="229">
        <f t="shared" si="174"/>
        <v>399750</v>
      </c>
    </row>
    <row r="1156" spans="1:19" ht="27.6" x14ac:dyDescent="0.3">
      <c r="A1156" s="162">
        <v>5</v>
      </c>
      <c r="B1156" s="137">
        <v>239045</v>
      </c>
      <c r="C1156" s="137">
        <v>110171704</v>
      </c>
      <c r="D1156" s="137">
        <v>10171701</v>
      </c>
      <c r="E1156" s="152">
        <v>38</v>
      </c>
      <c r="F1156" s="302" t="s">
        <v>1733</v>
      </c>
      <c r="G1156" s="171" t="s">
        <v>646</v>
      </c>
      <c r="H1156" s="152">
        <f t="shared" si="170"/>
        <v>11</v>
      </c>
      <c r="I1156" s="152">
        <v>10</v>
      </c>
      <c r="J1156" s="170">
        <v>1</v>
      </c>
      <c r="K1156" s="303">
        <v>16900</v>
      </c>
      <c r="L1156" s="151">
        <v>0.19</v>
      </c>
      <c r="M1156" s="206">
        <f t="shared" si="171"/>
        <v>16900</v>
      </c>
      <c r="N1156" s="165">
        <v>17745</v>
      </c>
      <c r="O1156" s="151">
        <v>0.19</v>
      </c>
      <c r="P1156" s="239">
        <f t="shared" si="172"/>
        <v>17745</v>
      </c>
      <c r="Q1156" s="229">
        <f t="shared" si="173"/>
        <v>17322.5</v>
      </c>
      <c r="R1156" s="151">
        <v>0.19</v>
      </c>
      <c r="S1156" s="229">
        <f t="shared" si="174"/>
        <v>17322.5</v>
      </c>
    </row>
    <row r="1157" spans="1:19" ht="55.2" x14ac:dyDescent="0.3">
      <c r="A1157" s="162">
        <v>5</v>
      </c>
      <c r="B1157" s="137">
        <v>284131</v>
      </c>
      <c r="C1157" s="137">
        <v>110171703</v>
      </c>
      <c r="D1157" s="137">
        <v>10171702</v>
      </c>
      <c r="E1157" s="152">
        <v>39</v>
      </c>
      <c r="F1157" s="302" t="s">
        <v>1734</v>
      </c>
      <c r="G1157" s="171" t="s">
        <v>134</v>
      </c>
      <c r="H1157" s="152">
        <f t="shared" si="170"/>
        <v>11</v>
      </c>
      <c r="I1157" s="152">
        <v>10</v>
      </c>
      <c r="J1157" s="170">
        <v>1</v>
      </c>
      <c r="K1157" s="303">
        <v>119470</v>
      </c>
      <c r="L1157" s="151">
        <v>0.19</v>
      </c>
      <c r="M1157" s="206">
        <f t="shared" si="171"/>
        <v>119470</v>
      </c>
      <c r="N1157" s="165">
        <v>125443.5</v>
      </c>
      <c r="O1157" s="151">
        <v>0.19</v>
      </c>
      <c r="P1157" s="239">
        <f t="shared" si="172"/>
        <v>125443.5</v>
      </c>
      <c r="Q1157" s="229">
        <f t="shared" si="173"/>
        <v>122456.75</v>
      </c>
      <c r="R1157" s="151">
        <v>0.19</v>
      </c>
      <c r="S1157" s="229">
        <f t="shared" si="174"/>
        <v>122456.75</v>
      </c>
    </row>
    <row r="1158" spans="1:19" x14ac:dyDescent="0.3">
      <c r="A1158" s="162">
        <v>5</v>
      </c>
      <c r="B1158" s="137">
        <v>249332</v>
      </c>
      <c r="C1158" s="137">
        <v>110171607</v>
      </c>
      <c r="D1158" s="137">
        <v>11111501</v>
      </c>
      <c r="E1158" s="152">
        <v>40</v>
      </c>
      <c r="F1158" s="163" t="s">
        <v>786</v>
      </c>
      <c r="G1158" s="144" t="s">
        <v>753</v>
      </c>
      <c r="H1158" s="152">
        <f t="shared" si="170"/>
        <v>12</v>
      </c>
      <c r="I1158" s="152">
        <v>10</v>
      </c>
      <c r="J1158" s="170">
        <v>2</v>
      </c>
      <c r="K1158" s="303">
        <v>35000</v>
      </c>
      <c r="L1158" s="151">
        <v>0.19</v>
      </c>
      <c r="M1158" s="206">
        <f t="shared" si="171"/>
        <v>70000</v>
      </c>
      <c r="N1158" s="165">
        <v>36750</v>
      </c>
      <c r="O1158" s="151">
        <v>0.19</v>
      </c>
      <c r="P1158" s="239">
        <f t="shared" si="172"/>
        <v>73500</v>
      </c>
      <c r="Q1158" s="229">
        <f t="shared" si="173"/>
        <v>35875</v>
      </c>
      <c r="R1158" s="151">
        <v>0.19</v>
      </c>
      <c r="S1158" s="229">
        <f t="shared" si="174"/>
        <v>71750</v>
      </c>
    </row>
    <row r="1159" spans="1:19" ht="82.8" x14ac:dyDescent="0.3">
      <c r="A1159" s="162">
        <v>5</v>
      </c>
      <c r="B1159" s="137">
        <v>241175</v>
      </c>
      <c r="C1159" s="137">
        <v>110171607</v>
      </c>
      <c r="D1159" s="137">
        <v>10171505</v>
      </c>
      <c r="E1159" s="152">
        <v>41</v>
      </c>
      <c r="F1159" s="142" t="s">
        <v>1735</v>
      </c>
      <c r="G1159" s="144" t="s">
        <v>134</v>
      </c>
      <c r="H1159" s="152">
        <f t="shared" si="170"/>
        <v>11</v>
      </c>
      <c r="I1159" s="152">
        <v>10</v>
      </c>
      <c r="J1159" s="143">
        <v>1</v>
      </c>
      <c r="K1159" s="305">
        <v>96000</v>
      </c>
      <c r="L1159" s="151">
        <v>0.19</v>
      </c>
      <c r="M1159" s="206">
        <f t="shared" si="171"/>
        <v>96000</v>
      </c>
      <c r="N1159" s="165">
        <v>100800</v>
      </c>
      <c r="O1159" s="151">
        <v>0.19</v>
      </c>
      <c r="P1159" s="239">
        <f t="shared" si="172"/>
        <v>100800</v>
      </c>
      <c r="Q1159" s="229">
        <f t="shared" si="173"/>
        <v>98400</v>
      </c>
      <c r="R1159" s="151">
        <v>0.19</v>
      </c>
      <c r="S1159" s="229">
        <f t="shared" si="174"/>
        <v>98400</v>
      </c>
    </row>
    <row r="1160" spans="1:19" x14ac:dyDescent="0.3">
      <c r="A1160" s="521">
        <v>5</v>
      </c>
      <c r="B1160" s="521">
        <v>239491</v>
      </c>
      <c r="C1160" s="521">
        <v>110151509</v>
      </c>
      <c r="D1160" s="521">
        <v>10151512</v>
      </c>
      <c r="E1160" s="152">
        <v>42</v>
      </c>
      <c r="F1160" s="522" t="s">
        <v>1736</v>
      </c>
      <c r="G1160" s="521" t="s">
        <v>646</v>
      </c>
      <c r="H1160" s="152">
        <f t="shared" si="170"/>
        <v>14</v>
      </c>
      <c r="I1160" s="152">
        <v>10</v>
      </c>
      <c r="J1160" s="521">
        <v>4</v>
      </c>
      <c r="K1160" s="524">
        <v>25000</v>
      </c>
      <c r="L1160" s="523">
        <v>0.19</v>
      </c>
      <c r="M1160" s="524">
        <v>125000</v>
      </c>
      <c r="N1160" s="524">
        <v>26250</v>
      </c>
      <c r="O1160" s="523">
        <v>0.19</v>
      </c>
      <c r="P1160" s="524">
        <f>N1160*J1160</f>
        <v>105000</v>
      </c>
      <c r="Q1160" s="229">
        <f t="shared" si="173"/>
        <v>25625</v>
      </c>
      <c r="R1160" s="523">
        <v>0.19</v>
      </c>
      <c r="S1160" s="229">
        <f t="shared" si="174"/>
        <v>102500</v>
      </c>
    </row>
    <row r="1161" spans="1:19" x14ac:dyDescent="0.3">
      <c r="A1161" s="521">
        <v>5</v>
      </c>
      <c r="B1161" s="521">
        <v>252993</v>
      </c>
      <c r="C1161" s="521">
        <v>110151509</v>
      </c>
      <c r="D1161" s="521">
        <v>10151512</v>
      </c>
      <c r="E1161" s="152">
        <v>43</v>
      </c>
      <c r="F1161" s="522" t="s">
        <v>1737</v>
      </c>
      <c r="G1161" s="521" t="s">
        <v>646</v>
      </c>
      <c r="H1161" s="152">
        <f t="shared" si="170"/>
        <v>14</v>
      </c>
      <c r="I1161" s="152">
        <v>10</v>
      </c>
      <c r="J1161" s="521">
        <v>4</v>
      </c>
      <c r="K1161" s="524">
        <v>8450</v>
      </c>
      <c r="L1161" s="523">
        <v>0.19</v>
      </c>
      <c r="M1161" s="524">
        <v>42250</v>
      </c>
      <c r="N1161" s="524">
        <v>8873</v>
      </c>
      <c r="O1161" s="523">
        <v>0.19</v>
      </c>
      <c r="P1161" s="524">
        <f t="shared" ref="P1161:P1207" si="175">N1161*J1161</f>
        <v>35492</v>
      </c>
      <c r="Q1161" s="229">
        <f t="shared" si="173"/>
        <v>8661.5</v>
      </c>
      <c r="R1161" s="523">
        <v>0.19</v>
      </c>
      <c r="S1161" s="229">
        <f t="shared" si="174"/>
        <v>34646</v>
      </c>
    </row>
    <row r="1162" spans="1:19" x14ac:dyDescent="0.3">
      <c r="A1162" s="521">
        <v>5</v>
      </c>
      <c r="B1162" s="521">
        <v>233364</v>
      </c>
      <c r="C1162" s="521">
        <v>110151509</v>
      </c>
      <c r="D1162" s="521">
        <v>10151518</v>
      </c>
      <c r="E1162" s="152">
        <v>44</v>
      </c>
      <c r="F1162" s="522" t="s">
        <v>1738</v>
      </c>
      <c r="G1162" s="521" t="s">
        <v>646</v>
      </c>
      <c r="H1162" s="152">
        <f t="shared" si="170"/>
        <v>14</v>
      </c>
      <c r="I1162" s="152">
        <v>10</v>
      </c>
      <c r="J1162" s="521">
        <v>4</v>
      </c>
      <c r="K1162" s="524">
        <v>17500</v>
      </c>
      <c r="L1162" s="523">
        <v>0.19</v>
      </c>
      <c r="M1162" s="524">
        <v>87500</v>
      </c>
      <c r="N1162" s="524">
        <v>18375</v>
      </c>
      <c r="O1162" s="523">
        <v>0.19</v>
      </c>
      <c r="P1162" s="524">
        <f t="shared" si="175"/>
        <v>73500</v>
      </c>
      <c r="Q1162" s="229">
        <f t="shared" si="173"/>
        <v>17937.5</v>
      </c>
      <c r="R1162" s="523">
        <v>0.19</v>
      </c>
      <c r="S1162" s="229">
        <f t="shared" si="174"/>
        <v>71750</v>
      </c>
    </row>
    <row r="1163" spans="1:19" x14ac:dyDescent="0.3">
      <c r="A1163" s="521">
        <v>5</v>
      </c>
      <c r="B1163" s="521">
        <v>233237</v>
      </c>
      <c r="C1163" s="521">
        <v>110151509</v>
      </c>
      <c r="D1163" s="521">
        <v>10151512</v>
      </c>
      <c r="E1163" s="152">
        <v>45</v>
      </c>
      <c r="F1163" s="522" t="s">
        <v>1739</v>
      </c>
      <c r="G1163" s="521" t="s">
        <v>646</v>
      </c>
      <c r="H1163" s="152">
        <f t="shared" si="170"/>
        <v>14</v>
      </c>
      <c r="I1163" s="152">
        <v>10</v>
      </c>
      <c r="J1163" s="521">
        <v>4</v>
      </c>
      <c r="K1163" s="524">
        <v>7150</v>
      </c>
      <c r="L1163" s="523">
        <v>0.19</v>
      </c>
      <c r="M1163" s="524">
        <v>35750</v>
      </c>
      <c r="N1163" s="524">
        <v>7508</v>
      </c>
      <c r="O1163" s="523">
        <v>0.19</v>
      </c>
      <c r="P1163" s="524">
        <f t="shared" si="175"/>
        <v>30032</v>
      </c>
      <c r="Q1163" s="229">
        <f t="shared" si="173"/>
        <v>7329</v>
      </c>
      <c r="R1163" s="523">
        <v>0.19</v>
      </c>
      <c r="S1163" s="229">
        <f t="shared" si="174"/>
        <v>29316</v>
      </c>
    </row>
    <row r="1164" spans="1:19" x14ac:dyDescent="0.3">
      <c r="A1164" s="521">
        <v>5</v>
      </c>
      <c r="B1164" s="521">
        <v>243905</v>
      </c>
      <c r="C1164" s="521">
        <v>110151509</v>
      </c>
      <c r="D1164" s="521">
        <v>50404120</v>
      </c>
      <c r="E1164" s="152">
        <v>46</v>
      </c>
      <c r="F1164" s="522" t="s">
        <v>1740</v>
      </c>
      <c r="G1164" s="521" t="s">
        <v>646</v>
      </c>
      <c r="H1164" s="152">
        <f t="shared" si="170"/>
        <v>14</v>
      </c>
      <c r="I1164" s="152">
        <v>10</v>
      </c>
      <c r="J1164" s="521">
        <v>4</v>
      </c>
      <c r="K1164" s="524">
        <v>11570</v>
      </c>
      <c r="L1164" s="523">
        <v>0.19</v>
      </c>
      <c r="M1164" s="524">
        <v>57850</v>
      </c>
      <c r="N1164" s="524">
        <v>12149</v>
      </c>
      <c r="O1164" s="523">
        <v>0.19</v>
      </c>
      <c r="P1164" s="524">
        <f t="shared" si="175"/>
        <v>48596</v>
      </c>
      <c r="Q1164" s="229">
        <f t="shared" si="173"/>
        <v>11859.5</v>
      </c>
      <c r="R1164" s="523">
        <v>0.19</v>
      </c>
      <c r="S1164" s="229">
        <f t="shared" si="174"/>
        <v>47438</v>
      </c>
    </row>
    <row r="1165" spans="1:19" x14ac:dyDescent="0.3">
      <c r="A1165" s="521">
        <v>5</v>
      </c>
      <c r="B1165" s="521">
        <v>233251</v>
      </c>
      <c r="C1165" s="521">
        <v>110151509</v>
      </c>
      <c r="D1165" s="521">
        <v>50404115</v>
      </c>
      <c r="E1165" s="152">
        <v>47</v>
      </c>
      <c r="F1165" s="522" t="s">
        <v>1741</v>
      </c>
      <c r="G1165" s="521" t="s">
        <v>646</v>
      </c>
      <c r="H1165" s="152">
        <f t="shared" si="170"/>
        <v>14</v>
      </c>
      <c r="I1165" s="152">
        <v>10</v>
      </c>
      <c r="J1165" s="521">
        <v>4</v>
      </c>
      <c r="K1165" s="524">
        <v>8840</v>
      </c>
      <c r="L1165" s="523">
        <v>0.19</v>
      </c>
      <c r="M1165" s="524">
        <v>44200</v>
      </c>
      <c r="N1165" s="524">
        <v>9282</v>
      </c>
      <c r="O1165" s="523">
        <v>0.19</v>
      </c>
      <c r="P1165" s="524">
        <f t="shared" si="175"/>
        <v>37128</v>
      </c>
      <c r="Q1165" s="229">
        <f t="shared" si="173"/>
        <v>9061</v>
      </c>
      <c r="R1165" s="523">
        <v>0.19</v>
      </c>
      <c r="S1165" s="229">
        <f t="shared" si="174"/>
        <v>36244</v>
      </c>
    </row>
    <row r="1166" spans="1:19" x14ac:dyDescent="0.3">
      <c r="A1166" s="521">
        <v>5</v>
      </c>
      <c r="B1166" s="521">
        <v>252531</v>
      </c>
      <c r="C1166" s="521">
        <v>110151509</v>
      </c>
      <c r="D1166" s="521">
        <v>10151800</v>
      </c>
      <c r="E1166" s="152">
        <v>48</v>
      </c>
      <c r="F1166" s="522" t="s">
        <v>1742</v>
      </c>
      <c r="G1166" s="521" t="s">
        <v>646</v>
      </c>
      <c r="H1166" s="152">
        <f t="shared" si="170"/>
        <v>14</v>
      </c>
      <c r="I1166" s="152">
        <v>10</v>
      </c>
      <c r="J1166" s="521">
        <v>4</v>
      </c>
      <c r="K1166" s="524">
        <v>10400</v>
      </c>
      <c r="L1166" s="523">
        <v>0.19</v>
      </c>
      <c r="M1166" s="524">
        <v>52000</v>
      </c>
      <c r="N1166" s="524">
        <v>10920</v>
      </c>
      <c r="O1166" s="523">
        <v>0.19</v>
      </c>
      <c r="P1166" s="524">
        <f t="shared" si="175"/>
        <v>43680</v>
      </c>
      <c r="Q1166" s="229">
        <f t="shared" si="173"/>
        <v>10660</v>
      </c>
      <c r="R1166" s="523">
        <v>0.19</v>
      </c>
      <c r="S1166" s="229">
        <f t="shared" si="174"/>
        <v>42640</v>
      </c>
    </row>
    <row r="1167" spans="1:19" x14ac:dyDescent="0.3">
      <c r="A1167" s="521">
        <v>5</v>
      </c>
      <c r="B1167" s="521">
        <v>110151509</v>
      </c>
      <c r="C1167" s="521">
        <v>244622</v>
      </c>
      <c r="D1167" s="521">
        <v>10151502</v>
      </c>
      <c r="E1167" s="152">
        <v>49</v>
      </c>
      <c r="F1167" s="522" t="s">
        <v>1743</v>
      </c>
      <c r="G1167" s="521" t="s">
        <v>646</v>
      </c>
      <c r="H1167" s="152">
        <f t="shared" si="170"/>
        <v>14</v>
      </c>
      <c r="I1167" s="152">
        <v>10</v>
      </c>
      <c r="J1167" s="521">
        <v>4</v>
      </c>
      <c r="K1167" s="524">
        <v>4200</v>
      </c>
      <c r="L1167" s="523">
        <v>0</v>
      </c>
      <c r="M1167" s="524">
        <v>21000</v>
      </c>
      <c r="N1167" s="524">
        <v>4550</v>
      </c>
      <c r="O1167" s="523">
        <v>0.19</v>
      </c>
      <c r="P1167" s="524">
        <f t="shared" si="175"/>
        <v>18200</v>
      </c>
      <c r="Q1167" s="229">
        <f t="shared" si="173"/>
        <v>4375</v>
      </c>
      <c r="R1167" s="523">
        <v>0.19</v>
      </c>
      <c r="S1167" s="229">
        <f t="shared" si="174"/>
        <v>17500</v>
      </c>
    </row>
    <row r="1168" spans="1:19" x14ac:dyDescent="0.3">
      <c r="A1168" s="521">
        <v>5</v>
      </c>
      <c r="B1168" s="521">
        <v>110151509</v>
      </c>
      <c r="C1168" s="521">
        <v>239486</v>
      </c>
      <c r="D1168" s="521">
        <v>10151805</v>
      </c>
      <c r="E1168" s="152">
        <v>50</v>
      </c>
      <c r="F1168" s="522" t="s">
        <v>1744</v>
      </c>
      <c r="G1168" s="521" t="s">
        <v>646</v>
      </c>
      <c r="H1168" s="152">
        <f t="shared" si="170"/>
        <v>14</v>
      </c>
      <c r="I1168" s="152">
        <v>10</v>
      </c>
      <c r="J1168" s="521">
        <v>4</v>
      </c>
      <c r="K1168" s="524">
        <v>2700</v>
      </c>
      <c r="L1168" s="523">
        <v>0</v>
      </c>
      <c r="M1168" s="524">
        <v>13500</v>
      </c>
      <c r="N1168" s="524">
        <v>2250</v>
      </c>
      <c r="O1168" s="523">
        <v>0.19</v>
      </c>
      <c r="P1168" s="524">
        <f t="shared" si="175"/>
        <v>9000</v>
      </c>
      <c r="Q1168" s="229">
        <f t="shared" si="173"/>
        <v>2475</v>
      </c>
      <c r="R1168" s="523">
        <v>0.19</v>
      </c>
      <c r="S1168" s="229">
        <f t="shared" si="174"/>
        <v>9900</v>
      </c>
    </row>
    <row r="1169" spans="1:19" x14ac:dyDescent="0.3">
      <c r="A1169" s="521">
        <v>5</v>
      </c>
      <c r="B1169" s="521">
        <v>110151509</v>
      </c>
      <c r="C1169" s="521">
        <v>234188</v>
      </c>
      <c r="D1169" s="521">
        <v>10151500</v>
      </c>
      <c r="E1169" s="152">
        <v>51</v>
      </c>
      <c r="F1169" s="522" t="s">
        <v>1745</v>
      </c>
      <c r="G1169" s="521" t="s">
        <v>646</v>
      </c>
      <c r="H1169" s="152">
        <f t="shared" si="170"/>
        <v>14</v>
      </c>
      <c r="I1169" s="152">
        <v>10</v>
      </c>
      <c r="J1169" s="521">
        <v>4</v>
      </c>
      <c r="K1169" s="524">
        <v>9800</v>
      </c>
      <c r="L1169" s="523">
        <v>0</v>
      </c>
      <c r="M1169" s="524">
        <v>49000</v>
      </c>
      <c r="N1169" s="524">
        <v>11950</v>
      </c>
      <c r="O1169" s="523">
        <v>0.19</v>
      </c>
      <c r="P1169" s="524">
        <f t="shared" si="175"/>
        <v>47800</v>
      </c>
      <c r="Q1169" s="229">
        <f t="shared" si="173"/>
        <v>10875</v>
      </c>
      <c r="R1169" s="523">
        <v>0.19</v>
      </c>
      <c r="S1169" s="229">
        <f t="shared" si="174"/>
        <v>43500</v>
      </c>
    </row>
    <row r="1170" spans="1:19" x14ac:dyDescent="0.3">
      <c r="A1170" s="521">
        <v>5</v>
      </c>
      <c r="B1170" s="521">
        <v>110151509</v>
      </c>
      <c r="C1170" s="521">
        <v>233222</v>
      </c>
      <c r="D1170" s="521">
        <v>10151515</v>
      </c>
      <c r="E1170" s="152">
        <v>52</v>
      </c>
      <c r="F1170" s="522" t="s">
        <v>1746</v>
      </c>
      <c r="G1170" s="521" t="s">
        <v>646</v>
      </c>
      <c r="H1170" s="152">
        <f t="shared" si="170"/>
        <v>14</v>
      </c>
      <c r="I1170" s="152">
        <v>10</v>
      </c>
      <c r="J1170" s="521">
        <v>4</v>
      </c>
      <c r="K1170" s="524">
        <v>9800</v>
      </c>
      <c r="L1170" s="523">
        <v>0</v>
      </c>
      <c r="M1170" s="524">
        <v>49000</v>
      </c>
      <c r="N1170" s="524">
        <v>0</v>
      </c>
      <c r="O1170" s="523">
        <v>0</v>
      </c>
      <c r="P1170" s="524">
        <f t="shared" si="175"/>
        <v>0</v>
      </c>
      <c r="Q1170" s="229">
        <f>SUM(K1170+N1170)/1</f>
        <v>9800</v>
      </c>
      <c r="R1170" s="523">
        <v>0.19</v>
      </c>
      <c r="S1170" s="229">
        <f t="shared" si="174"/>
        <v>39200</v>
      </c>
    </row>
    <row r="1171" spans="1:19" x14ac:dyDescent="0.3">
      <c r="A1171" s="521">
        <v>5</v>
      </c>
      <c r="B1171" s="521">
        <v>110151509</v>
      </c>
      <c r="C1171" s="521">
        <v>283232</v>
      </c>
      <c r="D1171" s="521">
        <v>10151808</v>
      </c>
      <c r="E1171" s="152">
        <v>53</v>
      </c>
      <c r="F1171" s="522" t="s">
        <v>1747</v>
      </c>
      <c r="G1171" s="521" t="s">
        <v>646</v>
      </c>
      <c r="H1171" s="152">
        <f t="shared" si="170"/>
        <v>14</v>
      </c>
      <c r="I1171" s="152">
        <v>10</v>
      </c>
      <c r="J1171" s="521">
        <v>4</v>
      </c>
      <c r="K1171" s="524">
        <v>16800</v>
      </c>
      <c r="L1171" s="523">
        <v>0</v>
      </c>
      <c r="M1171" s="524">
        <v>84000</v>
      </c>
      <c r="N1171" s="524">
        <v>3100</v>
      </c>
      <c r="O1171" s="523">
        <v>0.19</v>
      </c>
      <c r="P1171" s="524">
        <f t="shared" si="175"/>
        <v>12400</v>
      </c>
      <c r="Q1171" s="229">
        <f t="shared" si="173"/>
        <v>9950</v>
      </c>
      <c r="R1171" s="523">
        <v>0.19</v>
      </c>
      <c r="S1171" s="229">
        <f t="shared" si="174"/>
        <v>39800</v>
      </c>
    </row>
    <row r="1172" spans="1:19" x14ac:dyDescent="0.3">
      <c r="A1172" s="521">
        <v>5</v>
      </c>
      <c r="B1172" s="521">
        <v>110151509</v>
      </c>
      <c r="C1172" s="521">
        <v>239497</v>
      </c>
      <c r="D1172" s="521">
        <v>10151507</v>
      </c>
      <c r="E1172" s="152">
        <v>54</v>
      </c>
      <c r="F1172" s="522" t="s">
        <v>1748</v>
      </c>
      <c r="G1172" s="521" t="s">
        <v>646</v>
      </c>
      <c r="H1172" s="152">
        <f t="shared" si="170"/>
        <v>14</v>
      </c>
      <c r="I1172" s="152">
        <v>10</v>
      </c>
      <c r="J1172" s="521">
        <v>4</v>
      </c>
      <c r="K1172" s="524">
        <v>12300</v>
      </c>
      <c r="L1172" s="523">
        <v>0</v>
      </c>
      <c r="M1172" s="524">
        <v>61500</v>
      </c>
      <c r="N1172" s="524">
        <v>3100</v>
      </c>
      <c r="O1172" s="523">
        <v>0.19</v>
      </c>
      <c r="P1172" s="524">
        <f t="shared" si="175"/>
        <v>12400</v>
      </c>
      <c r="Q1172" s="229">
        <f t="shared" si="173"/>
        <v>7700</v>
      </c>
      <c r="R1172" s="523">
        <v>0.19</v>
      </c>
      <c r="S1172" s="229">
        <f t="shared" si="174"/>
        <v>30800</v>
      </c>
    </row>
    <row r="1173" spans="1:19" x14ac:dyDescent="0.3">
      <c r="A1173" s="521">
        <v>5</v>
      </c>
      <c r="B1173" s="521">
        <v>110151509</v>
      </c>
      <c r="C1173" s="521">
        <v>244615</v>
      </c>
      <c r="D1173" s="521">
        <v>10151501</v>
      </c>
      <c r="E1173" s="152">
        <v>55</v>
      </c>
      <c r="F1173" s="522" t="s">
        <v>1749</v>
      </c>
      <c r="G1173" s="521" t="s">
        <v>751</v>
      </c>
      <c r="H1173" s="152">
        <f t="shared" si="170"/>
        <v>14</v>
      </c>
      <c r="I1173" s="152">
        <v>10</v>
      </c>
      <c r="J1173" s="521">
        <v>4</v>
      </c>
      <c r="K1173" s="524">
        <v>16500</v>
      </c>
      <c r="L1173" s="523">
        <v>0</v>
      </c>
      <c r="M1173" s="524">
        <v>82500</v>
      </c>
      <c r="N1173" s="524">
        <v>16400</v>
      </c>
      <c r="O1173" s="523">
        <v>0.19</v>
      </c>
      <c r="P1173" s="524">
        <f t="shared" si="175"/>
        <v>65600</v>
      </c>
      <c r="Q1173" s="229">
        <f t="shared" si="173"/>
        <v>16450</v>
      </c>
      <c r="R1173" s="523">
        <v>0.19</v>
      </c>
      <c r="S1173" s="229">
        <f t="shared" si="174"/>
        <v>65800</v>
      </c>
    </row>
    <row r="1174" spans="1:19" x14ac:dyDescent="0.3">
      <c r="A1174" s="521">
        <v>5</v>
      </c>
      <c r="B1174" s="521">
        <v>110151509</v>
      </c>
      <c r="C1174" s="521">
        <v>233229</v>
      </c>
      <c r="D1174" s="521">
        <v>10151523</v>
      </c>
      <c r="E1174" s="152">
        <v>56</v>
      </c>
      <c r="F1174" s="522" t="s">
        <v>1750</v>
      </c>
      <c r="G1174" s="521" t="s">
        <v>646</v>
      </c>
      <c r="H1174" s="152">
        <f t="shared" si="170"/>
        <v>14</v>
      </c>
      <c r="I1174" s="152">
        <v>10</v>
      </c>
      <c r="J1174" s="521">
        <v>4</v>
      </c>
      <c r="K1174" s="524">
        <v>6400</v>
      </c>
      <c r="L1174" s="523">
        <v>0</v>
      </c>
      <c r="M1174" s="524">
        <v>32000</v>
      </c>
      <c r="N1174" s="524">
        <v>1550</v>
      </c>
      <c r="O1174" s="523">
        <v>0.19</v>
      </c>
      <c r="P1174" s="524">
        <f t="shared" si="175"/>
        <v>6200</v>
      </c>
      <c r="Q1174" s="229">
        <f t="shared" si="173"/>
        <v>3975</v>
      </c>
      <c r="R1174" s="523">
        <v>0.19</v>
      </c>
      <c r="S1174" s="229">
        <f t="shared" si="174"/>
        <v>15900</v>
      </c>
    </row>
    <row r="1175" spans="1:19" x14ac:dyDescent="0.3">
      <c r="A1175" s="521">
        <v>5</v>
      </c>
      <c r="B1175" s="521">
        <v>110151509</v>
      </c>
      <c r="C1175" s="521">
        <v>233257</v>
      </c>
      <c r="D1175" s="521">
        <v>10151526</v>
      </c>
      <c r="E1175" s="152">
        <v>57</v>
      </c>
      <c r="F1175" s="522" t="s">
        <v>1751</v>
      </c>
      <c r="G1175" s="521" t="s">
        <v>646</v>
      </c>
      <c r="H1175" s="152">
        <f t="shared" si="170"/>
        <v>14</v>
      </c>
      <c r="I1175" s="152">
        <v>10</v>
      </c>
      <c r="J1175" s="521">
        <v>4</v>
      </c>
      <c r="K1175" s="524">
        <v>17890</v>
      </c>
      <c r="L1175" s="523">
        <v>0</v>
      </c>
      <c r="M1175" s="524">
        <v>89450</v>
      </c>
      <c r="N1175" s="524">
        <v>4500</v>
      </c>
      <c r="O1175" s="523">
        <v>0.19</v>
      </c>
      <c r="P1175" s="524">
        <f t="shared" si="175"/>
        <v>18000</v>
      </c>
      <c r="Q1175" s="229">
        <f t="shared" si="173"/>
        <v>11195</v>
      </c>
      <c r="R1175" s="523">
        <v>0.19</v>
      </c>
      <c r="S1175" s="229">
        <f t="shared" si="174"/>
        <v>44780</v>
      </c>
    </row>
    <row r="1176" spans="1:19" x14ac:dyDescent="0.3">
      <c r="A1176" s="521">
        <v>5</v>
      </c>
      <c r="B1176" s="521">
        <v>110151509</v>
      </c>
      <c r="C1176" s="521">
        <v>252528</v>
      </c>
      <c r="D1176" s="521">
        <v>10222902</v>
      </c>
      <c r="E1176" s="152">
        <v>58</v>
      </c>
      <c r="F1176" s="522" t="s">
        <v>1752</v>
      </c>
      <c r="G1176" s="521" t="s">
        <v>646</v>
      </c>
      <c r="H1176" s="152">
        <f t="shared" si="170"/>
        <v>14</v>
      </c>
      <c r="I1176" s="152">
        <v>10</v>
      </c>
      <c r="J1176" s="521">
        <v>4</v>
      </c>
      <c r="K1176" s="524">
        <v>85714</v>
      </c>
      <c r="L1176" s="523">
        <v>0</v>
      </c>
      <c r="M1176" s="524">
        <v>428570</v>
      </c>
      <c r="N1176" s="524">
        <v>56160</v>
      </c>
      <c r="O1176" s="523">
        <v>0.19</v>
      </c>
      <c r="P1176" s="524">
        <f t="shared" si="175"/>
        <v>224640</v>
      </c>
      <c r="Q1176" s="229">
        <f t="shared" si="173"/>
        <v>70937</v>
      </c>
      <c r="R1176" s="523">
        <v>0.19</v>
      </c>
      <c r="S1176" s="229">
        <f t="shared" si="174"/>
        <v>283748</v>
      </c>
    </row>
    <row r="1177" spans="1:19" x14ac:dyDescent="0.3">
      <c r="A1177" s="521">
        <v>5</v>
      </c>
      <c r="B1177" s="521">
        <v>110151509</v>
      </c>
      <c r="C1177" s="521">
        <v>233248</v>
      </c>
      <c r="D1177" s="521">
        <v>50404114</v>
      </c>
      <c r="E1177" s="152">
        <v>59</v>
      </c>
      <c r="F1177" s="522" t="s">
        <v>1753</v>
      </c>
      <c r="G1177" s="521" t="s">
        <v>646</v>
      </c>
      <c r="H1177" s="152">
        <f t="shared" si="170"/>
        <v>14</v>
      </c>
      <c r="I1177" s="152">
        <v>10</v>
      </c>
      <c r="J1177" s="521">
        <v>4</v>
      </c>
      <c r="K1177" s="524">
        <v>8571</v>
      </c>
      <c r="L1177" s="523">
        <v>0</v>
      </c>
      <c r="M1177" s="524">
        <v>42855</v>
      </c>
      <c r="N1177" s="524">
        <v>5661</v>
      </c>
      <c r="O1177" s="523">
        <v>0.19</v>
      </c>
      <c r="P1177" s="524">
        <f t="shared" si="175"/>
        <v>22644</v>
      </c>
      <c r="Q1177" s="229">
        <f t="shared" si="173"/>
        <v>7116</v>
      </c>
      <c r="R1177" s="523">
        <v>0.19</v>
      </c>
      <c r="S1177" s="229">
        <f t="shared" si="174"/>
        <v>28464</v>
      </c>
    </row>
    <row r="1178" spans="1:19" x14ac:dyDescent="0.3">
      <c r="A1178" s="521">
        <v>5</v>
      </c>
      <c r="B1178" s="521">
        <v>110151509</v>
      </c>
      <c r="C1178" s="521">
        <v>233245</v>
      </c>
      <c r="D1178" s="521">
        <v>10223804</v>
      </c>
      <c r="E1178" s="152">
        <v>60</v>
      </c>
      <c r="F1178" s="522" t="s">
        <v>1754</v>
      </c>
      <c r="G1178" s="521" t="s">
        <v>646</v>
      </c>
      <c r="H1178" s="152">
        <f t="shared" si="170"/>
        <v>14</v>
      </c>
      <c r="I1178" s="152">
        <v>10</v>
      </c>
      <c r="J1178" s="521">
        <v>4</v>
      </c>
      <c r="K1178" s="524">
        <v>2286</v>
      </c>
      <c r="L1178" s="523">
        <v>0</v>
      </c>
      <c r="M1178" s="524">
        <v>11430</v>
      </c>
      <c r="N1178" s="524">
        <v>3510</v>
      </c>
      <c r="O1178" s="523">
        <v>0.19</v>
      </c>
      <c r="P1178" s="524">
        <f t="shared" si="175"/>
        <v>14040</v>
      </c>
      <c r="Q1178" s="229">
        <f t="shared" si="173"/>
        <v>2898</v>
      </c>
      <c r="R1178" s="523">
        <v>0.19</v>
      </c>
      <c r="S1178" s="229">
        <f t="shared" si="174"/>
        <v>11592</v>
      </c>
    </row>
    <row r="1179" spans="1:19" x14ac:dyDescent="0.3">
      <c r="A1179" s="521">
        <v>5</v>
      </c>
      <c r="B1179" s="521">
        <v>110151509</v>
      </c>
      <c r="C1179" s="521">
        <v>244624</v>
      </c>
      <c r="D1179" s="521">
        <v>10151515</v>
      </c>
      <c r="E1179" s="152">
        <v>61</v>
      </c>
      <c r="F1179" s="522" t="s">
        <v>1755</v>
      </c>
      <c r="G1179" s="521" t="s">
        <v>646</v>
      </c>
      <c r="H1179" s="152">
        <f t="shared" si="170"/>
        <v>12</v>
      </c>
      <c r="I1179" s="152">
        <v>10</v>
      </c>
      <c r="J1179" s="521">
        <v>2</v>
      </c>
      <c r="K1179" s="524">
        <v>17143</v>
      </c>
      <c r="L1179" s="523">
        <v>0</v>
      </c>
      <c r="M1179" s="524">
        <v>34286</v>
      </c>
      <c r="N1179" s="524">
        <v>12150</v>
      </c>
      <c r="O1179" s="523">
        <v>0.19</v>
      </c>
      <c r="P1179" s="524">
        <f t="shared" si="175"/>
        <v>24300</v>
      </c>
      <c r="Q1179" s="229">
        <f t="shared" si="173"/>
        <v>14646.5</v>
      </c>
      <c r="R1179" s="523">
        <v>0.19</v>
      </c>
      <c r="S1179" s="229">
        <f t="shared" si="174"/>
        <v>29293</v>
      </c>
    </row>
    <row r="1180" spans="1:19" x14ac:dyDescent="0.3">
      <c r="A1180" s="521">
        <v>5</v>
      </c>
      <c r="B1180" s="521">
        <v>110151509</v>
      </c>
      <c r="C1180" s="521">
        <v>244624</v>
      </c>
      <c r="D1180" s="521">
        <v>10151515</v>
      </c>
      <c r="E1180" s="152">
        <v>62</v>
      </c>
      <c r="F1180" s="522" t="s">
        <v>1756</v>
      </c>
      <c r="G1180" s="521" t="s">
        <v>646</v>
      </c>
      <c r="H1180" s="152">
        <f t="shared" si="170"/>
        <v>14</v>
      </c>
      <c r="I1180" s="152">
        <v>10</v>
      </c>
      <c r="J1180" s="521">
        <v>4</v>
      </c>
      <c r="K1180" s="524">
        <v>10000</v>
      </c>
      <c r="L1180" s="523">
        <v>0</v>
      </c>
      <c r="M1180" s="524">
        <v>50000</v>
      </c>
      <c r="N1180" s="524">
        <v>3645</v>
      </c>
      <c r="O1180" s="523">
        <v>0.19</v>
      </c>
      <c r="P1180" s="524">
        <f t="shared" si="175"/>
        <v>14580</v>
      </c>
      <c r="Q1180" s="229">
        <f t="shared" si="173"/>
        <v>6822.5</v>
      </c>
      <c r="R1180" s="523">
        <v>0.19</v>
      </c>
      <c r="S1180" s="229">
        <f t="shared" si="174"/>
        <v>27290</v>
      </c>
    </row>
    <row r="1181" spans="1:19" x14ac:dyDescent="0.3">
      <c r="A1181" s="521">
        <v>5</v>
      </c>
      <c r="B1181" s="521">
        <v>150101586</v>
      </c>
      <c r="C1181" s="521">
        <v>233652</v>
      </c>
      <c r="D1181" s="521">
        <v>10151524</v>
      </c>
      <c r="E1181" s="152">
        <v>63</v>
      </c>
      <c r="F1181" s="522" t="s">
        <v>1757</v>
      </c>
      <c r="G1181" s="521" t="s">
        <v>646</v>
      </c>
      <c r="H1181" s="152">
        <f t="shared" si="170"/>
        <v>14</v>
      </c>
      <c r="I1181" s="152">
        <v>10</v>
      </c>
      <c r="J1181" s="521">
        <v>4</v>
      </c>
      <c r="K1181" s="524">
        <v>6857</v>
      </c>
      <c r="L1181" s="523">
        <v>0</v>
      </c>
      <c r="M1181" s="524">
        <v>34285</v>
      </c>
      <c r="N1181" s="524">
        <v>4320</v>
      </c>
      <c r="O1181" s="523">
        <v>0.19</v>
      </c>
      <c r="P1181" s="524">
        <f t="shared" si="175"/>
        <v>17280</v>
      </c>
      <c r="Q1181" s="229">
        <f t="shared" si="173"/>
        <v>5588.5</v>
      </c>
      <c r="R1181" s="523">
        <v>0.19</v>
      </c>
      <c r="S1181" s="229">
        <f t="shared" si="174"/>
        <v>22354</v>
      </c>
    </row>
    <row r="1182" spans="1:19" x14ac:dyDescent="0.3">
      <c r="A1182" s="521">
        <v>5</v>
      </c>
      <c r="B1182" s="521">
        <v>150101586</v>
      </c>
      <c r="C1182" s="521">
        <v>233653</v>
      </c>
      <c r="D1182" s="521">
        <v>10151524</v>
      </c>
      <c r="E1182" s="152">
        <v>64</v>
      </c>
      <c r="F1182" s="522" t="s">
        <v>1758</v>
      </c>
      <c r="G1182" s="521" t="s">
        <v>646</v>
      </c>
      <c r="H1182" s="152">
        <f t="shared" si="170"/>
        <v>14</v>
      </c>
      <c r="I1182" s="152">
        <v>10</v>
      </c>
      <c r="J1182" s="521">
        <v>4</v>
      </c>
      <c r="K1182" s="524">
        <v>6857</v>
      </c>
      <c r="L1182" s="523">
        <v>0</v>
      </c>
      <c r="M1182" s="524">
        <v>34285</v>
      </c>
      <c r="N1182" s="524">
        <v>8500</v>
      </c>
      <c r="O1182" s="523">
        <v>0.19</v>
      </c>
      <c r="P1182" s="524">
        <f t="shared" si="175"/>
        <v>34000</v>
      </c>
      <c r="Q1182" s="229">
        <f t="shared" si="173"/>
        <v>7678.5</v>
      </c>
      <c r="R1182" s="523">
        <v>0.19</v>
      </c>
      <c r="S1182" s="229">
        <f t="shared" si="174"/>
        <v>30714</v>
      </c>
    </row>
    <row r="1183" spans="1:19" x14ac:dyDescent="0.3">
      <c r="A1183" s="521">
        <v>5</v>
      </c>
      <c r="B1183" s="521">
        <v>251527</v>
      </c>
      <c r="C1183" s="521">
        <v>110171607</v>
      </c>
      <c r="D1183" s="521">
        <v>10171506</v>
      </c>
      <c r="E1183" s="152">
        <v>65</v>
      </c>
      <c r="F1183" s="522" t="s">
        <v>1759</v>
      </c>
      <c r="G1183" s="521" t="s">
        <v>753</v>
      </c>
      <c r="H1183" s="152">
        <f t="shared" si="170"/>
        <v>11</v>
      </c>
      <c r="I1183" s="152">
        <v>10</v>
      </c>
      <c r="J1183" s="521">
        <v>1</v>
      </c>
      <c r="K1183" s="524">
        <v>78000</v>
      </c>
      <c r="L1183" s="523">
        <v>0.19</v>
      </c>
      <c r="M1183" s="524">
        <v>78000</v>
      </c>
      <c r="N1183" s="524">
        <v>81900</v>
      </c>
      <c r="O1183" s="523">
        <v>0.19</v>
      </c>
      <c r="P1183" s="524">
        <f t="shared" si="175"/>
        <v>81900</v>
      </c>
      <c r="Q1183" s="229">
        <f t="shared" si="173"/>
        <v>79950</v>
      </c>
      <c r="R1183" s="523">
        <v>0.19</v>
      </c>
      <c r="S1183" s="229">
        <f t="shared" si="174"/>
        <v>79950</v>
      </c>
    </row>
    <row r="1184" spans="1:19" x14ac:dyDescent="0.3">
      <c r="A1184" s="521">
        <v>5</v>
      </c>
      <c r="B1184" s="521">
        <v>233314</v>
      </c>
      <c r="C1184" s="521">
        <v>110171607</v>
      </c>
      <c r="D1184" s="521">
        <v>10171505</v>
      </c>
      <c r="E1184" s="152">
        <v>66</v>
      </c>
      <c r="F1184" s="522" t="s">
        <v>1712</v>
      </c>
      <c r="G1184" s="521" t="s">
        <v>594</v>
      </c>
      <c r="H1184" s="152">
        <f t="shared" ref="H1184:H1207" si="176">I1184+J1184</f>
        <v>12</v>
      </c>
      <c r="I1184" s="152">
        <v>10</v>
      </c>
      <c r="J1184" s="521">
        <v>2</v>
      </c>
      <c r="K1184" s="524">
        <v>32500</v>
      </c>
      <c r="L1184" s="523">
        <v>0.19</v>
      </c>
      <c r="M1184" s="524">
        <v>65000</v>
      </c>
      <c r="N1184" s="524">
        <v>34125</v>
      </c>
      <c r="O1184" s="523">
        <v>0.19</v>
      </c>
      <c r="P1184" s="524">
        <f t="shared" si="175"/>
        <v>68250</v>
      </c>
      <c r="Q1184" s="229">
        <f t="shared" ref="Q1184:Q1207" si="177">SUM(K1184+N1184)/2</f>
        <v>33312.5</v>
      </c>
      <c r="R1184" s="523">
        <v>0.19</v>
      </c>
      <c r="S1184" s="229">
        <f t="shared" ref="S1184:S1207" si="178">SUM(Q1184*J1184)</f>
        <v>66625</v>
      </c>
    </row>
    <row r="1185" spans="1:19" x14ac:dyDescent="0.3">
      <c r="A1185" s="521">
        <v>5</v>
      </c>
      <c r="B1185" s="521">
        <v>234159</v>
      </c>
      <c r="C1185" s="521">
        <v>110171607</v>
      </c>
      <c r="D1185" s="521">
        <v>10171505</v>
      </c>
      <c r="E1185" s="152">
        <v>67</v>
      </c>
      <c r="F1185" s="522" t="s">
        <v>1760</v>
      </c>
      <c r="G1185" s="521" t="s">
        <v>134</v>
      </c>
      <c r="H1185" s="152">
        <f t="shared" si="176"/>
        <v>12</v>
      </c>
      <c r="I1185" s="152">
        <v>10</v>
      </c>
      <c r="J1185" s="521">
        <v>2</v>
      </c>
      <c r="K1185" s="524">
        <v>45800</v>
      </c>
      <c r="L1185" s="523">
        <v>0.19</v>
      </c>
      <c r="M1185" s="524">
        <v>91600</v>
      </c>
      <c r="N1185" s="524">
        <v>48090</v>
      </c>
      <c r="O1185" s="523">
        <v>0.19</v>
      </c>
      <c r="P1185" s="524">
        <f t="shared" si="175"/>
        <v>96180</v>
      </c>
      <c r="Q1185" s="229">
        <f t="shared" si="177"/>
        <v>46945</v>
      </c>
      <c r="R1185" s="523">
        <v>0.19</v>
      </c>
      <c r="S1185" s="229">
        <f t="shared" si="178"/>
        <v>93890</v>
      </c>
    </row>
    <row r="1186" spans="1:19" x14ac:dyDescent="0.3">
      <c r="A1186" s="521">
        <v>5</v>
      </c>
      <c r="B1186" s="521">
        <v>234159</v>
      </c>
      <c r="C1186" s="521">
        <v>110171607</v>
      </c>
      <c r="D1186" s="521">
        <v>10171505</v>
      </c>
      <c r="E1186" s="152">
        <v>68</v>
      </c>
      <c r="F1186" s="522" t="s">
        <v>1761</v>
      </c>
      <c r="G1186" s="521" t="s">
        <v>134</v>
      </c>
      <c r="H1186" s="152">
        <f t="shared" si="176"/>
        <v>11</v>
      </c>
      <c r="I1186" s="152">
        <v>10</v>
      </c>
      <c r="J1186" s="521">
        <v>1</v>
      </c>
      <c r="K1186" s="524">
        <v>95160</v>
      </c>
      <c r="L1186" s="523">
        <v>0.19</v>
      </c>
      <c r="M1186" s="524">
        <v>95160</v>
      </c>
      <c r="N1186" s="524">
        <v>99918</v>
      </c>
      <c r="O1186" s="523">
        <v>0.19</v>
      </c>
      <c r="P1186" s="524">
        <f t="shared" si="175"/>
        <v>99918</v>
      </c>
      <c r="Q1186" s="229">
        <f t="shared" si="177"/>
        <v>97539</v>
      </c>
      <c r="R1186" s="523">
        <v>0.19</v>
      </c>
      <c r="S1186" s="229">
        <f t="shared" si="178"/>
        <v>97539</v>
      </c>
    </row>
    <row r="1187" spans="1:19" x14ac:dyDescent="0.3">
      <c r="A1187" s="521">
        <v>5</v>
      </c>
      <c r="B1187" s="521">
        <v>284131</v>
      </c>
      <c r="C1187" s="521">
        <v>110171703</v>
      </c>
      <c r="D1187" s="521">
        <v>10171702</v>
      </c>
      <c r="E1187" s="152">
        <v>69</v>
      </c>
      <c r="F1187" s="522" t="s">
        <v>1762</v>
      </c>
      <c r="G1187" s="521" t="s">
        <v>134</v>
      </c>
      <c r="H1187" s="152">
        <f t="shared" si="176"/>
        <v>14</v>
      </c>
      <c r="I1187" s="152">
        <v>10</v>
      </c>
      <c r="J1187" s="521">
        <v>4</v>
      </c>
      <c r="K1187" s="524">
        <v>65000</v>
      </c>
      <c r="L1187" s="523">
        <v>0.19</v>
      </c>
      <c r="M1187" s="524">
        <v>260000</v>
      </c>
      <c r="N1187" s="524">
        <v>68250</v>
      </c>
      <c r="O1187" s="523">
        <v>0.19</v>
      </c>
      <c r="P1187" s="524">
        <f t="shared" si="175"/>
        <v>273000</v>
      </c>
      <c r="Q1187" s="229">
        <f t="shared" si="177"/>
        <v>66625</v>
      </c>
      <c r="R1187" s="523">
        <v>0.19</v>
      </c>
      <c r="S1187" s="229">
        <f t="shared" si="178"/>
        <v>266500</v>
      </c>
    </row>
    <row r="1188" spans="1:19" x14ac:dyDescent="0.3">
      <c r="A1188" s="521">
        <v>5</v>
      </c>
      <c r="B1188" s="521">
        <v>239045</v>
      </c>
      <c r="C1188" s="521">
        <v>110171704</v>
      </c>
      <c r="D1188" s="521">
        <v>10171701</v>
      </c>
      <c r="E1188" s="152">
        <v>70</v>
      </c>
      <c r="F1188" s="522" t="s">
        <v>1733</v>
      </c>
      <c r="G1188" s="521" t="s">
        <v>646</v>
      </c>
      <c r="H1188" s="152">
        <f t="shared" si="176"/>
        <v>12</v>
      </c>
      <c r="I1188" s="152">
        <v>10</v>
      </c>
      <c r="J1188" s="521">
        <v>2</v>
      </c>
      <c r="K1188" s="524">
        <v>16900</v>
      </c>
      <c r="L1188" s="523">
        <v>0.19</v>
      </c>
      <c r="M1188" s="524">
        <v>33800</v>
      </c>
      <c r="N1188" s="524">
        <v>17745</v>
      </c>
      <c r="O1188" s="523">
        <v>0.19</v>
      </c>
      <c r="P1188" s="524">
        <f t="shared" si="175"/>
        <v>35490</v>
      </c>
      <c r="Q1188" s="229">
        <f t="shared" si="177"/>
        <v>17322.5</v>
      </c>
      <c r="R1188" s="523">
        <v>0.19</v>
      </c>
      <c r="S1188" s="229">
        <f t="shared" si="178"/>
        <v>34645</v>
      </c>
    </row>
    <row r="1189" spans="1:19" x14ac:dyDescent="0.3">
      <c r="A1189" s="521">
        <v>5</v>
      </c>
      <c r="B1189" s="521">
        <v>230942</v>
      </c>
      <c r="C1189" s="521">
        <v>110171703</v>
      </c>
      <c r="D1189" s="521">
        <v>10191509</v>
      </c>
      <c r="E1189" s="152">
        <v>71</v>
      </c>
      <c r="F1189" s="522" t="s">
        <v>1715</v>
      </c>
      <c r="G1189" s="521" t="s">
        <v>594</v>
      </c>
      <c r="H1189" s="152">
        <f t="shared" si="176"/>
        <v>12</v>
      </c>
      <c r="I1189" s="152">
        <v>10</v>
      </c>
      <c r="J1189" s="521">
        <v>2</v>
      </c>
      <c r="K1189" s="524">
        <v>127800</v>
      </c>
      <c r="L1189" s="523">
        <v>0.19</v>
      </c>
      <c r="M1189" s="524">
        <v>255600</v>
      </c>
      <c r="N1189" s="524">
        <v>134190</v>
      </c>
      <c r="O1189" s="523">
        <v>0.19</v>
      </c>
      <c r="P1189" s="524">
        <f t="shared" si="175"/>
        <v>268380</v>
      </c>
      <c r="Q1189" s="229">
        <f t="shared" si="177"/>
        <v>130995</v>
      </c>
      <c r="R1189" s="523">
        <v>0.19</v>
      </c>
      <c r="S1189" s="229">
        <f t="shared" si="178"/>
        <v>261990</v>
      </c>
    </row>
    <row r="1190" spans="1:19" x14ac:dyDescent="0.3">
      <c r="A1190" s="521">
        <v>5</v>
      </c>
      <c r="B1190" s="521">
        <v>110171703</v>
      </c>
      <c r="C1190" s="521">
        <v>244585</v>
      </c>
      <c r="D1190" s="521">
        <v>10171702</v>
      </c>
      <c r="E1190" s="152">
        <v>72</v>
      </c>
      <c r="F1190" s="522" t="s">
        <v>1763</v>
      </c>
      <c r="G1190" s="521" t="s">
        <v>751</v>
      </c>
      <c r="H1190" s="152">
        <f t="shared" si="176"/>
        <v>14</v>
      </c>
      <c r="I1190" s="152">
        <v>10</v>
      </c>
      <c r="J1190" s="521">
        <v>4</v>
      </c>
      <c r="K1190" s="524">
        <v>19800</v>
      </c>
      <c r="L1190" s="523">
        <v>0</v>
      </c>
      <c r="M1190" s="524">
        <v>99000</v>
      </c>
      <c r="N1190" s="524">
        <v>0</v>
      </c>
      <c r="O1190" s="523">
        <v>0</v>
      </c>
      <c r="P1190" s="524">
        <f t="shared" si="175"/>
        <v>0</v>
      </c>
      <c r="Q1190" s="229">
        <f>SUM(K1190+N1190)/1</f>
        <v>19800</v>
      </c>
      <c r="R1190" s="523">
        <v>0.19</v>
      </c>
      <c r="S1190" s="229">
        <f t="shared" si="178"/>
        <v>79200</v>
      </c>
    </row>
    <row r="1191" spans="1:19" x14ac:dyDescent="0.3">
      <c r="A1191" s="521">
        <v>5</v>
      </c>
      <c r="B1191" s="521">
        <v>249332</v>
      </c>
      <c r="C1191" s="521">
        <v>110171607</v>
      </c>
      <c r="D1191" s="521">
        <v>11111501</v>
      </c>
      <c r="E1191" s="152">
        <v>73</v>
      </c>
      <c r="F1191" s="522" t="s">
        <v>786</v>
      </c>
      <c r="G1191" s="521" t="s">
        <v>753</v>
      </c>
      <c r="H1191" s="152">
        <f t="shared" si="176"/>
        <v>13</v>
      </c>
      <c r="I1191" s="152">
        <v>10</v>
      </c>
      <c r="J1191" s="521">
        <v>3</v>
      </c>
      <c r="K1191" s="524">
        <v>35000</v>
      </c>
      <c r="L1191" s="523">
        <v>0.19</v>
      </c>
      <c r="M1191" s="524">
        <v>105000</v>
      </c>
      <c r="N1191" s="524">
        <v>36750</v>
      </c>
      <c r="O1191" s="523">
        <v>0.19</v>
      </c>
      <c r="P1191" s="524">
        <f t="shared" si="175"/>
        <v>110250</v>
      </c>
      <c r="Q1191" s="229">
        <f t="shared" si="177"/>
        <v>35875</v>
      </c>
      <c r="R1191" s="523">
        <v>0.19</v>
      </c>
      <c r="S1191" s="229">
        <f t="shared" si="178"/>
        <v>107625</v>
      </c>
    </row>
    <row r="1192" spans="1:19" x14ac:dyDescent="0.3">
      <c r="A1192" s="521">
        <v>5</v>
      </c>
      <c r="B1192" s="521">
        <v>110171607</v>
      </c>
      <c r="C1192" s="521">
        <v>244364</v>
      </c>
      <c r="D1192" s="521">
        <v>10171600</v>
      </c>
      <c r="E1192" s="152">
        <v>74</v>
      </c>
      <c r="F1192" s="522" t="s">
        <v>1764</v>
      </c>
      <c r="G1192" s="521" t="s">
        <v>753</v>
      </c>
      <c r="H1192" s="152">
        <f t="shared" si="176"/>
        <v>11</v>
      </c>
      <c r="I1192" s="152">
        <v>10</v>
      </c>
      <c r="J1192" s="521">
        <v>1</v>
      </c>
      <c r="K1192" s="524">
        <v>83200</v>
      </c>
      <c r="L1192" s="523">
        <v>0</v>
      </c>
      <c r="M1192" s="524">
        <v>83200</v>
      </c>
      <c r="N1192" s="524">
        <v>0</v>
      </c>
      <c r="O1192" s="523">
        <v>0</v>
      </c>
      <c r="P1192" s="524">
        <f t="shared" si="175"/>
        <v>0</v>
      </c>
      <c r="Q1192" s="229">
        <f t="shared" ref="Q1192:Q1200" si="179">SUM(K1192+N1192)/1</f>
        <v>83200</v>
      </c>
      <c r="R1192" s="523">
        <v>0.19</v>
      </c>
      <c r="S1192" s="229">
        <f t="shared" si="178"/>
        <v>83200</v>
      </c>
    </row>
    <row r="1193" spans="1:19" x14ac:dyDescent="0.3">
      <c r="A1193" s="521">
        <v>5</v>
      </c>
      <c r="B1193" s="521">
        <v>110171607</v>
      </c>
      <c r="C1193" s="521">
        <v>244364</v>
      </c>
      <c r="D1193" s="521">
        <v>10171600</v>
      </c>
      <c r="E1193" s="152">
        <v>75</v>
      </c>
      <c r="F1193" s="522" t="s">
        <v>1765</v>
      </c>
      <c r="G1193" s="521" t="s">
        <v>753</v>
      </c>
      <c r="H1193" s="152">
        <f t="shared" si="176"/>
        <v>11</v>
      </c>
      <c r="I1193" s="152">
        <v>10</v>
      </c>
      <c r="J1193" s="521">
        <v>1</v>
      </c>
      <c r="K1193" s="524">
        <v>423000</v>
      </c>
      <c r="L1193" s="523">
        <v>0</v>
      </c>
      <c r="M1193" s="524">
        <v>423000</v>
      </c>
      <c r="N1193" s="524">
        <v>0</v>
      </c>
      <c r="O1193" s="523">
        <v>0</v>
      </c>
      <c r="P1193" s="524">
        <f t="shared" si="175"/>
        <v>0</v>
      </c>
      <c r="Q1193" s="229">
        <f t="shared" si="179"/>
        <v>423000</v>
      </c>
      <c r="R1193" s="523">
        <v>0.19</v>
      </c>
      <c r="S1193" s="229">
        <f t="shared" si="178"/>
        <v>423000</v>
      </c>
    </row>
    <row r="1194" spans="1:19" x14ac:dyDescent="0.3">
      <c r="A1194" s="521">
        <v>5</v>
      </c>
      <c r="B1194" s="521">
        <v>110171607</v>
      </c>
      <c r="C1194" s="521">
        <v>244364</v>
      </c>
      <c r="D1194" s="521">
        <v>10171600</v>
      </c>
      <c r="E1194" s="152">
        <v>76</v>
      </c>
      <c r="F1194" s="522" t="s">
        <v>1766</v>
      </c>
      <c r="G1194" s="521" t="s">
        <v>753</v>
      </c>
      <c r="H1194" s="152">
        <f t="shared" si="176"/>
        <v>11</v>
      </c>
      <c r="I1194" s="152">
        <v>10</v>
      </c>
      <c r="J1194" s="521">
        <v>1</v>
      </c>
      <c r="K1194" s="524">
        <v>395000</v>
      </c>
      <c r="L1194" s="523">
        <v>0</v>
      </c>
      <c r="M1194" s="524">
        <v>395000</v>
      </c>
      <c r="N1194" s="524">
        <v>0</v>
      </c>
      <c r="O1194" s="523">
        <v>0</v>
      </c>
      <c r="P1194" s="524">
        <f t="shared" si="175"/>
        <v>0</v>
      </c>
      <c r="Q1194" s="229">
        <f t="shared" si="179"/>
        <v>395000</v>
      </c>
      <c r="R1194" s="523">
        <v>0.19</v>
      </c>
      <c r="S1194" s="229">
        <f t="shared" si="178"/>
        <v>395000</v>
      </c>
    </row>
    <row r="1195" spans="1:19" x14ac:dyDescent="0.3">
      <c r="A1195" s="521">
        <v>5</v>
      </c>
      <c r="B1195" s="521">
        <v>110171607</v>
      </c>
      <c r="C1195" s="521">
        <v>244364</v>
      </c>
      <c r="D1195" s="521">
        <v>10171600</v>
      </c>
      <c r="E1195" s="152">
        <v>77</v>
      </c>
      <c r="F1195" s="522" t="s">
        <v>1767</v>
      </c>
      <c r="G1195" s="521" t="s">
        <v>753</v>
      </c>
      <c r="H1195" s="152">
        <f t="shared" si="176"/>
        <v>11</v>
      </c>
      <c r="I1195" s="152">
        <v>10</v>
      </c>
      <c r="J1195" s="521">
        <v>1</v>
      </c>
      <c r="K1195" s="524">
        <v>269000</v>
      </c>
      <c r="L1195" s="523">
        <v>0</v>
      </c>
      <c r="M1195" s="524">
        <v>269000</v>
      </c>
      <c r="N1195" s="524">
        <v>0</v>
      </c>
      <c r="O1195" s="523">
        <v>0</v>
      </c>
      <c r="P1195" s="524">
        <f t="shared" si="175"/>
        <v>0</v>
      </c>
      <c r="Q1195" s="229">
        <f t="shared" si="179"/>
        <v>269000</v>
      </c>
      <c r="R1195" s="523">
        <v>0.19</v>
      </c>
      <c r="S1195" s="229">
        <f t="shared" si="178"/>
        <v>269000</v>
      </c>
    </row>
    <row r="1196" spans="1:19" x14ac:dyDescent="0.3">
      <c r="A1196" s="521">
        <v>5</v>
      </c>
      <c r="B1196" s="521">
        <v>127112030</v>
      </c>
      <c r="C1196" s="521">
        <v>278911</v>
      </c>
      <c r="D1196" s="521">
        <v>21100000</v>
      </c>
      <c r="E1196" s="152">
        <v>78</v>
      </c>
      <c r="F1196" s="522" t="s">
        <v>152</v>
      </c>
      <c r="G1196" s="521" t="s">
        <v>25</v>
      </c>
      <c r="H1196" s="152">
        <f t="shared" si="176"/>
        <v>18</v>
      </c>
      <c r="I1196" s="152">
        <v>10</v>
      </c>
      <c r="J1196" s="521">
        <v>8</v>
      </c>
      <c r="K1196" s="524">
        <v>36500</v>
      </c>
      <c r="L1196" s="523">
        <v>0</v>
      </c>
      <c r="M1196" s="524">
        <v>730000</v>
      </c>
      <c r="N1196" s="524">
        <v>0</v>
      </c>
      <c r="O1196" s="523">
        <v>0</v>
      </c>
      <c r="P1196" s="524">
        <f t="shared" si="175"/>
        <v>0</v>
      </c>
      <c r="Q1196" s="229">
        <f t="shared" si="179"/>
        <v>36500</v>
      </c>
      <c r="R1196" s="523">
        <v>0.19</v>
      </c>
      <c r="S1196" s="229">
        <f t="shared" si="178"/>
        <v>292000</v>
      </c>
    </row>
    <row r="1197" spans="1:19" x14ac:dyDescent="0.3">
      <c r="A1197" s="521">
        <v>5</v>
      </c>
      <c r="B1197" s="521">
        <v>127112028</v>
      </c>
      <c r="C1197" s="521">
        <v>280630</v>
      </c>
      <c r="D1197" s="521">
        <v>22101702</v>
      </c>
      <c r="E1197" s="152">
        <v>79</v>
      </c>
      <c r="F1197" s="522" t="s">
        <v>1768</v>
      </c>
      <c r="G1197" s="521" t="s">
        <v>25</v>
      </c>
      <c r="H1197" s="152">
        <f t="shared" si="176"/>
        <v>16</v>
      </c>
      <c r="I1197" s="152">
        <v>10</v>
      </c>
      <c r="J1197" s="521">
        <v>6</v>
      </c>
      <c r="K1197" s="524">
        <v>25600</v>
      </c>
      <c r="L1197" s="523">
        <v>0.05</v>
      </c>
      <c r="M1197" s="524">
        <v>256000</v>
      </c>
      <c r="N1197" s="524">
        <v>0</v>
      </c>
      <c r="O1197" s="523">
        <v>0</v>
      </c>
      <c r="P1197" s="524">
        <f t="shared" si="175"/>
        <v>0</v>
      </c>
      <c r="Q1197" s="229">
        <f t="shared" si="179"/>
        <v>25600</v>
      </c>
      <c r="R1197" s="523">
        <v>0.19</v>
      </c>
      <c r="S1197" s="229">
        <f t="shared" si="178"/>
        <v>153600</v>
      </c>
    </row>
    <row r="1198" spans="1:19" x14ac:dyDescent="0.3">
      <c r="A1198" s="521">
        <v>5</v>
      </c>
      <c r="B1198" s="521">
        <v>127111924</v>
      </c>
      <c r="C1198" s="521">
        <v>280071</v>
      </c>
      <c r="D1198" s="521">
        <v>27112003</v>
      </c>
      <c r="E1198" s="152">
        <v>80</v>
      </c>
      <c r="F1198" s="522" t="s">
        <v>1769</v>
      </c>
      <c r="G1198" s="521" t="s">
        <v>25</v>
      </c>
      <c r="H1198" s="152">
        <f t="shared" si="176"/>
        <v>16</v>
      </c>
      <c r="I1198" s="152">
        <v>10</v>
      </c>
      <c r="J1198" s="521">
        <v>6</v>
      </c>
      <c r="K1198" s="524">
        <v>22300</v>
      </c>
      <c r="L1198" s="523">
        <v>0.19</v>
      </c>
      <c r="M1198" s="524">
        <v>223000</v>
      </c>
      <c r="N1198" s="524">
        <v>0</v>
      </c>
      <c r="O1198" s="523">
        <v>0</v>
      </c>
      <c r="P1198" s="524">
        <f t="shared" si="175"/>
        <v>0</v>
      </c>
      <c r="Q1198" s="229">
        <f t="shared" si="179"/>
        <v>22300</v>
      </c>
      <c r="R1198" s="523">
        <v>0.19</v>
      </c>
      <c r="S1198" s="229">
        <f t="shared" si="178"/>
        <v>133800</v>
      </c>
    </row>
    <row r="1199" spans="1:19" x14ac:dyDescent="0.3">
      <c r="A1199" s="521">
        <v>5</v>
      </c>
      <c r="B1199" s="521">
        <v>111172119</v>
      </c>
      <c r="C1199" s="521">
        <v>275003</v>
      </c>
      <c r="D1199" s="521">
        <v>31211910</v>
      </c>
      <c r="E1199" s="152">
        <v>81</v>
      </c>
      <c r="F1199" s="522" t="s">
        <v>164</v>
      </c>
      <c r="G1199" s="521" t="s">
        <v>165</v>
      </c>
      <c r="H1199" s="152">
        <f t="shared" si="176"/>
        <v>20</v>
      </c>
      <c r="I1199" s="152">
        <v>10</v>
      </c>
      <c r="J1199" s="521">
        <v>10</v>
      </c>
      <c r="K1199" s="524">
        <v>16500</v>
      </c>
      <c r="L1199" s="523">
        <v>0.19</v>
      </c>
      <c r="M1199" s="524">
        <v>165000</v>
      </c>
      <c r="N1199" s="524">
        <v>0</v>
      </c>
      <c r="O1199" s="523">
        <v>0</v>
      </c>
      <c r="P1199" s="524">
        <f t="shared" si="175"/>
        <v>0</v>
      </c>
      <c r="Q1199" s="229">
        <f t="shared" si="179"/>
        <v>16500</v>
      </c>
      <c r="R1199" s="523">
        <v>0.19</v>
      </c>
      <c r="S1199" s="229">
        <f t="shared" si="178"/>
        <v>165000</v>
      </c>
    </row>
    <row r="1200" spans="1:19" x14ac:dyDescent="0.3">
      <c r="A1200" s="521">
        <v>5</v>
      </c>
      <c r="B1200" s="521">
        <v>111172119</v>
      </c>
      <c r="C1200" s="521">
        <v>255272</v>
      </c>
      <c r="D1200" s="521">
        <v>31211910</v>
      </c>
      <c r="E1200" s="152">
        <v>82</v>
      </c>
      <c r="F1200" s="522" t="s">
        <v>166</v>
      </c>
      <c r="G1200" s="521" t="s">
        <v>165</v>
      </c>
      <c r="H1200" s="152">
        <f t="shared" si="176"/>
        <v>20</v>
      </c>
      <c r="I1200" s="152">
        <v>10</v>
      </c>
      <c r="J1200" s="521">
        <v>10</v>
      </c>
      <c r="K1200" s="524">
        <v>9800</v>
      </c>
      <c r="L1200" s="523">
        <v>0.19</v>
      </c>
      <c r="M1200" s="524">
        <v>98000</v>
      </c>
      <c r="N1200" s="524">
        <v>0</v>
      </c>
      <c r="O1200" s="523">
        <v>0</v>
      </c>
      <c r="P1200" s="524">
        <f t="shared" si="175"/>
        <v>0</v>
      </c>
      <c r="Q1200" s="229">
        <f t="shared" si="179"/>
        <v>9800</v>
      </c>
      <c r="R1200" s="523">
        <v>0.19</v>
      </c>
      <c r="S1200" s="229">
        <f t="shared" si="178"/>
        <v>98000</v>
      </c>
    </row>
    <row r="1201" spans="1:19" x14ac:dyDescent="0.3">
      <c r="A1201" s="521">
        <v>5</v>
      </c>
      <c r="B1201" s="521">
        <v>147121828</v>
      </c>
      <c r="C1201" s="521">
        <v>235117</v>
      </c>
      <c r="D1201" s="521">
        <v>47121804</v>
      </c>
      <c r="E1201" s="152">
        <v>83</v>
      </c>
      <c r="F1201" s="522" t="s">
        <v>1770</v>
      </c>
      <c r="G1201" s="521" t="s">
        <v>25</v>
      </c>
      <c r="H1201" s="152">
        <f t="shared" si="176"/>
        <v>12</v>
      </c>
      <c r="I1201" s="152">
        <v>10</v>
      </c>
      <c r="J1201" s="521">
        <v>2</v>
      </c>
      <c r="K1201" s="524">
        <v>12143</v>
      </c>
      <c r="L1201" s="523">
        <v>0.19</v>
      </c>
      <c r="M1201" s="524">
        <v>24286</v>
      </c>
      <c r="N1201" s="524">
        <v>16875</v>
      </c>
      <c r="O1201" s="523">
        <v>0.19</v>
      </c>
      <c r="P1201" s="524">
        <f t="shared" si="175"/>
        <v>33750</v>
      </c>
      <c r="Q1201" s="229">
        <f t="shared" si="177"/>
        <v>14509</v>
      </c>
      <c r="R1201" s="523">
        <v>0.19</v>
      </c>
      <c r="S1201" s="229">
        <f t="shared" si="178"/>
        <v>29018</v>
      </c>
    </row>
    <row r="1202" spans="1:19" x14ac:dyDescent="0.3">
      <c r="A1202" s="521">
        <v>5</v>
      </c>
      <c r="B1202" s="521">
        <v>147121828</v>
      </c>
      <c r="C1202" s="521">
        <v>271032</v>
      </c>
      <c r="D1202" s="521">
        <v>47121800</v>
      </c>
      <c r="E1202" s="152">
        <v>84</v>
      </c>
      <c r="F1202" s="522" t="s">
        <v>161</v>
      </c>
      <c r="G1202" s="521" t="s">
        <v>25</v>
      </c>
      <c r="H1202" s="152">
        <f t="shared" si="176"/>
        <v>12</v>
      </c>
      <c r="I1202" s="152">
        <v>10</v>
      </c>
      <c r="J1202" s="521">
        <v>2</v>
      </c>
      <c r="K1202" s="524">
        <v>16000</v>
      </c>
      <c r="L1202" s="523">
        <v>0.05</v>
      </c>
      <c r="M1202" s="524">
        <v>32000</v>
      </c>
      <c r="N1202" s="524">
        <v>0</v>
      </c>
      <c r="O1202" s="523">
        <v>0</v>
      </c>
      <c r="P1202" s="524">
        <f t="shared" si="175"/>
        <v>0</v>
      </c>
      <c r="Q1202" s="229">
        <f>SUM(K1202+N1202)/1</f>
        <v>16000</v>
      </c>
      <c r="R1202" s="523">
        <v>0.19</v>
      </c>
      <c r="S1202" s="229">
        <f t="shared" si="178"/>
        <v>32000</v>
      </c>
    </row>
    <row r="1203" spans="1:19" x14ac:dyDescent="0.3">
      <c r="A1203" s="521">
        <v>5</v>
      </c>
      <c r="B1203" s="521">
        <v>127112029</v>
      </c>
      <c r="C1203" s="521">
        <v>236146</v>
      </c>
      <c r="D1203" s="521">
        <v>27112029</v>
      </c>
      <c r="E1203" s="152">
        <v>85</v>
      </c>
      <c r="F1203" s="522" t="s">
        <v>1771</v>
      </c>
      <c r="G1203" s="521" t="s">
        <v>25</v>
      </c>
      <c r="H1203" s="152">
        <f t="shared" si="176"/>
        <v>14</v>
      </c>
      <c r="I1203" s="152">
        <v>10</v>
      </c>
      <c r="J1203" s="521">
        <v>4</v>
      </c>
      <c r="K1203" s="524">
        <v>28571</v>
      </c>
      <c r="L1203" s="523">
        <v>0.19</v>
      </c>
      <c r="M1203" s="524">
        <v>142855</v>
      </c>
      <c r="N1203" s="524">
        <v>38745</v>
      </c>
      <c r="O1203" s="523">
        <v>0.19</v>
      </c>
      <c r="P1203" s="524">
        <f t="shared" si="175"/>
        <v>154980</v>
      </c>
      <c r="Q1203" s="229">
        <f t="shared" si="177"/>
        <v>33658</v>
      </c>
      <c r="R1203" s="523">
        <v>0.19</v>
      </c>
      <c r="S1203" s="229">
        <f t="shared" si="178"/>
        <v>134632</v>
      </c>
    </row>
    <row r="1204" spans="1:19" x14ac:dyDescent="0.3">
      <c r="A1204" s="521">
        <v>5</v>
      </c>
      <c r="B1204" s="521">
        <v>127112028</v>
      </c>
      <c r="C1204" s="521">
        <v>247136</v>
      </c>
      <c r="D1204" s="521">
        <v>11111812</v>
      </c>
      <c r="E1204" s="152">
        <v>86</v>
      </c>
      <c r="F1204" s="522" t="s">
        <v>1772</v>
      </c>
      <c r="G1204" s="521" t="s">
        <v>25</v>
      </c>
      <c r="H1204" s="152">
        <f t="shared" si="176"/>
        <v>30</v>
      </c>
      <c r="I1204" s="152">
        <v>10</v>
      </c>
      <c r="J1204" s="521">
        <v>20</v>
      </c>
      <c r="K1204" s="524">
        <v>12143</v>
      </c>
      <c r="L1204" s="523">
        <v>0.19</v>
      </c>
      <c r="M1204" s="524">
        <v>242860</v>
      </c>
      <c r="N1204" s="524">
        <v>18225</v>
      </c>
      <c r="O1204" s="523">
        <v>0.19</v>
      </c>
      <c r="P1204" s="524">
        <f t="shared" si="175"/>
        <v>364500</v>
      </c>
      <c r="Q1204" s="229">
        <f t="shared" si="177"/>
        <v>15184</v>
      </c>
      <c r="R1204" s="523">
        <v>0.19</v>
      </c>
      <c r="S1204" s="229">
        <f t="shared" si="178"/>
        <v>303680</v>
      </c>
    </row>
    <row r="1205" spans="1:19" x14ac:dyDescent="0.3">
      <c r="A1205" s="521">
        <v>5</v>
      </c>
      <c r="B1205" s="521">
        <v>124111517</v>
      </c>
      <c r="C1205" s="521">
        <v>232152</v>
      </c>
      <c r="D1205" s="521">
        <v>24121807</v>
      </c>
      <c r="E1205" s="152">
        <v>87</v>
      </c>
      <c r="F1205" s="522" t="s">
        <v>1773</v>
      </c>
      <c r="G1205" s="521" t="s">
        <v>25</v>
      </c>
      <c r="H1205" s="152">
        <f t="shared" si="176"/>
        <v>25</v>
      </c>
      <c r="I1205" s="152">
        <v>10</v>
      </c>
      <c r="J1205" s="521">
        <v>15</v>
      </c>
      <c r="K1205" s="524">
        <v>47143</v>
      </c>
      <c r="L1205" s="523">
        <v>0.19</v>
      </c>
      <c r="M1205" s="524">
        <v>1414290</v>
      </c>
      <c r="N1205" s="524">
        <v>30500</v>
      </c>
      <c r="O1205" s="523">
        <v>0.19</v>
      </c>
      <c r="P1205" s="524">
        <f t="shared" si="175"/>
        <v>457500</v>
      </c>
      <c r="Q1205" s="229">
        <f t="shared" si="177"/>
        <v>38821.5</v>
      </c>
      <c r="R1205" s="523">
        <v>0.19</v>
      </c>
      <c r="S1205" s="229">
        <f t="shared" si="178"/>
        <v>582322.5</v>
      </c>
    </row>
    <row r="1206" spans="1:19" x14ac:dyDescent="0.3">
      <c r="A1206" s="521">
        <v>4</v>
      </c>
      <c r="B1206" s="521">
        <v>156101574</v>
      </c>
      <c r="C1206" s="521">
        <v>245051</v>
      </c>
      <c r="D1206" s="521">
        <v>56101519</v>
      </c>
      <c r="E1206" s="152">
        <v>88</v>
      </c>
      <c r="F1206" s="522" t="s">
        <v>1774</v>
      </c>
      <c r="G1206" s="521" t="s">
        <v>25</v>
      </c>
      <c r="H1206" s="152">
        <f t="shared" si="176"/>
        <v>11</v>
      </c>
      <c r="I1206" s="152">
        <v>10</v>
      </c>
      <c r="J1206" s="521">
        <v>1</v>
      </c>
      <c r="K1206" s="524">
        <v>314286</v>
      </c>
      <c r="L1206" s="523">
        <v>0.19</v>
      </c>
      <c r="M1206" s="524">
        <v>314286</v>
      </c>
      <c r="N1206" s="524">
        <v>400000</v>
      </c>
      <c r="O1206" s="523">
        <v>0.19</v>
      </c>
      <c r="P1206" s="524">
        <f t="shared" si="175"/>
        <v>400000</v>
      </c>
      <c r="Q1206" s="229">
        <f t="shared" si="177"/>
        <v>357143</v>
      </c>
      <c r="R1206" s="523">
        <v>0.19</v>
      </c>
      <c r="S1206" s="229">
        <f t="shared" si="178"/>
        <v>357143</v>
      </c>
    </row>
    <row r="1207" spans="1:19" x14ac:dyDescent="0.3">
      <c r="A1207" s="521">
        <v>5</v>
      </c>
      <c r="B1207" s="521">
        <v>246119</v>
      </c>
      <c r="C1207" s="521">
        <v>111172318</v>
      </c>
      <c r="D1207" s="521">
        <v>46181504</v>
      </c>
      <c r="E1207" s="152">
        <v>89</v>
      </c>
      <c r="F1207" s="522" t="s">
        <v>1721</v>
      </c>
      <c r="G1207" s="521" t="s">
        <v>160</v>
      </c>
      <c r="H1207" s="152">
        <f t="shared" si="176"/>
        <v>15</v>
      </c>
      <c r="I1207" s="152">
        <v>10</v>
      </c>
      <c r="J1207" s="521">
        <v>5</v>
      </c>
      <c r="K1207" s="524">
        <v>65000</v>
      </c>
      <c r="L1207" s="523">
        <v>0.19</v>
      </c>
      <c r="M1207" s="524">
        <v>325000</v>
      </c>
      <c r="N1207" s="524">
        <v>68250</v>
      </c>
      <c r="O1207" s="523">
        <v>0.19</v>
      </c>
      <c r="P1207" s="524">
        <f t="shared" si="175"/>
        <v>341250</v>
      </c>
      <c r="Q1207" s="229">
        <f t="shared" si="177"/>
        <v>66625</v>
      </c>
      <c r="R1207" s="523">
        <v>0.19</v>
      </c>
      <c r="S1207" s="229">
        <f t="shared" si="178"/>
        <v>333125</v>
      </c>
    </row>
    <row r="1208" spans="1:19" x14ac:dyDescent="0.3">
      <c r="A1208" s="525"/>
      <c r="B1208" s="525"/>
      <c r="C1208" s="525"/>
      <c r="D1208" s="525"/>
      <c r="E1208" s="152"/>
      <c r="F1208" s="526"/>
      <c r="G1208" s="525"/>
      <c r="H1208" s="525"/>
      <c r="I1208" s="525"/>
      <c r="J1208" s="525"/>
      <c r="K1208" s="527"/>
      <c r="L1208" s="528"/>
      <c r="M1208" s="529">
        <f>SUM(M1119:M1207)</f>
        <v>12699538</v>
      </c>
      <c r="N1208" s="527"/>
      <c r="O1208" s="528"/>
      <c r="P1208" s="530">
        <f>SUM(P1119:P1207)</f>
        <v>8862069.5</v>
      </c>
      <c r="Q1208" s="527"/>
      <c r="R1208" s="528"/>
      <c r="S1208" s="529">
        <f>SUM(S1119:S1207)</f>
        <v>11016953.25</v>
      </c>
    </row>
    <row r="1209" spans="1:19" x14ac:dyDescent="0.3">
      <c r="A1209" s="525"/>
      <c r="B1209" s="525"/>
      <c r="C1209" s="525"/>
      <c r="D1209" s="525"/>
      <c r="E1209" s="152"/>
      <c r="F1209" s="526"/>
      <c r="G1209" s="525"/>
      <c r="H1209" s="525"/>
      <c r="I1209" s="525"/>
      <c r="J1209" s="525"/>
      <c r="K1209" s="527"/>
      <c r="L1209" s="528"/>
      <c r="M1209" s="526"/>
      <c r="N1209" s="527"/>
      <c r="O1209" s="528"/>
      <c r="P1209" s="526"/>
      <c r="Q1209" s="527"/>
      <c r="R1209" s="528"/>
      <c r="S1209" s="526"/>
    </row>
    <row r="1210" spans="1:19" x14ac:dyDescent="0.3">
      <c r="A1210" s="525"/>
      <c r="B1210" s="525"/>
      <c r="C1210" s="525"/>
      <c r="D1210" s="525"/>
      <c r="E1210" s="152"/>
      <c r="F1210" s="526"/>
      <c r="G1210" s="525"/>
      <c r="H1210" s="525"/>
      <c r="I1210" s="525"/>
      <c r="J1210" s="525"/>
      <c r="K1210" s="527"/>
      <c r="L1210" s="528"/>
      <c r="M1210" s="526"/>
      <c r="N1210" s="527"/>
      <c r="O1210" s="528"/>
      <c r="P1210" s="526"/>
      <c r="Q1210" s="527"/>
      <c r="R1210" s="528"/>
      <c r="S1210" s="526"/>
    </row>
    <row r="1211" spans="1:19" x14ac:dyDescent="0.3">
      <c r="A1211" s="525"/>
      <c r="B1211" s="525"/>
      <c r="C1211" s="525"/>
      <c r="D1211" s="525"/>
      <c r="E1211" s="152"/>
      <c r="F1211" s="526"/>
      <c r="G1211" s="525"/>
      <c r="H1211" s="525"/>
      <c r="I1211" s="525"/>
      <c r="J1211" s="525"/>
      <c r="K1211" s="527"/>
      <c r="L1211" s="528"/>
      <c r="M1211" s="526"/>
      <c r="N1211" s="527"/>
      <c r="O1211" s="528"/>
      <c r="P1211" s="526"/>
      <c r="Q1211" s="527"/>
      <c r="R1211" s="528"/>
      <c r="S1211" s="526"/>
    </row>
    <row r="1212" spans="1:19" ht="14.55" customHeight="1" x14ac:dyDescent="0.3">
      <c r="A1212" s="541" t="s">
        <v>1775</v>
      </c>
      <c r="B1212" s="541"/>
      <c r="C1212" s="541"/>
      <c r="D1212" s="541"/>
      <c r="E1212" s="541"/>
      <c r="F1212" s="541"/>
      <c r="G1212" s="541"/>
      <c r="H1212" s="541"/>
      <c r="I1212" s="541"/>
      <c r="J1212" s="541"/>
      <c r="K1212" s="541"/>
      <c r="L1212" s="541"/>
      <c r="M1212" s="541"/>
      <c r="N1212" s="541"/>
      <c r="O1212" s="541"/>
      <c r="P1212" s="541"/>
      <c r="Q1212" s="541"/>
      <c r="R1212" s="541"/>
      <c r="S1212" s="541"/>
    </row>
    <row r="1213" spans="1:19" ht="14.55" customHeight="1" x14ac:dyDescent="0.3">
      <c r="A1213" s="541"/>
      <c r="B1213" s="541"/>
      <c r="C1213" s="541"/>
      <c r="D1213" s="541"/>
      <c r="E1213" s="699" t="s">
        <v>1775</v>
      </c>
      <c r="F1213" s="700"/>
      <c r="G1213" s="700"/>
      <c r="H1213" s="701"/>
      <c r="I1213" s="541"/>
      <c r="J1213" s="541"/>
      <c r="K1213" s="541"/>
      <c r="L1213" s="541"/>
      <c r="M1213" s="541"/>
      <c r="N1213" s="541"/>
      <c r="O1213" s="541"/>
      <c r="P1213" s="541"/>
      <c r="Q1213" s="541"/>
      <c r="R1213" s="541"/>
      <c r="S1213" s="541"/>
    </row>
    <row r="1214" spans="1:19" ht="15.6" x14ac:dyDescent="0.3">
      <c r="A1214" s="709" t="s">
        <v>83</v>
      </c>
      <c r="B1214" s="709" t="s">
        <v>84</v>
      </c>
      <c r="C1214" s="709" t="s">
        <v>85</v>
      </c>
      <c r="D1214" s="711" t="s">
        <v>86</v>
      </c>
      <c r="E1214" s="709" t="s">
        <v>6</v>
      </c>
      <c r="F1214" s="709" t="s">
        <v>87</v>
      </c>
      <c r="G1214" s="709" t="s">
        <v>88</v>
      </c>
      <c r="H1214" s="702" t="s">
        <v>89</v>
      </c>
      <c r="I1214" s="124"/>
      <c r="J1214" s="705" t="s">
        <v>89</v>
      </c>
      <c r="K1214" s="710" t="s">
        <v>818</v>
      </c>
      <c r="L1214" s="710"/>
      <c r="M1214" s="710"/>
      <c r="N1214" s="704" t="s">
        <v>819</v>
      </c>
      <c r="O1214" s="704"/>
      <c r="P1214" s="704"/>
      <c r="Q1214" s="705" t="s">
        <v>15</v>
      </c>
      <c r="R1214" s="705"/>
      <c r="S1214" s="705"/>
    </row>
    <row r="1215" spans="1:19" ht="46.8" x14ac:dyDescent="0.3">
      <c r="A1215" s="709"/>
      <c r="B1215" s="709"/>
      <c r="C1215" s="709"/>
      <c r="D1215" s="711"/>
      <c r="E1215" s="709"/>
      <c r="F1215" s="709"/>
      <c r="G1215" s="709"/>
      <c r="H1215" s="703"/>
      <c r="I1215" s="124"/>
      <c r="J1215" s="705"/>
      <c r="K1215" s="25" t="s">
        <v>382</v>
      </c>
      <c r="L1215" s="25" t="s">
        <v>17</v>
      </c>
      <c r="M1215" s="25" t="s">
        <v>18</v>
      </c>
      <c r="N1215" s="25" t="s">
        <v>367</v>
      </c>
      <c r="O1215" s="25" t="s">
        <v>17</v>
      </c>
      <c r="P1215" s="248" t="s">
        <v>18</v>
      </c>
      <c r="Q1215" s="25" t="s">
        <v>367</v>
      </c>
      <c r="R1215" s="25" t="s">
        <v>17</v>
      </c>
      <c r="S1215" s="25" t="s">
        <v>18</v>
      </c>
    </row>
    <row r="1216" spans="1:19" ht="144" x14ac:dyDescent="0.3">
      <c r="A1216" s="3">
        <v>5</v>
      </c>
      <c r="B1216" s="4">
        <v>111161532</v>
      </c>
      <c r="C1216" s="4">
        <v>237580</v>
      </c>
      <c r="D1216" s="4">
        <v>111161532</v>
      </c>
      <c r="E1216" s="3">
        <v>1</v>
      </c>
      <c r="F1216" s="114" t="s">
        <v>1776</v>
      </c>
      <c r="G1216" s="114" t="s">
        <v>1777</v>
      </c>
      <c r="H1216" s="622">
        <f>I1216+J1216</f>
        <v>11</v>
      </c>
      <c r="I1216" s="622">
        <v>5</v>
      </c>
      <c r="J1216" s="20">
        <v>6</v>
      </c>
      <c r="K1216" s="238">
        <v>154700</v>
      </c>
      <c r="L1216" s="309">
        <v>0.19</v>
      </c>
      <c r="M1216" s="306">
        <f>J1216*K1216</f>
        <v>928200</v>
      </c>
      <c r="N1216" s="310">
        <v>160903.47</v>
      </c>
      <c r="O1216" s="309">
        <v>0.19</v>
      </c>
      <c r="P1216" s="204">
        <f>N1216*J1216</f>
        <v>965420.82000000007</v>
      </c>
      <c r="Q1216" s="204">
        <f>SUM(K1216+N1216)/2</f>
        <v>157801.73499999999</v>
      </c>
      <c r="R1216" s="177">
        <v>0.19</v>
      </c>
      <c r="S1216" s="204">
        <f>Q1216*J1216</f>
        <v>946810.40999999992</v>
      </c>
    </row>
    <row r="1217" spans="1:19" ht="43.2" x14ac:dyDescent="0.3">
      <c r="A1217" s="3">
        <v>5</v>
      </c>
      <c r="B1217" s="4">
        <v>111161532</v>
      </c>
      <c r="C1217" s="4">
        <v>237580</v>
      </c>
      <c r="D1217" s="4">
        <v>111161532</v>
      </c>
      <c r="E1217" s="109">
        <v>2</v>
      </c>
      <c r="F1217" s="114" t="s">
        <v>1778</v>
      </c>
      <c r="G1217" s="114" t="s">
        <v>1779</v>
      </c>
      <c r="H1217" s="622">
        <f t="shared" ref="H1217:H1222" si="180">I1217+J1217</f>
        <v>7</v>
      </c>
      <c r="I1217" s="622">
        <v>5</v>
      </c>
      <c r="J1217" s="20">
        <v>2</v>
      </c>
      <c r="K1217" s="238">
        <v>1454180</v>
      </c>
      <c r="L1217" s="309">
        <v>0.19</v>
      </c>
      <c r="M1217" s="306">
        <f t="shared" ref="M1217:M1222" si="181">J1217*K1217</f>
        <v>2908360</v>
      </c>
      <c r="N1217" s="310">
        <v>1512492.618</v>
      </c>
      <c r="O1217" s="309">
        <v>0.19</v>
      </c>
      <c r="P1217" s="204">
        <f t="shared" ref="P1217:P1222" si="182">N1217*J1217</f>
        <v>3024985.236</v>
      </c>
      <c r="Q1217" s="204">
        <f t="shared" ref="Q1217:Q1222" si="183">SUM(K1217+N1217)/2</f>
        <v>1483336.3089999999</v>
      </c>
      <c r="R1217" s="177">
        <v>0.19</v>
      </c>
      <c r="S1217" s="204">
        <f t="shared" ref="S1217:S1222" si="184">Q1217*J1217</f>
        <v>2966672.6179999998</v>
      </c>
    </row>
    <row r="1218" spans="1:19" ht="100.8" x14ac:dyDescent="0.3">
      <c r="A1218" s="3">
        <v>5</v>
      </c>
      <c r="B1218" s="4">
        <v>111161532</v>
      </c>
      <c r="C1218" s="4">
        <v>237580</v>
      </c>
      <c r="D1218" s="4">
        <v>111161532</v>
      </c>
      <c r="E1218" s="3">
        <v>3</v>
      </c>
      <c r="F1218" s="114" t="s">
        <v>1780</v>
      </c>
      <c r="G1218" s="114" t="s">
        <v>1781</v>
      </c>
      <c r="H1218" s="622">
        <f t="shared" si="180"/>
        <v>10</v>
      </c>
      <c r="I1218" s="622">
        <v>5</v>
      </c>
      <c r="J1218" s="20">
        <v>5</v>
      </c>
      <c r="K1218" s="238">
        <v>334390</v>
      </c>
      <c r="L1218" s="309">
        <v>0.19</v>
      </c>
      <c r="M1218" s="306">
        <f t="shared" si="181"/>
        <v>1671950</v>
      </c>
      <c r="N1218" s="310">
        <v>347799.03899999999</v>
      </c>
      <c r="O1218" s="309">
        <v>0.19</v>
      </c>
      <c r="P1218" s="204">
        <f t="shared" si="182"/>
        <v>1738995.1949999998</v>
      </c>
      <c r="Q1218" s="204">
        <f t="shared" si="183"/>
        <v>341094.51949999999</v>
      </c>
      <c r="R1218" s="177">
        <v>0.19</v>
      </c>
      <c r="S1218" s="204">
        <f t="shared" si="184"/>
        <v>1705472.5974999999</v>
      </c>
    </row>
    <row r="1219" spans="1:19" ht="72" x14ac:dyDescent="0.3">
      <c r="A1219" s="109">
        <v>5</v>
      </c>
      <c r="B1219" s="190">
        <v>141103147</v>
      </c>
      <c r="C1219" s="190">
        <v>249787</v>
      </c>
      <c r="D1219" s="190">
        <v>141103147</v>
      </c>
      <c r="E1219" s="109">
        <v>4</v>
      </c>
      <c r="F1219" s="311" t="s">
        <v>1782</v>
      </c>
      <c r="G1219" s="114" t="s">
        <v>1783</v>
      </c>
      <c r="H1219" s="622">
        <f t="shared" si="180"/>
        <v>6</v>
      </c>
      <c r="I1219" s="622">
        <v>5</v>
      </c>
      <c r="J1219" s="20">
        <v>1</v>
      </c>
      <c r="K1219" s="238">
        <v>2014670</v>
      </c>
      <c r="L1219" s="309">
        <v>0.19</v>
      </c>
      <c r="M1219" s="306">
        <f t="shared" si="181"/>
        <v>2014670</v>
      </c>
      <c r="N1219" s="310">
        <v>2095458.267</v>
      </c>
      <c r="O1219" s="309">
        <v>0.19</v>
      </c>
      <c r="P1219" s="204">
        <f t="shared" si="182"/>
        <v>2095458.267</v>
      </c>
      <c r="Q1219" s="204">
        <f t="shared" si="183"/>
        <v>2055064.1335</v>
      </c>
      <c r="R1219" s="177">
        <v>0.19</v>
      </c>
      <c r="S1219" s="204">
        <f t="shared" si="184"/>
        <v>2055064.1335</v>
      </c>
    </row>
    <row r="1220" spans="1:19" ht="201.6" x14ac:dyDescent="0.3">
      <c r="A1220" s="109">
        <v>5</v>
      </c>
      <c r="B1220" s="190">
        <v>141111635</v>
      </c>
      <c r="C1220" s="190">
        <v>248256</v>
      </c>
      <c r="D1220" s="190"/>
      <c r="E1220" s="3">
        <v>5</v>
      </c>
      <c r="F1220" s="114" t="s">
        <v>1784</v>
      </c>
      <c r="G1220" s="114" t="s">
        <v>25</v>
      </c>
      <c r="H1220" s="622">
        <f t="shared" si="180"/>
        <v>15</v>
      </c>
      <c r="I1220" s="622">
        <v>5</v>
      </c>
      <c r="J1220" s="20">
        <v>10</v>
      </c>
      <c r="K1220" s="238">
        <v>227290</v>
      </c>
      <c r="L1220" s="312">
        <v>0.19</v>
      </c>
      <c r="M1220" s="307">
        <f t="shared" si="181"/>
        <v>2272900</v>
      </c>
      <c r="N1220" s="310">
        <v>236404.329</v>
      </c>
      <c r="O1220" s="309">
        <v>0.19</v>
      </c>
      <c r="P1220" s="204">
        <f t="shared" si="182"/>
        <v>2364043.29</v>
      </c>
      <c r="Q1220" s="204">
        <f t="shared" si="183"/>
        <v>231847.16450000001</v>
      </c>
      <c r="R1220" s="177">
        <v>0.19</v>
      </c>
      <c r="S1220" s="204">
        <f t="shared" si="184"/>
        <v>2318471.645</v>
      </c>
    </row>
    <row r="1221" spans="1:19" ht="57.6" x14ac:dyDescent="0.3">
      <c r="A1221" s="3">
        <v>5</v>
      </c>
      <c r="B1221" s="190">
        <v>130101548</v>
      </c>
      <c r="C1221" s="190">
        <v>246849</v>
      </c>
      <c r="D1221" s="190"/>
      <c r="E1221" s="109">
        <v>6</v>
      </c>
      <c r="F1221" s="114" t="s">
        <v>1785</v>
      </c>
      <c r="G1221" s="114" t="s">
        <v>25</v>
      </c>
      <c r="H1221" s="622">
        <f t="shared" si="180"/>
        <v>6</v>
      </c>
      <c r="I1221" s="622">
        <v>5</v>
      </c>
      <c r="J1221" s="20">
        <v>1</v>
      </c>
      <c r="K1221" s="238">
        <v>1524649.8959999999</v>
      </c>
      <c r="L1221" s="309">
        <v>0.19</v>
      </c>
      <c r="M1221" s="306">
        <f t="shared" si="181"/>
        <v>1524649.8959999999</v>
      </c>
      <c r="N1221" s="310">
        <v>1585788.3568295999</v>
      </c>
      <c r="O1221" s="309">
        <v>0.19</v>
      </c>
      <c r="P1221" s="204">
        <f t="shared" si="182"/>
        <v>1585788.3568295999</v>
      </c>
      <c r="Q1221" s="204">
        <f t="shared" si="183"/>
        <v>1555219.1264148001</v>
      </c>
      <c r="R1221" s="177">
        <v>0.19</v>
      </c>
      <c r="S1221" s="204">
        <f t="shared" si="184"/>
        <v>1555219.1264148001</v>
      </c>
    </row>
    <row r="1222" spans="1:19" ht="57.6" x14ac:dyDescent="0.3">
      <c r="A1222" s="3">
        <v>5</v>
      </c>
      <c r="B1222" s="190">
        <v>130101548</v>
      </c>
      <c r="C1222" s="190">
        <v>246849</v>
      </c>
      <c r="D1222" s="190"/>
      <c r="E1222" s="3">
        <v>7</v>
      </c>
      <c r="F1222" s="114" t="s">
        <v>1786</v>
      </c>
      <c r="G1222" s="114" t="s">
        <v>25</v>
      </c>
      <c r="H1222" s="622">
        <f t="shared" si="180"/>
        <v>6</v>
      </c>
      <c r="I1222" s="622">
        <v>5</v>
      </c>
      <c r="J1222" s="20">
        <v>1</v>
      </c>
      <c r="K1222" s="238">
        <v>1524649.8959999999</v>
      </c>
      <c r="L1222" s="309">
        <v>0.19</v>
      </c>
      <c r="M1222" s="306">
        <f t="shared" si="181"/>
        <v>1524649.8959999999</v>
      </c>
      <c r="N1222" s="310">
        <v>1585788.3568295999</v>
      </c>
      <c r="O1222" s="309">
        <v>0.19</v>
      </c>
      <c r="P1222" s="204">
        <f t="shared" si="182"/>
        <v>1585788.3568295999</v>
      </c>
      <c r="Q1222" s="204">
        <f t="shared" si="183"/>
        <v>1555219.1264148001</v>
      </c>
      <c r="R1222" s="177">
        <v>0.19</v>
      </c>
      <c r="S1222" s="204">
        <f t="shared" si="184"/>
        <v>1555219.1264148001</v>
      </c>
    </row>
    <row r="1223" spans="1:19" x14ac:dyDescent="0.3">
      <c r="A1223" s="706"/>
      <c r="B1223" s="707"/>
      <c r="C1223" s="707"/>
      <c r="D1223" s="707"/>
      <c r="E1223" s="707"/>
      <c r="F1223" s="707"/>
      <c r="G1223" s="707"/>
      <c r="H1223" s="707"/>
      <c r="I1223" s="707"/>
      <c r="J1223" s="707"/>
      <c r="K1223" s="707"/>
      <c r="L1223" s="708"/>
      <c r="M1223" s="308">
        <f>SUM(M1216:M1222)</f>
        <v>12845379.791999999</v>
      </c>
      <c r="N1223" s="706"/>
      <c r="O1223" s="708"/>
      <c r="P1223" s="204">
        <f>SUM(P1216:P1222)</f>
        <v>13360479.521659201</v>
      </c>
      <c r="Q1223" s="706"/>
      <c r="R1223" s="708"/>
      <c r="S1223" s="204">
        <f>SUM(S1216:S1222)</f>
        <v>13102929.656829599</v>
      </c>
    </row>
    <row r="1225" spans="1:19" ht="14.55" customHeight="1" x14ac:dyDescent="0.3">
      <c r="A1225" s="541" t="s">
        <v>1787</v>
      </c>
      <c r="B1225" s="541"/>
      <c r="C1225" s="541"/>
      <c r="D1225" s="541"/>
      <c r="E1225" s="541"/>
      <c r="F1225" s="541"/>
      <c r="G1225" s="541"/>
      <c r="H1225" s="541"/>
      <c r="I1225" s="541"/>
      <c r="J1225" s="541"/>
      <c r="K1225" s="541"/>
      <c r="L1225" s="541"/>
      <c r="M1225" s="541"/>
      <c r="N1225" s="541"/>
      <c r="O1225" s="541"/>
      <c r="P1225" s="541"/>
      <c r="Q1225" s="541"/>
      <c r="R1225" s="541"/>
      <c r="S1225" s="541"/>
    </row>
    <row r="1226" spans="1:19" ht="40.950000000000003" customHeight="1" x14ac:dyDescent="0.3">
      <c r="A1226" s="541"/>
      <c r="B1226" s="541"/>
      <c r="C1226" s="541"/>
      <c r="D1226" s="541"/>
      <c r="E1226" s="721" t="s">
        <v>2018</v>
      </c>
      <c r="F1226" s="721"/>
      <c r="G1226" s="721"/>
      <c r="H1226" s="721"/>
      <c r="I1226" s="541"/>
      <c r="J1226" s="541"/>
      <c r="K1226" s="541"/>
      <c r="L1226" s="541"/>
      <c r="M1226" s="541"/>
      <c r="N1226" s="541"/>
      <c r="O1226" s="541"/>
      <c r="P1226" s="541"/>
      <c r="Q1226" s="541"/>
      <c r="R1226" s="541"/>
      <c r="S1226" s="541"/>
    </row>
    <row r="1227" spans="1:19" ht="15.6" x14ac:dyDescent="0.3">
      <c r="A1227" s="709" t="s">
        <v>83</v>
      </c>
      <c r="B1227" s="709" t="s">
        <v>84</v>
      </c>
      <c r="C1227" s="709" t="s">
        <v>85</v>
      </c>
      <c r="D1227" s="711" t="s">
        <v>86</v>
      </c>
      <c r="E1227" s="709" t="s">
        <v>6</v>
      </c>
      <c r="F1227" s="709" t="s">
        <v>87</v>
      </c>
      <c r="G1227" s="709" t="s">
        <v>88</v>
      </c>
      <c r="H1227" s="709" t="s">
        <v>89</v>
      </c>
      <c r="I1227" s="124"/>
      <c r="J1227" s="705" t="s">
        <v>89</v>
      </c>
      <c r="K1227" s="710" t="s">
        <v>818</v>
      </c>
      <c r="L1227" s="710"/>
      <c r="M1227" s="710"/>
      <c r="N1227" s="704" t="s">
        <v>819</v>
      </c>
      <c r="O1227" s="704"/>
      <c r="P1227" s="704"/>
      <c r="Q1227" s="705" t="s">
        <v>15</v>
      </c>
      <c r="R1227" s="705"/>
      <c r="S1227" s="705"/>
    </row>
    <row r="1228" spans="1:19" ht="46.8" x14ac:dyDescent="0.3">
      <c r="A1228" s="709"/>
      <c r="B1228" s="709"/>
      <c r="C1228" s="709"/>
      <c r="D1228" s="711"/>
      <c r="E1228" s="709"/>
      <c r="F1228" s="709"/>
      <c r="G1228" s="709"/>
      <c r="H1228" s="709"/>
      <c r="I1228" s="124"/>
      <c r="J1228" s="705"/>
      <c r="K1228" s="25" t="s">
        <v>382</v>
      </c>
      <c r="L1228" s="25" t="s">
        <v>17</v>
      </c>
      <c r="M1228" s="25" t="s">
        <v>18</v>
      </c>
      <c r="N1228" s="25" t="s">
        <v>367</v>
      </c>
      <c r="O1228" s="25" t="s">
        <v>17</v>
      </c>
      <c r="P1228" s="248" t="s">
        <v>18</v>
      </c>
      <c r="Q1228" s="25" t="s">
        <v>367</v>
      </c>
      <c r="R1228" s="25" t="s">
        <v>17</v>
      </c>
      <c r="S1228" s="25" t="s">
        <v>18</v>
      </c>
    </row>
    <row r="1229" spans="1:19" x14ac:dyDescent="0.3">
      <c r="A1229" s="319">
        <v>5</v>
      </c>
      <c r="B1229" s="225" t="s">
        <v>1788</v>
      </c>
      <c r="C1229" s="225" t="s">
        <v>1789</v>
      </c>
      <c r="D1229" s="225" t="s">
        <v>1790</v>
      </c>
      <c r="E1229" s="144">
        <v>1</v>
      </c>
      <c r="F1229" s="219" t="s">
        <v>1791</v>
      </c>
      <c r="G1229" s="170" t="s">
        <v>1281</v>
      </c>
      <c r="H1229" s="170">
        <f>I1229+J1229</f>
        <v>60</v>
      </c>
      <c r="I1229" s="170">
        <v>10</v>
      </c>
      <c r="J1229" s="170">
        <v>50</v>
      </c>
      <c r="K1229" s="325">
        <v>6300</v>
      </c>
      <c r="L1229" s="151">
        <v>0.19</v>
      </c>
      <c r="M1229" s="206">
        <f>K1229*J1229</f>
        <v>315000</v>
      </c>
      <c r="N1229" s="325">
        <v>7500</v>
      </c>
      <c r="O1229" s="151">
        <v>0.19</v>
      </c>
      <c r="P1229" s="239">
        <f>N1229*J1229</f>
        <v>375000</v>
      </c>
      <c r="Q1229" s="229">
        <f>SUM(K1229+N1229)/2</f>
        <v>6900</v>
      </c>
      <c r="R1229" s="151">
        <v>0.19</v>
      </c>
      <c r="S1229" s="229">
        <f>Q1229*J1229</f>
        <v>345000</v>
      </c>
    </row>
    <row r="1230" spans="1:19" x14ac:dyDescent="0.3">
      <c r="A1230" s="319">
        <v>5</v>
      </c>
      <c r="B1230" s="225" t="s">
        <v>1788</v>
      </c>
      <c r="C1230" s="225" t="s">
        <v>1789</v>
      </c>
      <c r="D1230" s="225" t="s">
        <v>1790</v>
      </c>
      <c r="E1230" s="144">
        <v>2</v>
      </c>
      <c r="F1230" s="219" t="s">
        <v>1792</v>
      </c>
      <c r="G1230" s="170" t="s">
        <v>1281</v>
      </c>
      <c r="H1230" s="170">
        <f t="shared" ref="H1230:H1255" si="185">I1230+J1230</f>
        <v>60</v>
      </c>
      <c r="I1230" s="170">
        <v>10</v>
      </c>
      <c r="J1230" s="170">
        <v>50</v>
      </c>
      <c r="K1230" s="325">
        <v>6800</v>
      </c>
      <c r="L1230" s="151">
        <v>0.19</v>
      </c>
      <c r="M1230" s="206">
        <f t="shared" ref="M1230:M1255" si="186">K1230*J1230</f>
        <v>340000</v>
      </c>
      <c r="N1230" s="325">
        <v>8200</v>
      </c>
      <c r="O1230" s="151">
        <v>0.19</v>
      </c>
      <c r="P1230" s="239">
        <f t="shared" ref="P1230:P1255" si="187">N1230*J1230</f>
        <v>410000</v>
      </c>
      <c r="Q1230" s="229">
        <f t="shared" ref="Q1230:Q1255" si="188">SUM(K1230+N1230)/2</f>
        <v>7500</v>
      </c>
      <c r="R1230" s="151">
        <v>0.19</v>
      </c>
      <c r="S1230" s="229">
        <f t="shared" ref="S1230:S1255" si="189">Q1230*J1230</f>
        <v>375000</v>
      </c>
    </row>
    <row r="1231" spans="1:19" x14ac:dyDescent="0.3">
      <c r="A1231" s="319">
        <v>5</v>
      </c>
      <c r="B1231" s="225" t="s">
        <v>1793</v>
      </c>
      <c r="C1231" s="225" t="s">
        <v>1794</v>
      </c>
      <c r="D1231" s="225" t="s">
        <v>1795</v>
      </c>
      <c r="E1231" s="144">
        <v>3</v>
      </c>
      <c r="F1231" s="219" t="s">
        <v>1796</v>
      </c>
      <c r="G1231" s="170" t="s">
        <v>25</v>
      </c>
      <c r="H1231" s="170">
        <f t="shared" si="185"/>
        <v>16</v>
      </c>
      <c r="I1231" s="170">
        <v>10</v>
      </c>
      <c r="J1231" s="170">
        <v>6</v>
      </c>
      <c r="K1231" s="325">
        <v>25000</v>
      </c>
      <c r="L1231" s="151">
        <v>0.19</v>
      </c>
      <c r="M1231" s="206">
        <f t="shared" si="186"/>
        <v>150000</v>
      </c>
      <c r="N1231" s="325">
        <v>27000</v>
      </c>
      <c r="O1231" s="151">
        <v>0.19</v>
      </c>
      <c r="P1231" s="239">
        <f t="shared" si="187"/>
        <v>162000</v>
      </c>
      <c r="Q1231" s="229">
        <f t="shared" si="188"/>
        <v>26000</v>
      </c>
      <c r="R1231" s="151">
        <v>0.19</v>
      </c>
      <c r="S1231" s="229">
        <f t="shared" si="189"/>
        <v>156000</v>
      </c>
    </row>
    <row r="1232" spans="1:19" x14ac:dyDescent="0.3">
      <c r="A1232" s="319">
        <v>5</v>
      </c>
      <c r="B1232" s="225" t="s">
        <v>1797</v>
      </c>
      <c r="C1232" s="225" t="s">
        <v>1798</v>
      </c>
      <c r="D1232" s="225" t="s">
        <v>1799</v>
      </c>
      <c r="E1232" s="144">
        <v>4</v>
      </c>
      <c r="F1232" s="219" t="s">
        <v>1800</v>
      </c>
      <c r="G1232" s="170" t="s">
        <v>25</v>
      </c>
      <c r="H1232" s="170">
        <f t="shared" si="185"/>
        <v>12</v>
      </c>
      <c r="I1232" s="170">
        <v>10</v>
      </c>
      <c r="J1232" s="170">
        <v>2</v>
      </c>
      <c r="K1232" s="325">
        <v>129000</v>
      </c>
      <c r="L1232" s="151">
        <v>0.19</v>
      </c>
      <c r="M1232" s="206">
        <f t="shared" si="186"/>
        <v>258000</v>
      </c>
      <c r="N1232" s="325">
        <v>142000</v>
      </c>
      <c r="O1232" s="151">
        <v>0.19</v>
      </c>
      <c r="P1232" s="239">
        <f t="shared" si="187"/>
        <v>284000</v>
      </c>
      <c r="Q1232" s="229">
        <f t="shared" si="188"/>
        <v>135500</v>
      </c>
      <c r="R1232" s="151">
        <v>0.19</v>
      </c>
      <c r="S1232" s="229">
        <f t="shared" si="189"/>
        <v>271000</v>
      </c>
    </row>
    <row r="1233" spans="1:19" x14ac:dyDescent="0.3">
      <c r="A1233" s="319">
        <v>5</v>
      </c>
      <c r="B1233" s="225" t="s">
        <v>1797</v>
      </c>
      <c r="C1233" s="225" t="s">
        <v>1801</v>
      </c>
      <c r="D1233" s="225" t="s">
        <v>1802</v>
      </c>
      <c r="E1233" s="144">
        <v>5</v>
      </c>
      <c r="F1233" s="219" t="s">
        <v>1803</v>
      </c>
      <c r="G1233" s="170" t="s">
        <v>25</v>
      </c>
      <c r="H1233" s="170">
        <f t="shared" si="185"/>
        <v>12</v>
      </c>
      <c r="I1233" s="170">
        <v>10</v>
      </c>
      <c r="J1233" s="170">
        <v>2</v>
      </c>
      <c r="K1233" s="325">
        <v>69300</v>
      </c>
      <c r="L1233" s="151">
        <v>0.19</v>
      </c>
      <c r="M1233" s="206">
        <f t="shared" si="186"/>
        <v>138600</v>
      </c>
      <c r="N1233" s="325">
        <v>58000</v>
      </c>
      <c r="O1233" s="151">
        <v>0.19</v>
      </c>
      <c r="P1233" s="239">
        <f t="shared" si="187"/>
        <v>116000</v>
      </c>
      <c r="Q1233" s="229">
        <f t="shared" si="188"/>
        <v>63650</v>
      </c>
      <c r="R1233" s="151">
        <v>0.19</v>
      </c>
      <c r="S1233" s="229">
        <f t="shared" si="189"/>
        <v>127300</v>
      </c>
    </row>
    <row r="1234" spans="1:19" x14ac:dyDescent="0.3">
      <c r="A1234" s="319">
        <v>5</v>
      </c>
      <c r="B1234" s="225" t="s">
        <v>1793</v>
      </c>
      <c r="C1234" s="225" t="s">
        <v>1794</v>
      </c>
      <c r="D1234" s="225" t="s">
        <v>1795</v>
      </c>
      <c r="E1234" s="144">
        <v>6</v>
      </c>
      <c r="F1234" s="219" t="s">
        <v>1804</v>
      </c>
      <c r="G1234" s="170" t="s">
        <v>25</v>
      </c>
      <c r="H1234" s="170">
        <f t="shared" si="185"/>
        <v>15</v>
      </c>
      <c r="I1234" s="170">
        <v>10</v>
      </c>
      <c r="J1234" s="170">
        <v>5</v>
      </c>
      <c r="K1234" s="325">
        <v>4800</v>
      </c>
      <c r="L1234" s="151">
        <v>0.19</v>
      </c>
      <c r="M1234" s="206">
        <f t="shared" si="186"/>
        <v>24000</v>
      </c>
      <c r="N1234" s="325">
        <v>5300</v>
      </c>
      <c r="O1234" s="151">
        <v>0.19</v>
      </c>
      <c r="P1234" s="239">
        <f t="shared" si="187"/>
        <v>26500</v>
      </c>
      <c r="Q1234" s="229">
        <f t="shared" si="188"/>
        <v>5050</v>
      </c>
      <c r="R1234" s="151">
        <v>0.19</v>
      </c>
      <c r="S1234" s="229">
        <f t="shared" si="189"/>
        <v>25250</v>
      </c>
    </row>
    <row r="1235" spans="1:19" x14ac:dyDescent="0.3">
      <c r="A1235" s="320">
        <v>5</v>
      </c>
      <c r="B1235" s="317" t="s">
        <v>1805</v>
      </c>
      <c r="C1235" s="317" t="s">
        <v>1806</v>
      </c>
      <c r="D1235" s="144">
        <v>31201502</v>
      </c>
      <c r="E1235" s="144">
        <v>7</v>
      </c>
      <c r="F1235" s="142" t="s">
        <v>1807</v>
      </c>
      <c r="G1235" s="144" t="s">
        <v>156</v>
      </c>
      <c r="H1235" s="170">
        <f t="shared" si="185"/>
        <v>20</v>
      </c>
      <c r="I1235" s="170">
        <v>10</v>
      </c>
      <c r="J1235" s="322">
        <v>10</v>
      </c>
      <c r="K1235" s="326">
        <v>6000</v>
      </c>
      <c r="L1235" s="151">
        <v>0.19</v>
      </c>
      <c r="M1235" s="206">
        <f t="shared" si="186"/>
        <v>60000</v>
      </c>
      <c r="N1235" s="325">
        <v>4500</v>
      </c>
      <c r="O1235" s="151">
        <v>0.19</v>
      </c>
      <c r="P1235" s="239">
        <f t="shared" si="187"/>
        <v>45000</v>
      </c>
      <c r="Q1235" s="229">
        <f t="shared" si="188"/>
        <v>5250</v>
      </c>
      <c r="R1235" s="151">
        <v>0.19</v>
      </c>
      <c r="S1235" s="229">
        <f t="shared" si="189"/>
        <v>52500</v>
      </c>
    </row>
    <row r="1236" spans="1:19" x14ac:dyDescent="0.3">
      <c r="A1236" s="320">
        <v>5</v>
      </c>
      <c r="B1236" s="317" t="s">
        <v>1797</v>
      </c>
      <c r="C1236" s="317" t="s">
        <v>1808</v>
      </c>
      <c r="D1236" s="144">
        <v>39121434</v>
      </c>
      <c r="E1236" s="144">
        <v>8</v>
      </c>
      <c r="F1236" s="142" t="s">
        <v>1809</v>
      </c>
      <c r="G1236" s="144" t="s">
        <v>25</v>
      </c>
      <c r="H1236" s="170">
        <f t="shared" si="185"/>
        <v>30</v>
      </c>
      <c r="I1236" s="170">
        <v>10</v>
      </c>
      <c r="J1236" s="322">
        <v>20</v>
      </c>
      <c r="K1236" s="326">
        <v>2500</v>
      </c>
      <c r="L1236" s="151">
        <v>0.19</v>
      </c>
      <c r="M1236" s="206">
        <f t="shared" si="186"/>
        <v>50000</v>
      </c>
      <c r="N1236" s="325">
        <v>2800</v>
      </c>
      <c r="O1236" s="151">
        <v>0.19</v>
      </c>
      <c r="P1236" s="239">
        <f t="shared" si="187"/>
        <v>56000</v>
      </c>
      <c r="Q1236" s="229">
        <f t="shared" si="188"/>
        <v>2650</v>
      </c>
      <c r="R1236" s="151">
        <v>0.19</v>
      </c>
      <c r="S1236" s="229">
        <f t="shared" si="189"/>
        <v>53000</v>
      </c>
    </row>
    <row r="1237" spans="1:19" x14ac:dyDescent="0.3">
      <c r="A1237" s="320">
        <v>5</v>
      </c>
      <c r="B1237" s="317" t="s">
        <v>1797</v>
      </c>
      <c r="C1237" s="317" t="s">
        <v>1810</v>
      </c>
      <c r="D1237" s="144">
        <v>39121434</v>
      </c>
      <c r="E1237" s="144">
        <v>9</v>
      </c>
      <c r="F1237" s="142" t="s">
        <v>1811</v>
      </c>
      <c r="G1237" s="144" t="s">
        <v>25</v>
      </c>
      <c r="H1237" s="170">
        <f t="shared" si="185"/>
        <v>30</v>
      </c>
      <c r="I1237" s="170">
        <v>10</v>
      </c>
      <c r="J1237" s="322">
        <v>20</v>
      </c>
      <c r="K1237" s="326">
        <v>3800</v>
      </c>
      <c r="L1237" s="151">
        <v>0.19</v>
      </c>
      <c r="M1237" s="206">
        <f t="shared" si="186"/>
        <v>76000</v>
      </c>
      <c r="N1237" s="325">
        <v>3500</v>
      </c>
      <c r="O1237" s="151">
        <v>0.19</v>
      </c>
      <c r="P1237" s="239">
        <f t="shared" si="187"/>
        <v>70000</v>
      </c>
      <c r="Q1237" s="229">
        <f t="shared" si="188"/>
        <v>3650</v>
      </c>
      <c r="R1237" s="151">
        <v>0.19</v>
      </c>
      <c r="S1237" s="229">
        <f t="shared" si="189"/>
        <v>73000</v>
      </c>
    </row>
    <row r="1238" spans="1:19" x14ac:dyDescent="0.3">
      <c r="A1238" s="320">
        <v>5</v>
      </c>
      <c r="B1238" s="317" t="s">
        <v>1797</v>
      </c>
      <c r="C1238" s="317" t="s">
        <v>1812</v>
      </c>
      <c r="D1238" s="144">
        <v>39131717</v>
      </c>
      <c r="E1238" s="144">
        <v>10</v>
      </c>
      <c r="F1238" s="142" t="s">
        <v>1813</v>
      </c>
      <c r="G1238" s="144" t="s">
        <v>25</v>
      </c>
      <c r="H1238" s="170">
        <f t="shared" si="185"/>
        <v>25</v>
      </c>
      <c r="I1238" s="170">
        <v>10</v>
      </c>
      <c r="J1238" s="322">
        <v>15</v>
      </c>
      <c r="K1238" s="326">
        <v>6700</v>
      </c>
      <c r="L1238" s="151">
        <v>0.19</v>
      </c>
      <c r="M1238" s="206">
        <f t="shared" si="186"/>
        <v>100500</v>
      </c>
      <c r="N1238" s="325">
        <v>6600</v>
      </c>
      <c r="O1238" s="151">
        <v>0.19</v>
      </c>
      <c r="P1238" s="239">
        <f t="shared" si="187"/>
        <v>99000</v>
      </c>
      <c r="Q1238" s="229">
        <f t="shared" si="188"/>
        <v>6650</v>
      </c>
      <c r="R1238" s="151">
        <v>0.19</v>
      </c>
      <c r="S1238" s="229">
        <f t="shared" si="189"/>
        <v>99750</v>
      </c>
    </row>
    <row r="1239" spans="1:19" x14ac:dyDescent="0.3">
      <c r="A1239" s="320">
        <v>5</v>
      </c>
      <c r="B1239" s="317" t="s">
        <v>1797</v>
      </c>
      <c r="C1239" s="317" t="s">
        <v>1814</v>
      </c>
      <c r="D1239" s="144">
        <v>39131719</v>
      </c>
      <c r="E1239" s="144">
        <v>11</v>
      </c>
      <c r="F1239" s="142" t="s">
        <v>1815</v>
      </c>
      <c r="G1239" s="144" t="s">
        <v>25</v>
      </c>
      <c r="H1239" s="170">
        <f t="shared" si="185"/>
        <v>20</v>
      </c>
      <c r="I1239" s="170">
        <v>10</v>
      </c>
      <c r="J1239" s="322">
        <v>10</v>
      </c>
      <c r="K1239" s="326">
        <v>22000</v>
      </c>
      <c r="L1239" s="151">
        <v>0.19</v>
      </c>
      <c r="M1239" s="206">
        <f t="shared" si="186"/>
        <v>220000</v>
      </c>
      <c r="N1239" s="325">
        <v>23400</v>
      </c>
      <c r="O1239" s="151">
        <v>0.19</v>
      </c>
      <c r="P1239" s="239">
        <f t="shared" si="187"/>
        <v>234000</v>
      </c>
      <c r="Q1239" s="229">
        <f t="shared" si="188"/>
        <v>22700</v>
      </c>
      <c r="R1239" s="151">
        <v>0.19</v>
      </c>
      <c r="S1239" s="229">
        <f t="shared" si="189"/>
        <v>227000</v>
      </c>
    </row>
    <row r="1240" spans="1:19" x14ac:dyDescent="0.3">
      <c r="A1240" s="320">
        <v>5</v>
      </c>
      <c r="B1240" s="317" t="s">
        <v>1816</v>
      </c>
      <c r="C1240" s="317" t="s">
        <v>1817</v>
      </c>
      <c r="D1240" s="318">
        <v>39121311</v>
      </c>
      <c r="E1240" s="144">
        <v>12</v>
      </c>
      <c r="F1240" s="623" t="s">
        <v>1818</v>
      </c>
      <c r="G1240" s="318" t="s">
        <v>25</v>
      </c>
      <c r="H1240" s="170">
        <f t="shared" si="185"/>
        <v>16</v>
      </c>
      <c r="I1240" s="170">
        <v>10</v>
      </c>
      <c r="J1240" s="323">
        <v>6</v>
      </c>
      <c r="K1240" s="326">
        <v>119000</v>
      </c>
      <c r="L1240" s="151">
        <v>0.19</v>
      </c>
      <c r="M1240" s="206">
        <f t="shared" si="186"/>
        <v>714000</v>
      </c>
      <c r="N1240" s="325">
        <v>122000</v>
      </c>
      <c r="O1240" s="151">
        <v>0.19</v>
      </c>
      <c r="P1240" s="239">
        <f t="shared" si="187"/>
        <v>732000</v>
      </c>
      <c r="Q1240" s="229">
        <f t="shared" si="188"/>
        <v>120500</v>
      </c>
      <c r="R1240" s="151">
        <v>0.19</v>
      </c>
      <c r="S1240" s="229">
        <f t="shared" si="189"/>
        <v>723000</v>
      </c>
    </row>
    <row r="1241" spans="1:19" x14ac:dyDescent="0.3">
      <c r="A1241" s="320">
        <v>5</v>
      </c>
      <c r="B1241" s="317" t="s">
        <v>1819</v>
      </c>
      <c r="C1241" s="317" t="s">
        <v>1820</v>
      </c>
      <c r="D1241" s="144">
        <v>39121402</v>
      </c>
      <c r="E1241" s="144">
        <v>13</v>
      </c>
      <c r="F1241" s="142" t="s">
        <v>1821</v>
      </c>
      <c r="G1241" s="144" t="s">
        <v>25</v>
      </c>
      <c r="H1241" s="170">
        <f t="shared" si="185"/>
        <v>20</v>
      </c>
      <c r="I1241" s="170">
        <v>10</v>
      </c>
      <c r="J1241" s="322">
        <v>10</v>
      </c>
      <c r="K1241" s="326">
        <v>3000</v>
      </c>
      <c r="L1241" s="151">
        <v>0.19</v>
      </c>
      <c r="M1241" s="206">
        <f t="shared" si="186"/>
        <v>30000</v>
      </c>
      <c r="N1241" s="325">
        <v>4000</v>
      </c>
      <c r="O1241" s="151">
        <v>0.19</v>
      </c>
      <c r="P1241" s="239">
        <f t="shared" si="187"/>
        <v>40000</v>
      </c>
      <c r="Q1241" s="229">
        <f t="shared" si="188"/>
        <v>3500</v>
      </c>
      <c r="R1241" s="151">
        <v>0.19</v>
      </c>
      <c r="S1241" s="229">
        <f t="shared" si="189"/>
        <v>35000</v>
      </c>
    </row>
    <row r="1242" spans="1:19" x14ac:dyDescent="0.3">
      <c r="A1242" s="320">
        <v>5</v>
      </c>
      <c r="B1242" s="317" t="s">
        <v>1797</v>
      </c>
      <c r="C1242" s="317" t="s">
        <v>1822</v>
      </c>
      <c r="D1242" s="144">
        <v>39111810</v>
      </c>
      <c r="E1242" s="144">
        <v>14</v>
      </c>
      <c r="F1242" s="142" t="s">
        <v>1823</v>
      </c>
      <c r="G1242" s="144" t="s">
        <v>25</v>
      </c>
      <c r="H1242" s="170">
        <f t="shared" si="185"/>
        <v>16</v>
      </c>
      <c r="I1242" s="170">
        <v>10</v>
      </c>
      <c r="J1242" s="324">
        <v>6</v>
      </c>
      <c r="K1242" s="326">
        <v>118000</v>
      </c>
      <c r="L1242" s="151">
        <v>0.19</v>
      </c>
      <c r="M1242" s="206">
        <f t="shared" si="186"/>
        <v>708000</v>
      </c>
      <c r="N1242" s="325">
        <v>120000</v>
      </c>
      <c r="O1242" s="151">
        <v>0.19</v>
      </c>
      <c r="P1242" s="239">
        <f t="shared" si="187"/>
        <v>720000</v>
      </c>
      <c r="Q1242" s="229">
        <f t="shared" si="188"/>
        <v>119000</v>
      </c>
      <c r="R1242" s="151">
        <v>0.19</v>
      </c>
      <c r="S1242" s="229">
        <f t="shared" si="189"/>
        <v>714000</v>
      </c>
    </row>
    <row r="1243" spans="1:19" x14ac:dyDescent="0.3">
      <c r="A1243" s="320">
        <v>5</v>
      </c>
      <c r="B1243" s="317" t="s">
        <v>1824</v>
      </c>
      <c r="C1243" s="317" t="s">
        <v>1825</v>
      </c>
      <c r="D1243" s="144">
        <v>39121640</v>
      </c>
      <c r="E1243" s="144">
        <v>15</v>
      </c>
      <c r="F1243" s="142" t="s">
        <v>1826</v>
      </c>
      <c r="G1243" s="144" t="s">
        <v>25</v>
      </c>
      <c r="H1243" s="170">
        <f t="shared" si="185"/>
        <v>22</v>
      </c>
      <c r="I1243" s="170">
        <v>10</v>
      </c>
      <c r="J1243" s="324">
        <v>12</v>
      </c>
      <c r="K1243" s="326">
        <v>9000</v>
      </c>
      <c r="L1243" s="151">
        <v>0.19</v>
      </c>
      <c r="M1243" s="206">
        <f t="shared" si="186"/>
        <v>108000</v>
      </c>
      <c r="N1243" s="325">
        <v>12000</v>
      </c>
      <c r="O1243" s="151">
        <v>0.19</v>
      </c>
      <c r="P1243" s="239">
        <f t="shared" si="187"/>
        <v>144000</v>
      </c>
      <c r="Q1243" s="229">
        <f t="shared" si="188"/>
        <v>10500</v>
      </c>
      <c r="R1243" s="151">
        <v>0.19</v>
      </c>
      <c r="S1243" s="229">
        <f t="shared" si="189"/>
        <v>126000</v>
      </c>
    </row>
    <row r="1244" spans="1:19" x14ac:dyDescent="0.3">
      <c r="A1244" s="320">
        <v>5</v>
      </c>
      <c r="B1244" s="317" t="s">
        <v>1788</v>
      </c>
      <c r="C1244" s="317" t="s">
        <v>1827</v>
      </c>
      <c r="D1244" s="144">
        <v>30262401</v>
      </c>
      <c r="E1244" s="144">
        <v>16</v>
      </c>
      <c r="F1244" s="142" t="s">
        <v>1828</v>
      </c>
      <c r="G1244" s="144" t="s">
        <v>1281</v>
      </c>
      <c r="H1244" s="170">
        <f t="shared" si="185"/>
        <v>210</v>
      </c>
      <c r="I1244" s="170">
        <v>10</v>
      </c>
      <c r="J1244" s="324">
        <v>200</v>
      </c>
      <c r="K1244" s="326">
        <v>2000</v>
      </c>
      <c r="L1244" s="151">
        <v>0.19</v>
      </c>
      <c r="M1244" s="206">
        <f t="shared" si="186"/>
        <v>400000</v>
      </c>
      <c r="N1244" s="325">
        <v>2100</v>
      </c>
      <c r="O1244" s="151">
        <v>0.19</v>
      </c>
      <c r="P1244" s="239">
        <f t="shared" si="187"/>
        <v>420000</v>
      </c>
      <c r="Q1244" s="229">
        <f t="shared" si="188"/>
        <v>2050</v>
      </c>
      <c r="R1244" s="151">
        <v>0.19</v>
      </c>
      <c r="S1244" s="229">
        <f t="shared" si="189"/>
        <v>410000</v>
      </c>
    </row>
    <row r="1245" spans="1:19" x14ac:dyDescent="0.3">
      <c r="A1245" s="320">
        <v>5</v>
      </c>
      <c r="B1245" s="317" t="s">
        <v>1788</v>
      </c>
      <c r="C1245" s="317" t="s">
        <v>1827</v>
      </c>
      <c r="D1245" s="144">
        <v>30262401</v>
      </c>
      <c r="E1245" s="144">
        <v>17</v>
      </c>
      <c r="F1245" s="142" t="s">
        <v>1829</v>
      </c>
      <c r="G1245" s="144" t="s">
        <v>1281</v>
      </c>
      <c r="H1245" s="170">
        <f t="shared" si="185"/>
        <v>210</v>
      </c>
      <c r="I1245" s="170">
        <v>10</v>
      </c>
      <c r="J1245" s="324">
        <v>200</v>
      </c>
      <c r="K1245" s="326">
        <v>2000</v>
      </c>
      <c r="L1245" s="151">
        <v>0.19</v>
      </c>
      <c r="M1245" s="206">
        <f t="shared" si="186"/>
        <v>400000</v>
      </c>
      <c r="N1245" s="325">
        <v>2100</v>
      </c>
      <c r="O1245" s="151">
        <v>0.19</v>
      </c>
      <c r="P1245" s="239">
        <f t="shared" si="187"/>
        <v>420000</v>
      </c>
      <c r="Q1245" s="229">
        <f t="shared" si="188"/>
        <v>2050</v>
      </c>
      <c r="R1245" s="151">
        <v>0.19</v>
      </c>
      <c r="S1245" s="229">
        <f t="shared" si="189"/>
        <v>410000</v>
      </c>
    </row>
    <row r="1246" spans="1:19" x14ac:dyDescent="0.3">
      <c r="A1246" s="320">
        <v>5</v>
      </c>
      <c r="B1246" s="317" t="s">
        <v>1788</v>
      </c>
      <c r="C1246" s="317" t="s">
        <v>1827</v>
      </c>
      <c r="D1246" s="144">
        <v>30262401</v>
      </c>
      <c r="E1246" s="144">
        <v>18</v>
      </c>
      <c r="F1246" s="142" t="s">
        <v>1830</v>
      </c>
      <c r="G1246" s="144" t="s">
        <v>1281</v>
      </c>
      <c r="H1246" s="170">
        <f t="shared" si="185"/>
        <v>210</v>
      </c>
      <c r="I1246" s="170">
        <v>10</v>
      </c>
      <c r="J1246" s="324">
        <v>200</v>
      </c>
      <c r="K1246" s="326">
        <v>2000</v>
      </c>
      <c r="L1246" s="151">
        <v>0.19</v>
      </c>
      <c r="M1246" s="206">
        <f t="shared" si="186"/>
        <v>400000</v>
      </c>
      <c r="N1246" s="325">
        <v>2100</v>
      </c>
      <c r="O1246" s="151">
        <v>0.19</v>
      </c>
      <c r="P1246" s="239">
        <f t="shared" si="187"/>
        <v>420000</v>
      </c>
      <c r="Q1246" s="229">
        <f t="shared" si="188"/>
        <v>2050</v>
      </c>
      <c r="R1246" s="151">
        <v>0.19</v>
      </c>
      <c r="S1246" s="229">
        <f t="shared" si="189"/>
        <v>410000</v>
      </c>
    </row>
    <row r="1247" spans="1:19" x14ac:dyDescent="0.3">
      <c r="A1247" s="320">
        <v>5</v>
      </c>
      <c r="B1247" s="317" t="s">
        <v>1788</v>
      </c>
      <c r="C1247" s="317" t="s">
        <v>1827</v>
      </c>
      <c r="D1247" s="144">
        <v>30262401</v>
      </c>
      <c r="E1247" s="144">
        <v>19</v>
      </c>
      <c r="F1247" s="142" t="s">
        <v>1831</v>
      </c>
      <c r="G1247" s="144" t="s">
        <v>1281</v>
      </c>
      <c r="H1247" s="170">
        <f t="shared" si="185"/>
        <v>210</v>
      </c>
      <c r="I1247" s="170">
        <v>10</v>
      </c>
      <c r="J1247" s="324">
        <v>200</v>
      </c>
      <c r="K1247" s="326">
        <v>2000</v>
      </c>
      <c r="L1247" s="151">
        <v>0.19</v>
      </c>
      <c r="M1247" s="206">
        <f t="shared" si="186"/>
        <v>400000</v>
      </c>
      <c r="N1247" s="325">
        <v>2100</v>
      </c>
      <c r="O1247" s="151">
        <v>0.19</v>
      </c>
      <c r="P1247" s="239">
        <f t="shared" si="187"/>
        <v>420000</v>
      </c>
      <c r="Q1247" s="229">
        <f t="shared" si="188"/>
        <v>2050</v>
      </c>
      <c r="R1247" s="151">
        <v>0.19</v>
      </c>
      <c r="S1247" s="229">
        <f t="shared" si="189"/>
        <v>410000</v>
      </c>
    </row>
    <row r="1248" spans="1:19" x14ac:dyDescent="0.3">
      <c r="A1248" s="320">
        <v>5</v>
      </c>
      <c r="B1248" s="317" t="s">
        <v>1788</v>
      </c>
      <c r="C1248" s="317" t="s">
        <v>1827</v>
      </c>
      <c r="D1248" s="144">
        <v>30262401</v>
      </c>
      <c r="E1248" s="144">
        <v>20</v>
      </c>
      <c r="F1248" s="142" t="s">
        <v>1832</v>
      </c>
      <c r="G1248" s="144" t="s">
        <v>1281</v>
      </c>
      <c r="H1248" s="170">
        <f t="shared" si="185"/>
        <v>210</v>
      </c>
      <c r="I1248" s="170">
        <v>10</v>
      </c>
      <c r="J1248" s="324">
        <v>200</v>
      </c>
      <c r="K1248" s="326">
        <v>2600</v>
      </c>
      <c r="L1248" s="151">
        <v>0.19</v>
      </c>
      <c r="M1248" s="206">
        <f t="shared" si="186"/>
        <v>520000</v>
      </c>
      <c r="N1248" s="325">
        <v>2800</v>
      </c>
      <c r="O1248" s="151">
        <v>0.19</v>
      </c>
      <c r="P1248" s="239">
        <f t="shared" si="187"/>
        <v>560000</v>
      </c>
      <c r="Q1248" s="229">
        <f t="shared" si="188"/>
        <v>2700</v>
      </c>
      <c r="R1248" s="151">
        <v>0.19</v>
      </c>
      <c r="S1248" s="229">
        <f t="shared" si="189"/>
        <v>540000</v>
      </c>
    </row>
    <row r="1249" spans="1:50" x14ac:dyDescent="0.3">
      <c r="A1249" s="320">
        <v>5</v>
      </c>
      <c r="B1249" s="317" t="s">
        <v>1788</v>
      </c>
      <c r="C1249" s="317" t="s">
        <v>1827</v>
      </c>
      <c r="D1249" s="144">
        <v>30262401</v>
      </c>
      <c r="E1249" s="144">
        <v>21</v>
      </c>
      <c r="F1249" s="142" t="s">
        <v>1833</v>
      </c>
      <c r="G1249" s="144" t="s">
        <v>1281</v>
      </c>
      <c r="H1249" s="170">
        <f t="shared" si="185"/>
        <v>210</v>
      </c>
      <c r="I1249" s="170">
        <v>10</v>
      </c>
      <c r="J1249" s="324">
        <v>200</v>
      </c>
      <c r="K1249" s="326">
        <v>2600</v>
      </c>
      <c r="L1249" s="151">
        <v>0.19</v>
      </c>
      <c r="M1249" s="206">
        <f t="shared" si="186"/>
        <v>520000</v>
      </c>
      <c r="N1249" s="325">
        <v>2800</v>
      </c>
      <c r="O1249" s="151">
        <v>0.19</v>
      </c>
      <c r="P1249" s="239">
        <f t="shared" si="187"/>
        <v>560000</v>
      </c>
      <c r="Q1249" s="229">
        <f t="shared" si="188"/>
        <v>2700</v>
      </c>
      <c r="R1249" s="151">
        <v>0.19</v>
      </c>
      <c r="S1249" s="229">
        <f t="shared" si="189"/>
        <v>540000</v>
      </c>
    </row>
    <row r="1250" spans="1:50" ht="41.4" x14ac:dyDescent="0.3">
      <c r="A1250" s="320">
        <v>5</v>
      </c>
      <c r="B1250" s="317" t="s">
        <v>1834</v>
      </c>
      <c r="C1250" s="317" t="s">
        <v>1835</v>
      </c>
      <c r="D1250" s="144">
        <v>39101603</v>
      </c>
      <c r="E1250" s="144">
        <v>22</v>
      </c>
      <c r="F1250" s="142" t="s">
        <v>1836</v>
      </c>
      <c r="G1250" s="144" t="s">
        <v>21</v>
      </c>
      <c r="H1250" s="170">
        <f t="shared" si="185"/>
        <v>14</v>
      </c>
      <c r="I1250" s="170">
        <v>10</v>
      </c>
      <c r="J1250" s="324">
        <v>4</v>
      </c>
      <c r="K1250" s="326">
        <v>500000</v>
      </c>
      <c r="L1250" s="151">
        <v>0.19</v>
      </c>
      <c r="M1250" s="206">
        <f t="shared" si="186"/>
        <v>2000000</v>
      </c>
      <c r="N1250" s="325">
        <v>525000</v>
      </c>
      <c r="O1250" s="151">
        <v>0.19</v>
      </c>
      <c r="P1250" s="239">
        <f t="shared" si="187"/>
        <v>2100000</v>
      </c>
      <c r="Q1250" s="229">
        <f t="shared" si="188"/>
        <v>512500</v>
      </c>
      <c r="R1250" s="151">
        <v>0.19</v>
      </c>
      <c r="S1250" s="229">
        <f t="shared" si="189"/>
        <v>2050000</v>
      </c>
    </row>
    <row r="1251" spans="1:50" x14ac:dyDescent="0.3">
      <c r="A1251" s="320">
        <v>5</v>
      </c>
      <c r="B1251" s="317" t="s">
        <v>1788</v>
      </c>
      <c r="C1251" s="317" t="s">
        <v>1827</v>
      </c>
      <c r="D1251" s="144">
        <v>30262401</v>
      </c>
      <c r="E1251" s="144">
        <v>23</v>
      </c>
      <c r="F1251" s="142" t="s">
        <v>1837</v>
      </c>
      <c r="G1251" s="144" t="s">
        <v>1281</v>
      </c>
      <c r="H1251" s="170">
        <f t="shared" si="185"/>
        <v>210</v>
      </c>
      <c r="I1251" s="170">
        <v>10</v>
      </c>
      <c r="J1251" s="324">
        <v>200</v>
      </c>
      <c r="K1251" s="326">
        <v>2600</v>
      </c>
      <c r="L1251" s="151">
        <v>0.19</v>
      </c>
      <c r="M1251" s="206">
        <f t="shared" si="186"/>
        <v>520000</v>
      </c>
      <c r="N1251" s="325">
        <v>2800</v>
      </c>
      <c r="O1251" s="151">
        <v>0.19</v>
      </c>
      <c r="P1251" s="239">
        <f t="shared" si="187"/>
        <v>560000</v>
      </c>
      <c r="Q1251" s="229">
        <f t="shared" si="188"/>
        <v>2700</v>
      </c>
      <c r="R1251" s="151">
        <v>0.19</v>
      </c>
      <c r="S1251" s="229">
        <f t="shared" si="189"/>
        <v>540000</v>
      </c>
    </row>
    <row r="1252" spans="1:50" x14ac:dyDescent="0.3">
      <c r="A1252" s="320">
        <v>5</v>
      </c>
      <c r="B1252" s="317" t="s">
        <v>1788</v>
      </c>
      <c r="C1252" s="317" t="s">
        <v>1827</v>
      </c>
      <c r="D1252" s="144">
        <v>30262401</v>
      </c>
      <c r="E1252" s="144">
        <v>24</v>
      </c>
      <c r="F1252" s="142" t="s">
        <v>1838</v>
      </c>
      <c r="G1252" s="144" t="s">
        <v>1281</v>
      </c>
      <c r="H1252" s="170">
        <f t="shared" si="185"/>
        <v>210</v>
      </c>
      <c r="I1252" s="170">
        <v>10</v>
      </c>
      <c r="J1252" s="324">
        <v>200</v>
      </c>
      <c r="K1252" s="326">
        <v>2600</v>
      </c>
      <c r="L1252" s="151">
        <v>0.19</v>
      </c>
      <c r="M1252" s="206">
        <f t="shared" si="186"/>
        <v>520000</v>
      </c>
      <c r="N1252" s="325">
        <v>2800</v>
      </c>
      <c r="O1252" s="151">
        <v>0.19</v>
      </c>
      <c r="P1252" s="239">
        <f t="shared" si="187"/>
        <v>560000</v>
      </c>
      <c r="Q1252" s="229">
        <f t="shared" si="188"/>
        <v>2700</v>
      </c>
      <c r="R1252" s="151">
        <v>0.19</v>
      </c>
      <c r="S1252" s="229">
        <f t="shared" si="189"/>
        <v>540000</v>
      </c>
    </row>
    <row r="1253" spans="1:50" ht="41.4" x14ac:dyDescent="0.3">
      <c r="A1253" s="320">
        <v>5</v>
      </c>
      <c r="B1253" s="317" t="s">
        <v>1797</v>
      </c>
      <c r="C1253" s="317" t="s">
        <v>1822</v>
      </c>
      <c r="D1253" s="144">
        <v>39111810</v>
      </c>
      <c r="E1253" s="144">
        <v>25</v>
      </c>
      <c r="F1253" s="142" t="s">
        <v>1839</v>
      </c>
      <c r="G1253" s="144" t="s">
        <v>25</v>
      </c>
      <c r="H1253" s="170">
        <f t="shared" si="185"/>
        <v>12</v>
      </c>
      <c r="I1253" s="170">
        <v>10</v>
      </c>
      <c r="J1253" s="324">
        <v>2</v>
      </c>
      <c r="K1253" s="326">
        <v>250000</v>
      </c>
      <c r="L1253" s="151">
        <v>0.19</v>
      </c>
      <c r="M1253" s="206">
        <f t="shared" si="186"/>
        <v>500000</v>
      </c>
      <c r="N1253" s="325">
        <v>300000</v>
      </c>
      <c r="O1253" s="151">
        <v>0.19</v>
      </c>
      <c r="P1253" s="239">
        <f t="shared" si="187"/>
        <v>600000</v>
      </c>
      <c r="Q1253" s="229">
        <f t="shared" si="188"/>
        <v>275000</v>
      </c>
      <c r="R1253" s="151">
        <v>0.19</v>
      </c>
      <c r="S1253" s="229">
        <f t="shared" si="189"/>
        <v>550000</v>
      </c>
    </row>
    <row r="1254" spans="1:50" x14ac:dyDescent="0.3">
      <c r="A1254" s="321">
        <v>5</v>
      </c>
      <c r="B1254" s="139" t="s">
        <v>1797</v>
      </c>
      <c r="C1254" s="139" t="s">
        <v>1801</v>
      </c>
      <c r="D1254" s="140">
        <v>39121111</v>
      </c>
      <c r="E1254" s="144">
        <v>26</v>
      </c>
      <c r="F1254" s="156" t="s">
        <v>1840</v>
      </c>
      <c r="G1254" s="140" t="s">
        <v>25</v>
      </c>
      <c r="H1254" s="170">
        <f t="shared" si="185"/>
        <v>17</v>
      </c>
      <c r="I1254" s="170">
        <v>10</v>
      </c>
      <c r="J1254" s="324">
        <v>7</v>
      </c>
      <c r="K1254" s="326">
        <v>15000</v>
      </c>
      <c r="L1254" s="151">
        <v>0.19</v>
      </c>
      <c r="M1254" s="206">
        <f t="shared" si="186"/>
        <v>105000</v>
      </c>
      <c r="N1254" s="325">
        <v>17000</v>
      </c>
      <c r="O1254" s="151">
        <v>0.19</v>
      </c>
      <c r="P1254" s="239">
        <f t="shared" si="187"/>
        <v>119000</v>
      </c>
      <c r="Q1254" s="229">
        <f t="shared" si="188"/>
        <v>16000</v>
      </c>
      <c r="R1254" s="151">
        <v>0.19</v>
      </c>
      <c r="S1254" s="229">
        <f t="shared" si="189"/>
        <v>112000</v>
      </c>
    </row>
    <row r="1255" spans="1:50" x14ac:dyDescent="0.3">
      <c r="A1255" s="321">
        <v>5</v>
      </c>
      <c r="B1255" s="139" t="s">
        <v>1824</v>
      </c>
      <c r="C1255" s="139" t="s">
        <v>1841</v>
      </c>
      <c r="D1255" s="140">
        <v>39121111</v>
      </c>
      <c r="E1255" s="144">
        <v>27</v>
      </c>
      <c r="F1255" s="156" t="s">
        <v>1842</v>
      </c>
      <c r="G1255" s="140" t="s">
        <v>25</v>
      </c>
      <c r="H1255" s="170">
        <f t="shared" si="185"/>
        <v>17</v>
      </c>
      <c r="I1255" s="170">
        <v>10</v>
      </c>
      <c r="J1255" s="324">
        <v>7</v>
      </c>
      <c r="K1255" s="326">
        <v>10000</v>
      </c>
      <c r="L1255" s="151">
        <v>0.19</v>
      </c>
      <c r="M1255" s="206">
        <f t="shared" si="186"/>
        <v>70000</v>
      </c>
      <c r="N1255" s="325">
        <v>12000</v>
      </c>
      <c r="O1255" s="151">
        <v>0.19</v>
      </c>
      <c r="P1255" s="239">
        <f t="shared" si="187"/>
        <v>84000</v>
      </c>
      <c r="Q1255" s="229">
        <f t="shared" si="188"/>
        <v>11000</v>
      </c>
      <c r="R1255" s="151">
        <v>0.19</v>
      </c>
      <c r="S1255" s="229">
        <f t="shared" si="189"/>
        <v>77000</v>
      </c>
    </row>
    <row r="1256" spans="1:50" x14ac:dyDescent="0.3">
      <c r="A1256" s="18">
        <v>5</v>
      </c>
      <c r="B1256" s="559" t="s">
        <v>1843</v>
      </c>
      <c r="C1256" s="559" t="s">
        <v>1844</v>
      </c>
      <c r="D1256" s="184">
        <v>30111601</v>
      </c>
      <c r="E1256" s="144">
        <v>28</v>
      </c>
      <c r="F1256" s="439" t="s">
        <v>1845</v>
      </c>
      <c r="G1256" s="536" t="s">
        <v>1846</v>
      </c>
      <c r="H1256" s="536">
        <f>I1256+J1256</f>
        <v>99</v>
      </c>
      <c r="I1256" s="536">
        <v>10</v>
      </c>
      <c r="J1256" s="536">
        <v>89</v>
      </c>
      <c r="K1256" s="575">
        <v>41460</v>
      </c>
      <c r="L1256" s="560">
        <v>0.19</v>
      </c>
      <c r="M1256" s="561">
        <f>K1256*J1256</f>
        <v>3689940</v>
      </c>
      <c r="N1256" s="579">
        <v>43350</v>
      </c>
      <c r="O1256" s="560">
        <v>0.19</v>
      </c>
      <c r="P1256" s="579">
        <f>N1256*J1256</f>
        <v>3858150</v>
      </c>
      <c r="Q1256" s="562">
        <f>(N1256+K1256)/2</f>
        <v>42405</v>
      </c>
      <c r="R1256" s="560">
        <v>0.19</v>
      </c>
      <c r="S1256" s="562">
        <f>Q1256*J1256</f>
        <v>3774045</v>
      </c>
      <c r="X1256"/>
      <c r="Y1256"/>
      <c r="Z1256"/>
      <c r="AA1256"/>
      <c r="AB1256"/>
      <c r="AC1256"/>
      <c r="AD1256"/>
      <c r="AE1256"/>
      <c r="AF1256"/>
      <c r="AG1256"/>
      <c r="AH1256"/>
      <c r="AI1256"/>
      <c r="AJ1256"/>
      <c r="AK1256"/>
      <c r="AL1256"/>
      <c r="AM1256"/>
      <c r="AN1256"/>
      <c r="AO1256"/>
      <c r="AP1256"/>
      <c r="AQ1256"/>
      <c r="AR1256"/>
      <c r="AS1256"/>
      <c r="AT1256"/>
      <c r="AU1256"/>
      <c r="AV1256"/>
      <c r="AW1256"/>
      <c r="AX1256"/>
    </row>
    <row r="1257" spans="1:50" x14ac:dyDescent="0.3">
      <c r="A1257" s="18">
        <v>5</v>
      </c>
      <c r="B1257" s="539">
        <v>251919</v>
      </c>
      <c r="C1257" s="543">
        <v>130131508</v>
      </c>
      <c r="D1257" s="18">
        <v>30131502</v>
      </c>
      <c r="E1257" s="144">
        <v>29</v>
      </c>
      <c r="F1257" s="563" t="s">
        <v>1847</v>
      </c>
      <c r="G1257" s="536" t="s">
        <v>25</v>
      </c>
      <c r="H1257" s="536">
        <f t="shared" ref="H1257:H1264" si="190">I1257+J1257</f>
        <v>2100</v>
      </c>
      <c r="I1257" s="536">
        <v>100</v>
      </c>
      <c r="J1257" s="564">
        <v>2000</v>
      </c>
      <c r="K1257" s="575">
        <v>4080</v>
      </c>
      <c r="L1257" s="560">
        <v>0.19</v>
      </c>
      <c r="M1257" s="561">
        <f t="shared" ref="M1257:M1264" si="191">K1257*J1257</f>
        <v>8160000</v>
      </c>
      <c r="N1257" s="579">
        <v>4120</v>
      </c>
      <c r="O1257" s="560">
        <v>0.19</v>
      </c>
      <c r="P1257" s="579">
        <f t="shared" ref="P1257:P1264" si="192">N1257*J1257</f>
        <v>8240000</v>
      </c>
      <c r="Q1257" s="562">
        <f t="shared" ref="Q1257:Q1264" si="193">(N1257+K1257)/2</f>
        <v>4100</v>
      </c>
      <c r="R1257" s="560">
        <v>0.19</v>
      </c>
      <c r="S1257" s="562">
        <f t="shared" ref="S1257:S1264" si="194">Q1257*J1257</f>
        <v>8200000</v>
      </c>
      <c r="X1257"/>
      <c r="Y1257"/>
      <c r="Z1257"/>
      <c r="AA1257"/>
      <c r="AB1257"/>
      <c r="AC1257"/>
      <c r="AD1257"/>
      <c r="AE1257"/>
      <c r="AF1257"/>
      <c r="AG1257"/>
      <c r="AH1257"/>
      <c r="AI1257"/>
      <c r="AJ1257"/>
      <c r="AK1257"/>
      <c r="AL1257"/>
      <c r="AM1257"/>
      <c r="AN1257"/>
      <c r="AO1257"/>
      <c r="AP1257"/>
      <c r="AQ1257"/>
      <c r="AR1257"/>
      <c r="AS1257"/>
      <c r="AT1257"/>
      <c r="AU1257"/>
      <c r="AV1257"/>
      <c r="AW1257"/>
      <c r="AX1257"/>
    </row>
    <row r="1258" spans="1:50" x14ac:dyDescent="0.3">
      <c r="A1258" s="18">
        <v>5</v>
      </c>
      <c r="B1258" s="18">
        <v>243782</v>
      </c>
      <c r="C1258" s="538" t="s">
        <v>1848</v>
      </c>
      <c r="D1258" s="18">
        <v>11111700</v>
      </c>
      <c r="E1258" s="144">
        <v>30</v>
      </c>
      <c r="F1258" s="563" t="s">
        <v>1849</v>
      </c>
      <c r="G1258" s="536" t="s">
        <v>25</v>
      </c>
      <c r="H1258" s="536">
        <f t="shared" si="190"/>
        <v>11</v>
      </c>
      <c r="I1258" s="536">
        <v>10</v>
      </c>
      <c r="J1258" s="564">
        <v>1</v>
      </c>
      <c r="K1258" s="575">
        <v>1350000</v>
      </c>
      <c r="L1258" s="560">
        <v>0.19</v>
      </c>
      <c r="M1258" s="561">
        <f t="shared" si="191"/>
        <v>1350000</v>
      </c>
      <c r="N1258" s="579">
        <v>1365000</v>
      </c>
      <c r="O1258" s="560">
        <v>0.19</v>
      </c>
      <c r="P1258" s="579">
        <f t="shared" si="192"/>
        <v>1365000</v>
      </c>
      <c r="Q1258" s="562">
        <f t="shared" si="193"/>
        <v>1357500</v>
      </c>
      <c r="R1258" s="560">
        <v>0.19</v>
      </c>
      <c r="S1258" s="562">
        <f t="shared" si="194"/>
        <v>1357500</v>
      </c>
      <c r="X1258"/>
      <c r="Y1258"/>
      <c r="Z1258"/>
      <c r="AA1258"/>
      <c r="AB1258"/>
      <c r="AC1258"/>
      <c r="AD1258"/>
      <c r="AE1258"/>
      <c r="AF1258"/>
      <c r="AG1258"/>
      <c r="AH1258"/>
      <c r="AI1258"/>
      <c r="AJ1258"/>
      <c r="AK1258"/>
      <c r="AL1258"/>
      <c r="AM1258"/>
      <c r="AN1258"/>
      <c r="AO1258"/>
      <c r="AP1258"/>
      <c r="AQ1258"/>
      <c r="AR1258"/>
      <c r="AS1258"/>
      <c r="AT1258"/>
      <c r="AU1258"/>
      <c r="AV1258"/>
      <c r="AW1258"/>
      <c r="AX1258"/>
    </row>
    <row r="1259" spans="1:50" x14ac:dyDescent="0.3">
      <c r="A1259" s="18">
        <v>5</v>
      </c>
      <c r="B1259" s="18">
        <v>243782</v>
      </c>
      <c r="C1259" s="538" t="s">
        <v>1848</v>
      </c>
      <c r="D1259" s="18">
        <v>11111700</v>
      </c>
      <c r="E1259" s="144">
        <v>31</v>
      </c>
      <c r="F1259" s="563" t="s">
        <v>1849</v>
      </c>
      <c r="G1259" s="536" t="s">
        <v>25</v>
      </c>
      <c r="H1259" s="536">
        <f t="shared" si="190"/>
        <v>11</v>
      </c>
      <c r="I1259" s="536">
        <v>10</v>
      </c>
      <c r="J1259" s="564">
        <v>1</v>
      </c>
      <c r="K1259" s="575">
        <v>1350000</v>
      </c>
      <c r="L1259" s="560">
        <v>0.19</v>
      </c>
      <c r="M1259" s="561">
        <f t="shared" si="191"/>
        <v>1350000</v>
      </c>
      <c r="N1259" s="579">
        <v>1365000</v>
      </c>
      <c r="O1259" s="560">
        <v>0.19</v>
      </c>
      <c r="P1259" s="579">
        <f t="shared" si="192"/>
        <v>1365000</v>
      </c>
      <c r="Q1259" s="562">
        <f t="shared" si="193"/>
        <v>1357500</v>
      </c>
      <c r="R1259" s="560">
        <v>0.19</v>
      </c>
      <c r="S1259" s="562">
        <f t="shared" si="194"/>
        <v>1357500</v>
      </c>
      <c r="X1259"/>
      <c r="Y1259"/>
      <c r="Z1259"/>
      <c r="AA1259"/>
      <c r="AB1259"/>
      <c r="AC1259"/>
      <c r="AD1259"/>
      <c r="AE1259"/>
      <c r="AF1259"/>
      <c r="AG1259"/>
      <c r="AH1259"/>
      <c r="AI1259"/>
      <c r="AJ1259"/>
      <c r="AK1259"/>
      <c r="AL1259"/>
      <c r="AM1259"/>
      <c r="AN1259"/>
      <c r="AO1259"/>
      <c r="AP1259"/>
      <c r="AQ1259"/>
      <c r="AR1259"/>
      <c r="AS1259"/>
      <c r="AT1259"/>
      <c r="AU1259"/>
      <c r="AV1259"/>
      <c r="AW1259"/>
      <c r="AX1259"/>
    </row>
    <row r="1260" spans="1:50" x14ac:dyDescent="0.3">
      <c r="A1260" s="18">
        <v>5</v>
      </c>
      <c r="B1260" s="539">
        <v>279951</v>
      </c>
      <c r="C1260" s="543">
        <v>130101548</v>
      </c>
      <c r="D1260" s="538">
        <v>30102404</v>
      </c>
      <c r="E1260" s="144">
        <v>32</v>
      </c>
      <c r="F1260" s="563" t="s">
        <v>1850</v>
      </c>
      <c r="G1260" s="536" t="s">
        <v>25</v>
      </c>
      <c r="H1260" s="536">
        <f t="shared" si="190"/>
        <v>140</v>
      </c>
      <c r="I1260" s="536">
        <v>10</v>
      </c>
      <c r="J1260" s="564">
        <v>130</v>
      </c>
      <c r="K1260" s="575">
        <v>76500</v>
      </c>
      <c r="L1260" s="560">
        <v>0.19</v>
      </c>
      <c r="M1260" s="561">
        <f t="shared" si="191"/>
        <v>9945000</v>
      </c>
      <c r="N1260" s="579">
        <v>76950</v>
      </c>
      <c r="O1260" s="560">
        <v>0.19</v>
      </c>
      <c r="P1260" s="579">
        <f t="shared" si="192"/>
        <v>10003500</v>
      </c>
      <c r="Q1260" s="562">
        <f t="shared" si="193"/>
        <v>76725</v>
      </c>
      <c r="R1260" s="560">
        <v>0.19</v>
      </c>
      <c r="S1260" s="562">
        <f t="shared" si="194"/>
        <v>9974250</v>
      </c>
      <c r="X1260"/>
      <c r="Y1260"/>
      <c r="Z1260"/>
      <c r="AA1260"/>
      <c r="AB1260"/>
      <c r="AC1260"/>
      <c r="AD1260"/>
      <c r="AE1260"/>
      <c r="AF1260"/>
      <c r="AG1260"/>
      <c r="AH1260"/>
      <c r="AI1260"/>
      <c r="AJ1260"/>
      <c r="AK1260"/>
      <c r="AL1260"/>
      <c r="AM1260"/>
      <c r="AN1260"/>
      <c r="AO1260"/>
      <c r="AP1260"/>
      <c r="AQ1260"/>
      <c r="AR1260"/>
      <c r="AS1260"/>
      <c r="AT1260"/>
      <c r="AU1260"/>
      <c r="AV1260"/>
      <c r="AW1260"/>
      <c r="AX1260"/>
    </row>
    <row r="1261" spans="1:50" ht="27.6" x14ac:dyDescent="0.3">
      <c r="A1261" s="18">
        <v>5</v>
      </c>
      <c r="B1261" s="185">
        <v>238277</v>
      </c>
      <c r="C1261" s="565">
        <v>130101548</v>
      </c>
      <c r="D1261" s="566"/>
      <c r="E1261" s="144">
        <v>33</v>
      </c>
      <c r="F1261" s="567" t="s">
        <v>1851</v>
      </c>
      <c r="G1261" s="18" t="s">
        <v>25</v>
      </c>
      <c r="H1261" s="536">
        <f t="shared" si="190"/>
        <v>17</v>
      </c>
      <c r="I1261" s="536">
        <v>10</v>
      </c>
      <c r="J1261" s="568">
        <v>7</v>
      </c>
      <c r="K1261" s="576">
        <v>245300</v>
      </c>
      <c r="L1261" s="569">
        <v>0.19</v>
      </c>
      <c r="M1261" s="561">
        <f t="shared" si="191"/>
        <v>1717100</v>
      </c>
      <c r="N1261" s="580">
        <v>248000</v>
      </c>
      <c r="O1261" s="569">
        <v>0.19</v>
      </c>
      <c r="P1261" s="580">
        <f t="shared" si="192"/>
        <v>1736000</v>
      </c>
      <c r="Q1261" s="570">
        <f t="shared" si="193"/>
        <v>246650</v>
      </c>
      <c r="R1261" s="569">
        <v>0.19</v>
      </c>
      <c r="S1261" s="570">
        <f t="shared" si="194"/>
        <v>1726550</v>
      </c>
      <c r="X1261"/>
      <c r="Y1261"/>
      <c r="Z1261"/>
      <c r="AA1261"/>
      <c r="AB1261"/>
      <c r="AC1261"/>
      <c r="AD1261"/>
      <c r="AE1261"/>
      <c r="AF1261"/>
      <c r="AG1261"/>
      <c r="AH1261"/>
      <c r="AI1261"/>
      <c r="AJ1261"/>
      <c r="AK1261"/>
      <c r="AL1261"/>
      <c r="AM1261"/>
      <c r="AN1261"/>
      <c r="AO1261"/>
      <c r="AP1261"/>
      <c r="AQ1261"/>
      <c r="AR1261"/>
      <c r="AS1261"/>
      <c r="AT1261"/>
      <c r="AU1261"/>
      <c r="AV1261"/>
      <c r="AW1261"/>
      <c r="AX1261"/>
    </row>
    <row r="1262" spans="1:50" x14ac:dyDescent="0.3">
      <c r="A1262" s="18">
        <v>5</v>
      </c>
      <c r="B1262" s="539"/>
      <c r="C1262" s="543"/>
      <c r="D1262" s="538"/>
      <c r="E1262" s="144">
        <v>34</v>
      </c>
      <c r="F1262" s="563" t="s">
        <v>1852</v>
      </c>
      <c r="G1262" s="536" t="s">
        <v>25</v>
      </c>
      <c r="H1262" s="536">
        <f t="shared" si="190"/>
        <v>80</v>
      </c>
      <c r="I1262" s="536">
        <v>10</v>
      </c>
      <c r="J1262" s="564">
        <v>70</v>
      </c>
      <c r="K1262" s="575">
        <v>12490</v>
      </c>
      <c r="L1262" s="560">
        <v>0.19</v>
      </c>
      <c r="M1262" s="561">
        <f t="shared" si="191"/>
        <v>874300</v>
      </c>
      <c r="N1262" s="579">
        <v>13100</v>
      </c>
      <c r="O1262" s="560">
        <v>0.19</v>
      </c>
      <c r="P1262" s="579">
        <f t="shared" si="192"/>
        <v>917000</v>
      </c>
      <c r="Q1262" s="562">
        <f t="shared" si="193"/>
        <v>12795</v>
      </c>
      <c r="R1262" s="560">
        <v>0.19</v>
      </c>
      <c r="S1262" s="562">
        <f t="shared" si="194"/>
        <v>895650</v>
      </c>
      <c r="X1262"/>
      <c r="Y1262"/>
      <c r="Z1262"/>
      <c r="AA1262"/>
      <c r="AB1262"/>
      <c r="AC1262"/>
      <c r="AD1262"/>
      <c r="AE1262"/>
      <c r="AF1262"/>
      <c r="AG1262"/>
      <c r="AH1262"/>
      <c r="AI1262"/>
      <c r="AJ1262"/>
      <c r="AK1262"/>
      <c r="AL1262"/>
      <c r="AM1262"/>
      <c r="AN1262"/>
      <c r="AO1262"/>
      <c r="AP1262"/>
      <c r="AQ1262"/>
      <c r="AR1262"/>
      <c r="AS1262"/>
      <c r="AT1262"/>
      <c r="AU1262"/>
      <c r="AV1262"/>
      <c r="AW1262"/>
      <c r="AX1262"/>
    </row>
    <row r="1263" spans="1:50" ht="30" customHeight="1" x14ac:dyDescent="0.3">
      <c r="A1263" s="18">
        <v>5</v>
      </c>
      <c r="B1263" s="18">
        <v>271327</v>
      </c>
      <c r="C1263" s="18">
        <v>130101545</v>
      </c>
      <c r="D1263" s="18">
        <v>40171506</v>
      </c>
      <c r="E1263" s="144">
        <v>35</v>
      </c>
      <c r="F1263" s="567" t="s">
        <v>1853</v>
      </c>
      <c r="G1263" s="18" t="s">
        <v>25</v>
      </c>
      <c r="H1263" s="536">
        <f t="shared" si="190"/>
        <v>14</v>
      </c>
      <c r="I1263" s="536">
        <v>10</v>
      </c>
      <c r="J1263" s="568">
        <v>4</v>
      </c>
      <c r="K1263" s="576">
        <v>312000</v>
      </c>
      <c r="L1263" s="569">
        <v>0.19</v>
      </c>
      <c r="M1263" s="561">
        <f t="shared" si="191"/>
        <v>1248000</v>
      </c>
      <c r="N1263" s="580">
        <v>325600</v>
      </c>
      <c r="O1263" s="569">
        <v>0.19</v>
      </c>
      <c r="P1263" s="580">
        <f t="shared" si="192"/>
        <v>1302400</v>
      </c>
      <c r="Q1263" s="570">
        <f t="shared" si="193"/>
        <v>318800</v>
      </c>
      <c r="R1263" s="569">
        <v>0.19</v>
      </c>
      <c r="S1263" s="570">
        <f t="shared" si="194"/>
        <v>1275200</v>
      </c>
      <c r="X1263"/>
      <c r="Y1263"/>
      <c r="Z1263"/>
      <c r="AA1263"/>
      <c r="AB1263"/>
      <c r="AC1263"/>
      <c r="AD1263"/>
      <c r="AE1263"/>
      <c r="AF1263"/>
      <c r="AG1263"/>
      <c r="AH1263"/>
      <c r="AI1263"/>
      <c r="AJ1263"/>
      <c r="AK1263"/>
      <c r="AL1263"/>
      <c r="AM1263"/>
      <c r="AN1263"/>
      <c r="AO1263"/>
      <c r="AP1263"/>
      <c r="AQ1263"/>
      <c r="AR1263"/>
      <c r="AS1263"/>
      <c r="AT1263"/>
      <c r="AU1263"/>
      <c r="AV1263"/>
      <c r="AW1263"/>
      <c r="AX1263"/>
    </row>
    <row r="1264" spans="1:50" x14ac:dyDescent="0.3">
      <c r="A1264" s="18">
        <v>5</v>
      </c>
      <c r="B1264" s="18">
        <v>270845</v>
      </c>
      <c r="C1264" s="18">
        <v>130101548</v>
      </c>
      <c r="D1264" s="18">
        <v>30102217</v>
      </c>
      <c r="E1264" s="144">
        <v>36</v>
      </c>
      <c r="F1264" s="567" t="s">
        <v>1854</v>
      </c>
      <c r="G1264" s="18" t="s">
        <v>25</v>
      </c>
      <c r="H1264" s="536">
        <f t="shared" si="190"/>
        <v>20</v>
      </c>
      <c r="I1264" s="536">
        <v>10</v>
      </c>
      <c r="J1264" s="568">
        <v>10</v>
      </c>
      <c r="K1264" s="577">
        <v>145010</v>
      </c>
      <c r="L1264" s="569">
        <v>0.19</v>
      </c>
      <c r="M1264" s="561">
        <f t="shared" si="191"/>
        <v>1450100</v>
      </c>
      <c r="N1264" s="581">
        <v>143780</v>
      </c>
      <c r="O1264" s="569">
        <v>0.19</v>
      </c>
      <c r="P1264" s="583">
        <f t="shared" si="192"/>
        <v>1437800</v>
      </c>
      <c r="Q1264" s="570">
        <f t="shared" si="193"/>
        <v>144395</v>
      </c>
      <c r="R1264" s="569">
        <v>0.19</v>
      </c>
      <c r="S1264" s="571">
        <f t="shared" si="194"/>
        <v>1443950</v>
      </c>
      <c r="X1264"/>
      <c r="Y1264"/>
      <c r="Z1264"/>
      <c r="AA1264"/>
      <c r="AB1264"/>
      <c r="AC1264"/>
      <c r="AD1264"/>
      <c r="AE1264"/>
      <c r="AF1264"/>
      <c r="AG1264"/>
      <c r="AH1264"/>
      <c r="AI1264"/>
      <c r="AJ1264"/>
      <c r="AK1264"/>
      <c r="AL1264"/>
      <c r="AM1264"/>
      <c r="AN1264"/>
      <c r="AO1264"/>
      <c r="AP1264"/>
      <c r="AQ1264"/>
      <c r="AR1264"/>
      <c r="AS1264"/>
      <c r="AT1264"/>
      <c r="AU1264"/>
      <c r="AV1264"/>
      <c r="AW1264"/>
      <c r="AX1264"/>
    </row>
    <row r="1265" spans="1:50" x14ac:dyDescent="0.3">
      <c r="A1265" s="572"/>
      <c r="B1265" s="573"/>
      <c r="C1265" s="573"/>
      <c r="D1265" s="572"/>
      <c r="E1265" s="573"/>
      <c r="F1265" s="573"/>
      <c r="G1265" s="573"/>
      <c r="H1265" s="573"/>
      <c r="I1265" s="573"/>
      <c r="J1265" s="573"/>
      <c r="K1265" s="578"/>
      <c r="L1265" s="573"/>
      <c r="M1265" s="574">
        <f>SUM(M1256:M1264)</f>
        <v>29784440</v>
      </c>
      <c r="N1265" s="582"/>
      <c r="O1265" s="573"/>
      <c r="P1265" s="584">
        <f>SUM(P1256:P1264)</f>
        <v>30224850</v>
      </c>
      <c r="Q1265" s="573"/>
      <c r="R1265" s="572"/>
      <c r="S1265" s="574">
        <f>SUM(S1256:S1264)</f>
        <v>30004645</v>
      </c>
      <c r="X1265"/>
      <c r="Y1265"/>
      <c r="Z1265"/>
      <c r="AA1265"/>
      <c r="AB1265"/>
      <c r="AC1265"/>
      <c r="AD1265"/>
      <c r="AE1265"/>
      <c r="AF1265"/>
      <c r="AG1265"/>
      <c r="AH1265"/>
      <c r="AI1265"/>
      <c r="AJ1265"/>
      <c r="AK1265"/>
      <c r="AL1265"/>
      <c r="AM1265"/>
      <c r="AN1265"/>
      <c r="AO1265"/>
      <c r="AP1265"/>
      <c r="AQ1265"/>
      <c r="AR1265"/>
      <c r="AS1265"/>
      <c r="AT1265"/>
      <c r="AU1265"/>
      <c r="AV1265"/>
      <c r="AW1265"/>
      <c r="AX1265"/>
    </row>
  </sheetData>
  <autoFilter ref="F1:F1226" xr:uid="{00000000-0001-0000-0000-000000000000}"/>
  <mergeCells count="334">
    <mergeCell ref="H1069:H1070"/>
    <mergeCell ref="E1068:H1068"/>
    <mergeCell ref="H1100:H1101"/>
    <mergeCell ref="E1099:H1099"/>
    <mergeCell ref="H1117:H1118"/>
    <mergeCell ref="E1116:H1116"/>
    <mergeCell ref="H1214:H1215"/>
    <mergeCell ref="E1213:H1213"/>
    <mergeCell ref="H1227:H1228"/>
    <mergeCell ref="E1226:H1226"/>
    <mergeCell ref="G1227:G1228"/>
    <mergeCell ref="F1227:F1228"/>
    <mergeCell ref="A1:S1"/>
    <mergeCell ref="A2:S2"/>
    <mergeCell ref="E3:J3"/>
    <mergeCell ref="A4:A5"/>
    <mergeCell ref="B4:B5"/>
    <mergeCell ref="C4:C5"/>
    <mergeCell ref="D4:D5"/>
    <mergeCell ref="E4:E5"/>
    <mergeCell ref="F4:F5"/>
    <mergeCell ref="G4:G5"/>
    <mergeCell ref="Z4:AB4"/>
    <mergeCell ref="Y27:Y38"/>
    <mergeCell ref="A43:L43"/>
    <mergeCell ref="A46:A47"/>
    <mergeCell ref="B46:B47"/>
    <mergeCell ref="C46:C47"/>
    <mergeCell ref="D46:D47"/>
    <mergeCell ref="E46:E47"/>
    <mergeCell ref="F46:F47"/>
    <mergeCell ref="J4:J5"/>
    <mergeCell ref="K4:M4"/>
    <mergeCell ref="N4:P4"/>
    <mergeCell ref="Q4:S4"/>
    <mergeCell ref="T4:V4"/>
    <mergeCell ref="W4:Y4"/>
    <mergeCell ref="E45:J45"/>
    <mergeCell ref="A115:A116"/>
    <mergeCell ref="B115:B116"/>
    <mergeCell ref="C115:C116"/>
    <mergeCell ref="D115:D116"/>
    <mergeCell ref="E115:E116"/>
    <mergeCell ref="F115:F116"/>
    <mergeCell ref="G46:G47"/>
    <mergeCell ref="J46:J47"/>
    <mergeCell ref="K46:M46"/>
    <mergeCell ref="G115:G116"/>
    <mergeCell ref="J115:J116"/>
    <mergeCell ref="K115:M115"/>
    <mergeCell ref="E114:J114"/>
    <mergeCell ref="N115:P115"/>
    <mergeCell ref="Q115:S115"/>
    <mergeCell ref="T115:V115"/>
    <mergeCell ref="W46:Y46"/>
    <mergeCell ref="Z46:AB46"/>
    <mergeCell ref="AC46:AE46"/>
    <mergeCell ref="N46:P46"/>
    <mergeCell ref="Q46:S46"/>
    <mergeCell ref="T46:V46"/>
    <mergeCell ref="L222:N222"/>
    <mergeCell ref="O222:Q222"/>
    <mergeCell ref="R222:T222"/>
    <mergeCell ref="U222:W222"/>
    <mergeCell ref="A233:M233"/>
    <mergeCell ref="W218:X218"/>
    <mergeCell ref="A222:A223"/>
    <mergeCell ref="B222:B223"/>
    <mergeCell ref="C222:C223"/>
    <mergeCell ref="D222:D223"/>
    <mergeCell ref="E222:E223"/>
    <mergeCell ref="F222:G223"/>
    <mergeCell ref="J222:J223"/>
    <mergeCell ref="K222:K223"/>
    <mergeCell ref="E221:K221"/>
    <mergeCell ref="N237:P237"/>
    <mergeCell ref="Q237:S237"/>
    <mergeCell ref="A269:L269"/>
    <mergeCell ref="A237:A238"/>
    <mergeCell ref="B237:B238"/>
    <mergeCell ref="C237:C238"/>
    <mergeCell ref="D237:D238"/>
    <mergeCell ref="E237:E238"/>
    <mergeCell ref="F237:F238"/>
    <mergeCell ref="D273:D274"/>
    <mergeCell ref="E273:E274"/>
    <mergeCell ref="F273:F274"/>
    <mergeCell ref="G273:G274"/>
    <mergeCell ref="J273:J274"/>
    <mergeCell ref="K273:M273"/>
    <mergeCell ref="G237:G238"/>
    <mergeCell ref="J237:J238"/>
    <mergeCell ref="K237:M237"/>
    <mergeCell ref="J489:J490"/>
    <mergeCell ref="K489:M489"/>
    <mergeCell ref="E272:J272"/>
    <mergeCell ref="E402:J402"/>
    <mergeCell ref="G403:G404"/>
    <mergeCell ref="J403:J404"/>
    <mergeCell ref="K403:M403"/>
    <mergeCell ref="N403:P403"/>
    <mergeCell ref="Q403:S403"/>
    <mergeCell ref="A486:L486"/>
    <mergeCell ref="A403:A404"/>
    <mergeCell ref="B403:B404"/>
    <mergeCell ref="C403:C404"/>
    <mergeCell ref="D403:D404"/>
    <mergeCell ref="E403:E404"/>
    <mergeCell ref="F403:F404"/>
    <mergeCell ref="N273:P273"/>
    <mergeCell ref="Q273:S273"/>
    <mergeCell ref="A399:L399"/>
    <mergeCell ref="N399:O399"/>
    <mergeCell ref="Q399:R399"/>
    <mergeCell ref="A273:A274"/>
    <mergeCell ref="B273:B274"/>
    <mergeCell ref="C273:C274"/>
    <mergeCell ref="E488:J488"/>
    <mergeCell ref="G520:G521"/>
    <mergeCell ref="J520:J521"/>
    <mergeCell ref="K520:M520"/>
    <mergeCell ref="N520:P520"/>
    <mergeCell ref="Q520:S520"/>
    <mergeCell ref="A527:L527"/>
    <mergeCell ref="N489:P489"/>
    <mergeCell ref="Q489:S489"/>
    <mergeCell ref="A516:L516"/>
    <mergeCell ref="A520:A521"/>
    <mergeCell ref="B520:B521"/>
    <mergeCell ref="C520:C521"/>
    <mergeCell ref="D520:D521"/>
    <mergeCell ref="E520:E521"/>
    <mergeCell ref="F520:F521"/>
    <mergeCell ref="E519:J519"/>
    <mergeCell ref="A489:A490"/>
    <mergeCell ref="B489:B490"/>
    <mergeCell ref="C489:C490"/>
    <mergeCell ref="D489:D490"/>
    <mergeCell ref="E489:E490"/>
    <mergeCell ref="F489:F490"/>
    <mergeCell ref="G489:G490"/>
    <mergeCell ref="T531:V531"/>
    <mergeCell ref="A575:L575"/>
    <mergeCell ref="N575:O575"/>
    <mergeCell ref="Q575:R575"/>
    <mergeCell ref="A531:A532"/>
    <mergeCell ref="B531:B532"/>
    <mergeCell ref="C531:C532"/>
    <mergeCell ref="D531:D532"/>
    <mergeCell ref="E531:E532"/>
    <mergeCell ref="F531:F532"/>
    <mergeCell ref="G531:G532"/>
    <mergeCell ref="J531:J532"/>
    <mergeCell ref="K531:M531"/>
    <mergeCell ref="H531:H532"/>
    <mergeCell ref="E530:H530"/>
    <mergeCell ref="N580:P580"/>
    <mergeCell ref="Q580:S580"/>
    <mergeCell ref="A626:L626"/>
    <mergeCell ref="N626:O626"/>
    <mergeCell ref="Q626:R626"/>
    <mergeCell ref="A580:A581"/>
    <mergeCell ref="B580:B581"/>
    <mergeCell ref="C580:C581"/>
    <mergeCell ref="D580:D581"/>
    <mergeCell ref="E580:E581"/>
    <mergeCell ref="F580:F581"/>
    <mergeCell ref="G580:G581"/>
    <mergeCell ref="J580:J581"/>
    <mergeCell ref="K580:M580"/>
    <mergeCell ref="H580:H581"/>
    <mergeCell ref="E579:H579"/>
    <mergeCell ref="N531:P531"/>
    <mergeCell ref="Q531:S531"/>
    <mergeCell ref="E630:H630"/>
    <mergeCell ref="G631:G632"/>
    <mergeCell ref="J631:J632"/>
    <mergeCell ref="K631:M631"/>
    <mergeCell ref="N631:P631"/>
    <mergeCell ref="Q631:S631"/>
    <mergeCell ref="A631:A632"/>
    <mergeCell ref="B631:B632"/>
    <mergeCell ref="C631:C632"/>
    <mergeCell ref="D631:D632"/>
    <mergeCell ref="E631:E632"/>
    <mergeCell ref="F631:F632"/>
    <mergeCell ref="H631:H632"/>
    <mergeCell ref="K660:M660"/>
    <mergeCell ref="N660:P660"/>
    <mergeCell ref="Q660:S660"/>
    <mergeCell ref="A660:A661"/>
    <mergeCell ref="B660:B661"/>
    <mergeCell ref="C660:C661"/>
    <mergeCell ref="D660:D661"/>
    <mergeCell ref="E660:E661"/>
    <mergeCell ref="F660:F661"/>
    <mergeCell ref="H660:H661"/>
    <mergeCell ref="N714:P714"/>
    <mergeCell ref="Q714:S714"/>
    <mergeCell ref="T714:V714"/>
    <mergeCell ref="A714:A715"/>
    <mergeCell ref="B714:B715"/>
    <mergeCell ref="C714:C715"/>
    <mergeCell ref="D714:D715"/>
    <mergeCell ref="E714:E715"/>
    <mergeCell ref="F714:F715"/>
    <mergeCell ref="H714:H715"/>
    <mergeCell ref="N756:P756"/>
    <mergeCell ref="Q756:S756"/>
    <mergeCell ref="A788:L788"/>
    <mergeCell ref="N752:O752"/>
    <mergeCell ref="Q752:R752"/>
    <mergeCell ref="T752:U752"/>
    <mergeCell ref="A756:A757"/>
    <mergeCell ref="B756:B757"/>
    <mergeCell ref="C756:C757"/>
    <mergeCell ref="D756:D757"/>
    <mergeCell ref="E756:E757"/>
    <mergeCell ref="F756:F757"/>
    <mergeCell ref="E755:H755"/>
    <mergeCell ref="H756:H757"/>
    <mergeCell ref="N876:P876"/>
    <mergeCell ref="Q876:S876"/>
    <mergeCell ref="A926:L926"/>
    <mergeCell ref="N926:O926"/>
    <mergeCell ref="Q926:R926"/>
    <mergeCell ref="N793:P793"/>
    <mergeCell ref="Q793:S793"/>
    <mergeCell ref="A871:L871"/>
    <mergeCell ref="A876:A877"/>
    <mergeCell ref="B876:B877"/>
    <mergeCell ref="C876:C877"/>
    <mergeCell ref="D876:D877"/>
    <mergeCell ref="E876:E877"/>
    <mergeCell ref="F876:F877"/>
    <mergeCell ref="A793:A794"/>
    <mergeCell ref="B793:B794"/>
    <mergeCell ref="C793:C794"/>
    <mergeCell ref="D793:D794"/>
    <mergeCell ref="E793:E794"/>
    <mergeCell ref="F793:F794"/>
    <mergeCell ref="G793:G794"/>
    <mergeCell ref="J793:J794"/>
    <mergeCell ref="K793:M793"/>
    <mergeCell ref="N1069:P1069"/>
    <mergeCell ref="Q1069:S1069"/>
    <mergeCell ref="A1094:L1094"/>
    <mergeCell ref="N1094:O1094"/>
    <mergeCell ref="Q1094:R1094"/>
    <mergeCell ref="N932:P932"/>
    <mergeCell ref="Q932:S932"/>
    <mergeCell ref="A1069:A1070"/>
    <mergeCell ref="B1069:B1070"/>
    <mergeCell ref="C1069:C1070"/>
    <mergeCell ref="D1069:D1070"/>
    <mergeCell ref="E1069:E1070"/>
    <mergeCell ref="F1069:F1070"/>
    <mergeCell ref="G1069:G1070"/>
    <mergeCell ref="A932:A933"/>
    <mergeCell ref="B932:B933"/>
    <mergeCell ref="C932:C933"/>
    <mergeCell ref="D932:D933"/>
    <mergeCell ref="E932:E933"/>
    <mergeCell ref="F932:F933"/>
    <mergeCell ref="G932:G933"/>
    <mergeCell ref="H932:H933"/>
    <mergeCell ref="J932:J933"/>
    <mergeCell ref="K932:M932"/>
    <mergeCell ref="A1117:A1118"/>
    <mergeCell ref="B1117:B1118"/>
    <mergeCell ref="C1117:C1118"/>
    <mergeCell ref="D1117:D1118"/>
    <mergeCell ref="E1117:E1118"/>
    <mergeCell ref="F1117:F1118"/>
    <mergeCell ref="G1117:G1118"/>
    <mergeCell ref="Q1117:S1117"/>
    <mergeCell ref="A1100:A1101"/>
    <mergeCell ref="B1100:B1101"/>
    <mergeCell ref="C1100:C1101"/>
    <mergeCell ref="D1100:D1101"/>
    <mergeCell ref="E1100:E1101"/>
    <mergeCell ref="F1100:F1101"/>
    <mergeCell ref="G1100:G1101"/>
    <mergeCell ref="J1100:J1101"/>
    <mergeCell ref="K1100:M1100"/>
    <mergeCell ref="N1117:P1117"/>
    <mergeCell ref="E236:J236"/>
    <mergeCell ref="J1117:J1118"/>
    <mergeCell ref="K1117:M1117"/>
    <mergeCell ref="A1214:A1215"/>
    <mergeCell ref="B1214:B1215"/>
    <mergeCell ref="C1214:C1215"/>
    <mergeCell ref="D1214:D1215"/>
    <mergeCell ref="E1214:E1215"/>
    <mergeCell ref="J1069:J1070"/>
    <mergeCell ref="K1069:M1069"/>
    <mergeCell ref="G876:G877"/>
    <mergeCell ref="J876:J877"/>
    <mergeCell ref="K876:M876"/>
    <mergeCell ref="G756:G757"/>
    <mergeCell ref="J756:J757"/>
    <mergeCell ref="K756:M756"/>
    <mergeCell ref="E713:H713"/>
    <mergeCell ref="G714:G715"/>
    <mergeCell ref="J714:J715"/>
    <mergeCell ref="K714:M714"/>
    <mergeCell ref="E659:H659"/>
    <mergeCell ref="G660:G661"/>
    <mergeCell ref="J660:J661"/>
    <mergeCell ref="H793:H794"/>
    <mergeCell ref="E792:H792"/>
    <mergeCell ref="H876:H877"/>
    <mergeCell ref="E875:H875"/>
    <mergeCell ref="E931:H931"/>
    <mergeCell ref="N1227:P1227"/>
    <mergeCell ref="Q1227:S1227"/>
    <mergeCell ref="A1223:L1223"/>
    <mergeCell ref="N1223:O1223"/>
    <mergeCell ref="Q1223:R1223"/>
    <mergeCell ref="F1214:F1215"/>
    <mergeCell ref="G1214:G1215"/>
    <mergeCell ref="J1214:J1215"/>
    <mergeCell ref="K1214:M1214"/>
    <mergeCell ref="N1214:P1214"/>
    <mergeCell ref="Q1214:S1214"/>
    <mergeCell ref="J1227:J1228"/>
    <mergeCell ref="K1227:M1227"/>
    <mergeCell ref="A1227:A1228"/>
    <mergeCell ref="B1227:B1228"/>
    <mergeCell ref="C1227:C1228"/>
    <mergeCell ref="D1227:D1228"/>
    <mergeCell ref="E1227:E1228"/>
    <mergeCell ref="N1100:P1100"/>
    <mergeCell ref="Q1100:S1100"/>
  </mergeCells>
  <dataValidations count="3">
    <dataValidation allowBlank="1" showInputMessage="1" showErrorMessage="1" promptTitle="Nombre del ítem o servicio" prompt="Sea conciso y preciso" sqref="F544 F802:F803 F815 F837:F841 F742 F720 F751" xr:uid="{CEAE987D-99F0-45F0-8AAF-17951922772F}"/>
    <dataValidation allowBlank="1" showInputMessage="1" showErrorMessage="1" promptTitle="CANTIDAD" prompt="Digite la cantidad de elementos o bienes solicitados." sqref="G241:J242" xr:uid="{68DD7221-85DE-4405-B069-143EC90A89C7}"/>
    <dataValidation allowBlank="1" showInputMessage="1" showErrorMessage="1" promptTitle="UNIDAD DE MEDIDA" prompt="Digite la unidad de medida el elemento solicitado ejemplo: unidad, caja, gramos." sqref="G275:I323 G169:I217" xr:uid="{C2FCCDB5-33DF-4146-B645-647438C72426}"/>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BD179-19F9-49E4-BD80-90BF0FCAB273}">
  <dimension ref="A1:H34"/>
  <sheetViews>
    <sheetView workbookViewId="0">
      <selection activeCell="A2" sqref="A1:I1048576"/>
    </sheetView>
  </sheetViews>
  <sheetFormatPr baseColWidth="10" defaultColWidth="11.44140625" defaultRowHeight="14.4" x14ac:dyDescent="0.3"/>
  <cols>
    <col min="1" max="1" width="37.77734375" customWidth="1"/>
    <col min="2" max="2" width="16" style="5" customWidth="1"/>
    <col min="3" max="3" width="16.44140625" customWidth="1"/>
    <col min="4" max="4" width="12.44140625" customWidth="1"/>
    <col min="5" max="5" width="13" customWidth="1"/>
    <col min="6" max="6" width="12.33203125" customWidth="1"/>
    <col min="7" max="7" width="18.44140625" customWidth="1"/>
  </cols>
  <sheetData>
    <row r="1" spans="1:8" ht="21" x14ac:dyDescent="0.4">
      <c r="A1" s="666" t="s">
        <v>2020</v>
      </c>
      <c r="B1" s="666"/>
      <c r="C1" s="666"/>
      <c r="D1" s="666"/>
      <c r="E1" s="666"/>
      <c r="F1" s="666"/>
      <c r="G1" s="666"/>
    </row>
    <row r="2" spans="1:8" x14ac:dyDescent="0.3">
      <c r="A2" s="8" t="s">
        <v>1950</v>
      </c>
      <c r="B2" s="624" t="s">
        <v>1951</v>
      </c>
      <c r="C2" s="8" t="s">
        <v>1952</v>
      </c>
      <c r="D2" s="8" t="s">
        <v>1953</v>
      </c>
      <c r="E2" s="8" t="s">
        <v>1954</v>
      </c>
      <c r="F2" s="8"/>
      <c r="G2" s="8" t="s">
        <v>2025</v>
      </c>
      <c r="H2" s="8" t="s">
        <v>2029</v>
      </c>
    </row>
    <row r="3" spans="1:8" x14ac:dyDescent="0.3">
      <c r="A3" s="1" t="e">
        <f>Necesidades!#REF!</f>
        <v>#REF!</v>
      </c>
      <c r="B3" s="6" t="e">
        <f>Necesidades!#REF!</f>
        <v>#REF!</v>
      </c>
      <c r="C3" s="667">
        <v>246300000</v>
      </c>
      <c r="D3" s="667" t="e">
        <f>SUM(B3:B5)</f>
        <v>#REF!</v>
      </c>
      <c r="E3" s="667" t="e">
        <f>C3-D3</f>
        <v>#REF!</v>
      </c>
      <c r="F3" s="1"/>
      <c r="G3" s="1" t="s">
        <v>2021</v>
      </c>
      <c r="H3" s="775" t="s">
        <v>2026</v>
      </c>
    </row>
    <row r="4" spans="1:8" x14ac:dyDescent="0.3">
      <c r="A4" s="7" t="e">
        <f>Necesidades!#REF!</f>
        <v>#REF!</v>
      </c>
      <c r="B4" s="6" t="e">
        <f>Necesidades!#REF!</f>
        <v>#REF!</v>
      </c>
      <c r="C4" s="667"/>
      <c r="D4" s="667"/>
      <c r="E4" s="667"/>
      <c r="F4" s="1"/>
      <c r="G4" s="1" t="s">
        <v>2021</v>
      </c>
      <c r="H4" s="775"/>
    </row>
    <row r="5" spans="1:8" x14ac:dyDescent="0.3">
      <c r="A5" s="7" t="e">
        <f>Necesidades!#REF!</f>
        <v>#REF!</v>
      </c>
      <c r="B5" s="6" t="e">
        <f>Necesidades!#REF!</f>
        <v>#REF!</v>
      </c>
      <c r="C5" s="667"/>
      <c r="D5" s="667"/>
      <c r="E5" s="667"/>
      <c r="F5" s="1"/>
      <c r="G5" s="1" t="s">
        <v>2021</v>
      </c>
      <c r="H5" s="775"/>
    </row>
    <row r="6" spans="1:8" x14ac:dyDescent="0.3">
      <c r="A6" s="7" t="e">
        <f>Necesidades!#REF!</f>
        <v>#REF!</v>
      </c>
      <c r="B6" s="6" t="e">
        <f>Necesidades!#REF!</f>
        <v>#REF!</v>
      </c>
      <c r="C6" s="667">
        <v>124375329</v>
      </c>
      <c r="D6" s="667" t="e">
        <f>SUM(B6:B12)</f>
        <v>#REF!</v>
      </c>
      <c r="E6" s="670" t="e">
        <f>C6-D6</f>
        <v>#REF!</v>
      </c>
      <c r="F6" s="1"/>
      <c r="G6" s="1" t="s">
        <v>2022</v>
      </c>
      <c r="H6" s="1" t="s">
        <v>1964</v>
      </c>
    </row>
    <row r="7" spans="1:8" x14ac:dyDescent="0.3">
      <c r="A7" s="7" t="e">
        <f>Necesidades!#REF!</f>
        <v>#REF!</v>
      </c>
      <c r="B7" s="6" t="e">
        <f>Necesidades!#REF!</f>
        <v>#REF!</v>
      </c>
      <c r="C7" s="667"/>
      <c r="D7" s="667"/>
      <c r="E7" s="670"/>
      <c r="F7" s="1"/>
      <c r="G7" s="1" t="s">
        <v>2022</v>
      </c>
      <c r="H7" s="1" t="s">
        <v>1964</v>
      </c>
    </row>
    <row r="8" spans="1:8" x14ac:dyDescent="0.3">
      <c r="A8" s="7" t="e">
        <f>Necesidades!#REF!</f>
        <v>#REF!</v>
      </c>
      <c r="B8" s="6" t="e">
        <f>Necesidades!#REF!</f>
        <v>#REF!</v>
      </c>
      <c r="C8" s="667"/>
      <c r="D8" s="667"/>
      <c r="E8" s="670"/>
      <c r="F8" s="1"/>
      <c r="G8" s="1" t="s">
        <v>2023</v>
      </c>
      <c r="H8" s="776" t="s">
        <v>2027</v>
      </c>
    </row>
    <row r="9" spans="1:8" x14ac:dyDescent="0.3">
      <c r="A9" s="7" t="e">
        <f>Necesidades!#REF!</f>
        <v>#REF!</v>
      </c>
      <c r="B9" s="6" t="e">
        <f>Necesidades!#REF!</f>
        <v>#REF!</v>
      </c>
      <c r="C9" s="667"/>
      <c r="D9" s="667"/>
      <c r="E9" s="670"/>
      <c r="F9" s="1"/>
      <c r="G9" s="1" t="s">
        <v>2022</v>
      </c>
      <c r="H9" s="776"/>
    </row>
    <row r="10" spans="1:8" x14ac:dyDescent="0.3">
      <c r="A10" s="7" t="e">
        <f>Necesidades!#REF!</f>
        <v>#REF!</v>
      </c>
      <c r="B10" s="6" t="e">
        <f>Necesidades!#REF!</f>
        <v>#REF!</v>
      </c>
      <c r="C10" s="667"/>
      <c r="D10" s="667"/>
      <c r="E10" s="670"/>
      <c r="F10" s="1"/>
      <c r="G10" s="1" t="s">
        <v>2022</v>
      </c>
      <c r="H10" s="776"/>
    </row>
    <row r="11" spans="1:8" x14ac:dyDescent="0.3">
      <c r="A11" s="7" t="e">
        <f>Necesidades!#REF!</f>
        <v>#REF!</v>
      </c>
      <c r="B11" s="6" t="e">
        <f>Necesidades!#REF!</f>
        <v>#REF!</v>
      </c>
      <c r="C11" s="667"/>
      <c r="D11" s="667"/>
      <c r="E11" s="670"/>
      <c r="F11" s="1"/>
      <c r="G11" s="1" t="s">
        <v>2022</v>
      </c>
      <c r="H11" s="776"/>
    </row>
    <row r="12" spans="1:8" x14ac:dyDescent="0.3">
      <c r="A12" s="7" t="e">
        <f>Necesidades!#REF!</f>
        <v>#REF!</v>
      </c>
      <c r="B12" s="6" t="e">
        <f>Necesidades!#REF!</f>
        <v>#REF!</v>
      </c>
      <c r="C12" s="667"/>
      <c r="D12" s="667"/>
      <c r="E12" s="670"/>
      <c r="F12" s="1"/>
      <c r="G12" s="1" t="s">
        <v>2024</v>
      </c>
      <c r="H12" s="1" t="s">
        <v>1964</v>
      </c>
    </row>
    <row r="13" spans="1:8" x14ac:dyDescent="0.3">
      <c r="A13" s="7" t="e">
        <f>Necesidades!#REF!</f>
        <v>#REF!</v>
      </c>
      <c r="B13" s="6" t="e">
        <f>Necesidades!#REF!</f>
        <v>#REF!</v>
      </c>
      <c r="C13" s="669">
        <v>47014153</v>
      </c>
      <c r="D13" s="667" t="e">
        <f>SUM(B13:B15)</f>
        <v>#REF!</v>
      </c>
      <c r="E13" s="669" t="e">
        <f>C13-B13-B14-B15-B16-B17</f>
        <v>#REF!</v>
      </c>
      <c r="F13" s="1"/>
      <c r="G13" s="1" t="s">
        <v>2023</v>
      </c>
      <c r="H13" s="776" t="s">
        <v>2027</v>
      </c>
    </row>
    <row r="14" spans="1:8" x14ac:dyDescent="0.3">
      <c r="A14" s="7" t="e">
        <f>Necesidades!#REF!</f>
        <v>#REF!</v>
      </c>
      <c r="B14" s="6" t="e">
        <f>Necesidades!#REF!</f>
        <v>#REF!</v>
      </c>
      <c r="C14" s="669"/>
      <c r="D14" s="667"/>
      <c r="E14" s="669"/>
      <c r="F14" s="1"/>
      <c r="G14" s="1" t="s">
        <v>2022</v>
      </c>
      <c r="H14" s="776"/>
    </row>
    <row r="15" spans="1:8" x14ac:dyDescent="0.3">
      <c r="A15" s="7" t="e">
        <f>Necesidades!#REF!</f>
        <v>#REF!</v>
      </c>
      <c r="B15" s="6" t="e">
        <f>Necesidades!#REF!</f>
        <v>#REF!</v>
      </c>
      <c r="C15" s="669"/>
      <c r="D15" s="667"/>
      <c r="E15" s="669"/>
      <c r="F15" s="1"/>
      <c r="G15" s="1" t="s">
        <v>2022</v>
      </c>
      <c r="H15" s="776"/>
    </row>
    <row r="16" spans="1:8" x14ac:dyDescent="0.3">
      <c r="A16" s="7" t="e">
        <f>Necesidades!#REF!</f>
        <v>#REF!</v>
      </c>
      <c r="B16" s="6" t="e">
        <f>Necesidades!#REF!</f>
        <v>#REF!</v>
      </c>
      <c r="C16" s="669"/>
      <c r="D16" s="667"/>
      <c r="E16" s="669"/>
      <c r="F16" s="6" t="e">
        <f>E13-E16</f>
        <v>#REF!</v>
      </c>
      <c r="G16" s="1" t="s">
        <v>2024</v>
      </c>
      <c r="H16" s="1" t="s">
        <v>1964</v>
      </c>
    </row>
    <row r="17" spans="1:8" x14ac:dyDescent="0.3">
      <c r="A17" s="7" t="e">
        <f>Necesidades!#REF!</f>
        <v>#REF!</v>
      </c>
      <c r="B17" s="6" t="e">
        <f>Necesidades!#REF!</f>
        <v>#REF!</v>
      </c>
      <c r="C17" s="669"/>
      <c r="D17" s="667"/>
      <c r="E17" s="669"/>
      <c r="F17" s="6"/>
      <c r="G17" s="1" t="s">
        <v>2024</v>
      </c>
      <c r="H17" s="1" t="s">
        <v>1964</v>
      </c>
    </row>
    <row r="18" spans="1:8" x14ac:dyDescent="0.3">
      <c r="A18" s="7" t="e">
        <f>Necesidades!#REF!</f>
        <v>#REF!</v>
      </c>
      <c r="B18" s="6" t="e">
        <f>Necesidades!#REF!</f>
        <v>#REF!</v>
      </c>
      <c r="C18" s="669">
        <v>157000000</v>
      </c>
      <c r="D18" s="667" t="e">
        <f>SUM(B18:B24)</f>
        <v>#REF!</v>
      </c>
      <c r="E18" s="670" t="e">
        <f>C18-D18</f>
        <v>#REF!</v>
      </c>
      <c r="F18" s="1"/>
      <c r="G18" s="1" t="s">
        <v>2024</v>
      </c>
      <c r="H18" s="1" t="s">
        <v>1964</v>
      </c>
    </row>
    <row r="19" spans="1:8" x14ac:dyDescent="0.3">
      <c r="A19" s="7" t="e">
        <f>Necesidades!#REF!</f>
        <v>#REF!</v>
      </c>
      <c r="B19" s="6" t="e">
        <f>Necesidades!#REF!</f>
        <v>#REF!</v>
      </c>
      <c r="C19" s="669"/>
      <c r="D19" s="667"/>
      <c r="E19" s="670"/>
      <c r="F19" s="1"/>
      <c r="G19" s="1" t="s">
        <v>2022</v>
      </c>
      <c r="H19" s="1" t="s">
        <v>1964</v>
      </c>
    </row>
    <row r="20" spans="1:8" x14ac:dyDescent="0.3">
      <c r="A20" s="7" t="e">
        <f>Necesidades!#REF!</f>
        <v>#REF!</v>
      </c>
      <c r="B20" s="6" t="e">
        <f>Necesidades!#REF!</f>
        <v>#REF!</v>
      </c>
      <c r="C20" s="669"/>
      <c r="D20" s="668"/>
      <c r="E20" s="671"/>
      <c r="F20" s="1"/>
      <c r="G20" s="1" t="s">
        <v>2023</v>
      </c>
      <c r="H20" s="1" t="s">
        <v>2027</v>
      </c>
    </row>
    <row r="21" spans="1:8" x14ac:dyDescent="0.3">
      <c r="A21" s="7" t="e">
        <f>Necesidades!#REF!</f>
        <v>#REF!</v>
      </c>
      <c r="B21" s="6" t="e">
        <f>Necesidades!#REF!</f>
        <v>#REF!</v>
      </c>
      <c r="C21" s="669"/>
      <c r="D21" s="668"/>
      <c r="E21" s="671"/>
      <c r="F21" s="1"/>
      <c r="G21" s="1" t="s">
        <v>2022</v>
      </c>
      <c r="H21" s="1" t="s">
        <v>2027</v>
      </c>
    </row>
    <row r="22" spans="1:8" x14ac:dyDescent="0.3">
      <c r="A22" s="7" t="e">
        <f>Necesidades!#REF!</f>
        <v>#REF!</v>
      </c>
      <c r="B22" s="6" t="e">
        <f>Necesidades!#REF!</f>
        <v>#REF!</v>
      </c>
      <c r="C22" s="669"/>
      <c r="D22" s="668"/>
      <c r="E22" s="671"/>
      <c r="F22" s="1"/>
      <c r="G22" s="1" t="s">
        <v>2022</v>
      </c>
      <c r="H22" s="1" t="s">
        <v>2027</v>
      </c>
    </row>
    <row r="23" spans="1:8" x14ac:dyDescent="0.3">
      <c r="A23" s="7" t="e">
        <f>Necesidades!#REF!</f>
        <v>#REF!</v>
      </c>
      <c r="B23" s="6" t="e">
        <f>Necesidades!#REF!</f>
        <v>#REF!</v>
      </c>
      <c r="C23" s="669"/>
      <c r="D23" s="668"/>
      <c r="E23" s="671"/>
      <c r="F23" s="1"/>
      <c r="G23" s="1" t="s">
        <v>2022</v>
      </c>
      <c r="H23" s="1" t="s">
        <v>2028</v>
      </c>
    </row>
    <row r="24" spans="1:8" x14ac:dyDescent="0.3">
      <c r="A24" s="7" t="e">
        <f>Necesidades!#REF!</f>
        <v>#REF!</v>
      </c>
      <c r="B24" s="6" t="e">
        <f>Necesidades!#REF!</f>
        <v>#REF!</v>
      </c>
      <c r="C24" s="669"/>
      <c r="D24" s="668"/>
      <c r="E24" s="671"/>
      <c r="F24" s="1"/>
      <c r="G24" s="1" t="s">
        <v>2021</v>
      </c>
      <c r="H24" s="1" t="s">
        <v>1964</v>
      </c>
    </row>
    <row r="25" spans="1:8" x14ac:dyDescent="0.3">
      <c r="A25" s="7" t="e">
        <f>Necesidades!#REF!</f>
        <v>#REF!</v>
      </c>
      <c r="B25" s="6" t="e">
        <f>Necesidades!#REF!</f>
        <v>#REF!</v>
      </c>
      <c r="C25" s="204">
        <v>40000000</v>
      </c>
      <c r="D25" s="204" t="e">
        <f>B25</f>
        <v>#REF!</v>
      </c>
      <c r="E25" s="626" t="e">
        <f>C25-D25</f>
        <v>#REF!</v>
      </c>
      <c r="F25" s="1"/>
      <c r="G25" s="1" t="s">
        <v>2022</v>
      </c>
      <c r="H25" s="1" t="s">
        <v>2027</v>
      </c>
    </row>
    <row r="26" spans="1:8" x14ac:dyDescent="0.3">
      <c r="C26" s="203"/>
      <c r="D26" s="203"/>
      <c r="E26" s="203"/>
    </row>
    <row r="27" spans="1:8" ht="15" thickBot="1" x14ac:dyDescent="0.35">
      <c r="B27" s="5" t="e">
        <f>SUM(B3:B25)</f>
        <v>#REF!</v>
      </c>
    </row>
    <row r="28" spans="1:8" ht="15" thickBot="1" x14ac:dyDescent="0.35">
      <c r="A28" s="777" t="s">
        <v>2030</v>
      </c>
      <c r="B28" s="778"/>
      <c r="C28" s="778"/>
      <c r="D28" s="778"/>
      <c r="E28" s="779"/>
    </row>
    <row r="29" spans="1:8" ht="15" thickBot="1" x14ac:dyDescent="0.35">
      <c r="A29" s="627" t="s">
        <v>6</v>
      </c>
      <c r="B29" s="628" t="s">
        <v>2031</v>
      </c>
      <c r="C29" s="628" t="s">
        <v>2032</v>
      </c>
      <c r="D29" s="628" t="s">
        <v>2033</v>
      </c>
      <c r="E29" s="628" t="s">
        <v>2034</v>
      </c>
    </row>
    <row r="30" spans="1:8" ht="28.2" thickBot="1" x14ac:dyDescent="0.35">
      <c r="A30" s="629">
        <v>1</v>
      </c>
      <c r="B30" s="630" t="s">
        <v>2035</v>
      </c>
      <c r="C30" s="631">
        <v>12000000</v>
      </c>
      <c r="D30" s="631">
        <v>12350000</v>
      </c>
      <c r="E30" s="631">
        <v>12352500</v>
      </c>
    </row>
    <row r="31" spans="1:8" ht="28.2" thickBot="1" x14ac:dyDescent="0.35">
      <c r="A31" s="629">
        <v>2</v>
      </c>
      <c r="B31" s="630" t="s">
        <v>2036</v>
      </c>
      <c r="C31" s="631">
        <v>51000000</v>
      </c>
      <c r="D31" s="631">
        <v>51190000</v>
      </c>
      <c r="E31" s="631">
        <v>51191600</v>
      </c>
    </row>
    <row r="32" spans="1:8" ht="28.2" thickBot="1" x14ac:dyDescent="0.35">
      <c r="A32" s="629">
        <v>3</v>
      </c>
      <c r="B32" s="630" t="s">
        <v>2035</v>
      </c>
      <c r="C32" s="631">
        <v>12000000</v>
      </c>
      <c r="D32" s="631">
        <v>12350000</v>
      </c>
      <c r="E32" s="631">
        <v>12352400</v>
      </c>
    </row>
    <row r="33" spans="1:5" ht="28.2" thickBot="1" x14ac:dyDescent="0.35">
      <c r="A33" s="629">
        <v>4</v>
      </c>
      <c r="B33" s="630" t="s">
        <v>2035</v>
      </c>
      <c r="C33" s="631">
        <v>12000000</v>
      </c>
      <c r="D33" s="631">
        <v>12160000</v>
      </c>
      <c r="E33" s="631" t="s">
        <v>2037</v>
      </c>
    </row>
    <row r="34" spans="1:5" ht="42" thickBot="1" x14ac:dyDescent="0.35">
      <c r="A34" s="629">
        <v>5</v>
      </c>
      <c r="B34" s="630" t="s">
        <v>2038</v>
      </c>
      <c r="C34" s="631">
        <v>41000000</v>
      </c>
      <c r="D34" s="631">
        <v>41100000</v>
      </c>
      <c r="E34" s="631">
        <v>41103800</v>
      </c>
    </row>
  </sheetData>
  <mergeCells count="17">
    <mergeCell ref="A28:E28"/>
    <mergeCell ref="C13:C17"/>
    <mergeCell ref="D13:D17"/>
    <mergeCell ref="E13:E17"/>
    <mergeCell ref="C18:C24"/>
    <mergeCell ref="D18:D24"/>
    <mergeCell ref="E18:E24"/>
    <mergeCell ref="E6:E12"/>
    <mergeCell ref="A1:G1"/>
    <mergeCell ref="H3:H5"/>
    <mergeCell ref="H8:H11"/>
    <mergeCell ref="H13:H15"/>
    <mergeCell ref="C3:C5"/>
    <mergeCell ref="D3:D5"/>
    <mergeCell ref="E3:E5"/>
    <mergeCell ref="C6:C12"/>
    <mergeCell ref="D6:D1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Necesidades</vt:lpstr>
      <vt:lpstr>POD</vt:lpstr>
      <vt:lpstr>UNSPSC</vt:lpstr>
      <vt:lpstr>RUBROS</vt:lpstr>
      <vt:lpstr>ESTUDIO PREVIO AUMENTADO</vt:lpstr>
      <vt:lpstr>PLAZO DE EJECUCIÒN</vt:lpstr>
      <vt:lpstr>Necesidades!Área_de_impresión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Yuliani Carolina Delgado Zapata</cp:lastModifiedBy>
  <cp:revision/>
  <cp:lastPrinted>2022-04-18T16:30:42Z</cp:lastPrinted>
  <dcterms:created xsi:type="dcterms:W3CDTF">2022-02-06T20:57:14Z</dcterms:created>
  <dcterms:modified xsi:type="dcterms:W3CDTF">2026-04-29T21:41:26Z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2026-02-23T19:41:21Z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a4554399-0b2b-4ada-8927-bbaa83c5a508</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