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D:\Vivienda 2024\VIVIENDA\VIVIENDA 2026\4. MEJORAMIENTOS MUJER RURAL\CONTRATO EDUNA\"/>
    </mc:Choice>
  </mc:AlternateContent>
  <bookViews>
    <workbookView xWindow="0" yWindow="0" windowWidth="13575" windowHeight="10800" tabRatio="994" activeTab="4"/>
  </bookViews>
  <sheets>
    <sheet name="TIPO B" sheetId="1" r:id="rId1"/>
    <sheet name="TIPO C" sheetId="2" r:id="rId2"/>
    <sheet name="LOCATIVOS COCINAS" sheetId="4" r:id="rId3"/>
    <sheet name="LOCATIVOS PISOS" sheetId="5" r:id="rId4"/>
    <sheet name="RESUMEN" sheetId="3" r:id="rId5"/>
    <sheet name="DISCRIMINACION AU DPTO" sheetId="9" r:id="rId6"/>
    <sheet name="DISCRIMINACION AU MPIO" sheetId="8" r:id="rId7"/>
  </sheets>
  <calcPr calcId="162913" iterate="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17" i="3" l="1"/>
  <c r="I19" i="9" l="1"/>
  <c r="B5" i="3"/>
  <c r="B4" i="3"/>
  <c r="D7" i="3"/>
  <c r="D6" i="3"/>
  <c r="I38" i="9" l="1"/>
  <c r="I37" i="9"/>
  <c r="I36" i="9"/>
  <c r="I35" i="9"/>
  <c r="I34" i="9"/>
  <c r="I33" i="9"/>
  <c r="I32" i="9"/>
  <c r="I31" i="9"/>
  <c r="J30" i="9"/>
  <c r="I30" i="9"/>
  <c r="I28" i="9"/>
  <c r="I27" i="9"/>
  <c r="I26" i="9"/>
  <c r="I25" i="9"/>
  <c r="I24" i="9"/>
  <c r="I21" i="9"/>
  <c r="I20" i="9"/>
  <c r="J8" i="9"/>
  <c r="I37" i="8"/>
  <c r="I36" i="8"/>
  <c r="I35" i="8"/>
  <c r="I34" i="8"/>
  <c r="I33" i="8"/>
  <c r="I29" i="8" s="1"/>
  <c r="I32" i="8"/>
  <c r="I31" i="8"/>
  <c r="I30" i="8"/>
  <c r="J29" i="8"/>
  <c r="I27" i="8"/>
  <c r="I26" i="8"/>
  <c r="I25" i="8"/>
  <c r="I24" i="8"/>
  <c r="I23" i="8"/>
  <c r="I20" i="8"/>
  <c r="I19" i="8"/>
  <c r="J8" i="8"/>
  <c r="I18" i="9" l="1"/>
  <c r="I23" i="9"/>
  <c r="I18" i="8"/>
  <c r="I22" i="8"/>
  <c r="F12" i="5" l="1"/>
  <c r="F11" i="5"/>
  <c r="F10" i="5"/>
  <c r="F8" i="5"/>
  <c r="F7" i="5"/>
  <c r="F22" i="4"/>
  <c r="F23" i="4"/>
  <c r="F21" i="4"/>
  <c r="F15" i="4"/>
  <c r="F14" i="4"/>
  <c r="F12" i="4"/>
  <c r="F11" i="4"/>
  <c r="F8" i="4"/>
  <c r="F7" i="4"/>
  <c r="F7" i="1"/>
  <c r="F29" i="4"/>
  <c r="F28" i="4"/>
  <c r="F27" i="4"/>
  <c r="F26" i="4"/>
  <c r="F25" i="4"/>
  <c r="F19" i="4"/>
  <c r="F18" i="4" s="1"/>
  <c r="F17" i="4"/>
  <c r="F16" i="4" s="1"/>
  <c r="F10" i="4"/>
  <c r="F13" i="4" l="1"/>
  <c r="F9" i="5"/>
  <c r="F6" i="5"/>
  <c r="F9" i="4"/>
  <c r="F20" i="4"/>
  <c r="F6" i="4"/>
  <c r="F24" i="4"/>
  <c r="F78" i="2"/>
  <c r="F77" i="2"/>
  <c r="F76" i="2" s="1"/>
  <c r="F75" i="2" s="1"/>
  <c r="F70" i="2"/>
  <c r="F71" i="2"/>
  <c r="F72" i="2"/>
  <c r="F73" i="2"/>
  <c r="F74" i="2"/>
  <c r="F69" i="2"/>
  <c r="F67" i="2"/>
  <c r="F66" i="2" s="1"/>
  <c r="F64" i="2"/>
  <c r="F65" i="2"/>
  <c r="F63" i="2"/>
  <c r="F62" i="2" s="1"/>
  <c r="F61" i="2"/>
  <c r="F60" i="2" s="1"/>
  <c r="F57" i="2"/>
  <c r="F56" i="2"/>
  <c r="F55" i="2" s="1"/>
  <c r="F54" i="2"/>
  <c r="F53" i="2" s="1"/>
  <c r="F48" i="2"/>
  <c r="F49" i="2"/>
  <c r="F50" i="2"/>
  <c r="F51" i="2"/>
  <c r="F52" i="2"/>
  <c r="F47" i="2"/>
  <c r="F42" i="2"/>
  <c r="F43" i="2"/>
  <c r="F44" i="2"/>
  <c r="F45" i="2"/>
  <c r="F41" i="2"/>
  <c r="F38" i="2"/>
  <c r="F39" i="2"/>
  <c r="F37" i="2"/>
  <c r="F36" i="2" s="1"/>
  <c r="F35" i="2"/>
  <c r="F34" i="2"/>
  <c r="F33" i="2" s="1"/>
  <c r="F32" i="2"/>
  <c r="F31" i="2"/>
  <c r="F29" i="2"/>
  <c r="F28" i="2" s="1"/>
  <c r="F27" i="2"/>
  <c r="F26" i="2"/>
  <c r="F25" i="2" s="1"/>
  <c r="F22" i="2"/>
  <c r="F23" i="2"/>
  <c r="F24" i="2"/>
  <c r="F21" i="2"/>
  <c r="F18" i="2"/>
  <c r="F19" i="2"/>
  <c r="F17" i="2"/>
  <c r="F16" i="2" s="1"/>
  <c r="F11" i="2"/>
  <c r="F12" i="2"/>
  <c r="F13" i="2"/>
  <c r="F14" i="2"/>
  <c r="F10" i="2"/>
  <c r="F8" i="2"/>
  <c r="F7" i="2" s="1"/>
  <c r="F30" i="2" l="1"/>
  <c r="F40" i="2"/>
  <c r="F46" i="2"/>
  <c r="F5" i="4"/>
  <c r="F5" i="5"/>
  <c r="F13" i="5" s="1"/>
  <c r="F15" i="5" s="1"/>
  <c r="E7" i="3" s="1"/>
  <c r="F20" i="2"/>
  <c r="F30" i="4"/>
  <c r="F68" i="2"/>
  <c r="F9" i="2"/>
  <c r="F6" i="2" s="1"/>
  <c r="F59" i="2"/>
  <c r="F58" i="2" s="1"/>
  <c r="F15" i="2"/>
  <c r="F5" i="2" s="1"/>
  <c r="F32" i="4" l="1"/>
  <c r="E6" i="3" s="1"/>
  <c r="F79" i="2"/>
  <c r="E8" i="3" l="1"/>
  <c r="F81" i="2"/>
  <c r="C5" i="3" s="1"/>
  <c r="F4" i="8" l="1"/>
  <c r="I12" i="8" s="1"/>
  <c r="E9" i="3"/>
  <c r="E11" i="3"/>
  <c r="I41" i="8"/>
  <c r="J41" i="8" s="1"/>
  <c r="G4" i="8"/>
  <c r="H4" i="8" s="1"/>
  <c r="I4" i="8" s="1"/>
  <c r="I10" i="8"/>
  <c r="F32" i="1"/>
  <c r="F28" i="1"/>
  <c r="F27" i="1"/>
  <c r="F56" i="1"/>
  <c r="F55" i="1"/>
  <c r="F54" i="1" s="1"/>
  <c r="F53" i="1"/>
  <c r="F52" i="1" s="1"/>
  <c r="F47" i="1"/>
  <c r="F48" i="1"/>
  <c r="F49" i="1"/>
  <c r="F50" i="1"/>
  <c r="F51" i="1"/>
  <c r="F46" i="1"/>
  <c r="F41" i="1"/>
  <c r="F42" i="1"/>
  <c r="F43" i="1"/>
  <c r="F44" i="1"/>
  <c r="F40" i="1"/>
  <c r="F37" i="1"/>
  <c r="F38" i="1"/>
  <c r="F36" i="1"/>
  <c r="F31" i="1"/>
  <c r="F30" i="1"/>
  <c r="F24" i="1"/>
  <c r="F25" i="1"/>
  <c r="F26" i="1"/>
  <c r="F20" i="1"/>
  <c r="F21" i="1"/>
  <c r="F22" i="1"/>
  <c r="F19" i="1"/>
  <c r="F16" i="1"/>
  <c r="F17" i="1"/>
  <c r="F15" i="1"/>
  <c r="F10" i="1"/>
  <c r="F11" i="1"/>
  <c r="F12" i="1"/>
  <c r="F9" i="1"/>
  <c r="F8" i="1" s="1"/>
  <c r="F6" i="1"/>
  <c r="J20" i="8" l="1"/>
  <c r="I13" i="8"/>
  <c r="I11" i="8"/>
  <c r="J19" i="8"/>
  <c r="J18" i="8" s="1"/>
  <c r="I9" i="8"/>
  <c r="I8" i="8" s="1"/>
  <c r="F14" i="1"/>
  <c r="F39" i="1"/>
  <c r="F45" i="1"/>
  <c r="F35" i="1"/>
  <c r="F23" i="1"/>
  <c r="F5" i="1"/>
  <c r="F29" i="1"/>
  <c r="F18" i="1"/>
  <c r="F13" i="1" l="1"/>
  <c r="H13" i="1" s="1"/>
  <c r="F57" i="1"/>
  <c r="F59" i="1" s="1"/>
  <c r="C4" i="3" s="1"/>
  <c r="C8" i="3" l="1"/>
  <c r="F4" i="9" s="1"/>
  <c r="G4" i="9" l="1"/>
  <c r="H4" i="9" s="1"/>
  <c r="I4" i="9" s="1"/>
  <c r="I10" i="9"/>
  <c r="J19" i="9"/>
  <c r="J20" i="9"/>
  <c r="I9" i="9"/>
  <c r="I42" i="9"/>
  <c r="J42" i="9" s="1"/>
  <c r="J21" i="9"/>
  <c r="C9" i="3"/>
  <c r="C11" i="3"/>
  <c r="I8" i="9" l="1"/>
  <c r="J18" i="9"/>
  <c r="C10" i="3" l="1"/>
  <c r="C12" i="3" s="1"/>
  <c r="F5" i="9" l="1"/>
  <c r="C15" i="3" l="1"/>
  <c r="C16" i="3" s="1"/>
  <c r="G5" i="9"/>
  <c r="F16" i="9"/>
  <c r="I16" i="9" s="1"/>
  <c r="H19" i="3" l="1"/>
  <c r="I15" i="9"/>
  <c r="I40" i="9" s="1"/>
  <c r="J16" i="9"/>
  <c r="J15" i="9" s="1"/>
  <c r="J25" i="9"/>
  <c r="J26" i="9"/>
  <c r="J24" i="9"/>
  <c r="I44" i="9" l="1"/>
  <c r="J44" i="9" s="1"/>
  <c r="J40" i="9"/>
  <c r="J23" i="9"/>
  <c r="E10" i="3" l="1"/>
  <c r="E12" i="3" s="1"/>
  <c r="E13" i="3" l="1"/>
  <c r="E14" i="3" s="1"/>
  <c r="F5" i="8"/>
  <c r="F16" i="8" l="1"/>
  <c r="I16" i="8" s="1"/>
  <c r="G5" i="8"/>
  <c r="E15" i="3"/>
  <c r="E16" i="3" s="1"/>
  <c r="E17" i="3" s="1"/>
  <c r="E19" i="3" s="1"/>
  <c r="H21" i="3" s="1"/>
  <c r="J24" i="8" l="1"/>
  <c r="J23" i="8"/>
  <c r="J25" i="8"/>
  <c r="J16" i="8"/>
  <c r="J15" i="8" s="1"/>
  <c r="I15" i="8"/>
  <c r="I39" i="8" s="1"/>
  <c r="I43" i="8" l="1"/>
  <c r="J43" i="8" s="1"/>
  <c r="J39" i="8"/>
  <c r="J22" i="8"/>
</calcChain>
</file>

<file path=xl/sharedStrings.xml><?xml version="1.0" encoding="utf-8"?>
<sst xmlns="http://schemas.openxmlformats.org/spreadsheetml/2006/main" count="634" uniqueCount="288">
  <si>
    <t>POZO SÉPTICO Y POZO DE INFILTRACIÓN</t>
  </si>
  <si>
    <t>1.</t>
  </si>
  <si>
    <t>PRELIMINARES Y EXCAVACIÓN</t>
  </si>
  <si>
    <t>1.2.1</t>
  </si>
  <si>
    <t>m3</t>
  </si>
  <si>
    <t>8,1</t>
  </si>
  <si>
    <t>POZO SEPTICO + POZO DE INFILTRACIÓN</t>
  </si>
  <si>
    <t>8.11</t>
  </si>
  <si>
    <t>Sistema   séptico   Integrado   con   capacidad   de   1500   Lt   o superior,  en  polietileno  lineal  de  alta  densidad  o  fibra  de vidrio  reforzada  con  poliester.  Incluye  acelerante  biológico, filtros   tipo   colmena   o   rosetón   y   todos   los   elementos necesarios para su correcta instalación.  Debera cumplir NTC 5770   2010-06-16   Sistemas   de   saneamiento   Básico   para tanques sépticos prefabricados con materiales plasticos</t>
  </si>
  <si>
    <t>Un</t>
  </si>
  <si>
    <t>8.4</t>
  </si>
  <si>
    <t>Instalación de Tuberia PVC sanitaria 2". Incluye el suministro de  la  tubería,  accesorios,  limpiador,  soldadura  y  todos  los elementos necesarios para su correcta ejecución.</t>
  </si>
  <si>
    <t>m</t>
  </si>
  <si>
    <t>8.6</t>
  </si>
  <si>
    <t>Instalación de tuberia PVC sanitaria 4".  Incluye el suministro de  la  tubería,  accesorios,  limpiador,  soldadura  y  todos  los elementos necesarios para su correcta ejecución.</t>
  </si>
  <si>
    <t>8.14</t>
  </si>
  <si>
    <t>Construcción de pozo de Infiltración de 1.50 m de diametro y profundidad  de  1.2  m,  Incluye  tuberia  y  accesorios  PVC  4", profundidad  de  relleno  en   triturado  1  m.  Se  recubre  el triturado con geotextil NT1600 y plástico negro y se comple la brecha con lleno de material de la excavación.</t>
  </si>
  <si>
    <t>UNIDAD SANITARIA NUEVA</t>
  </si>
  <si>
    <t>1.14</t>
  </si>
  <si>
    <t>Replanteo  por  medios  manuales.  Incluye  demarcación,  línea de trazado y todo lo necesario para su correcta ejecución.</t>
  </si>
  <si>
    <t>m2</t>
  </si>
  <si>
    <t>Excavación  manual  de  0.00  a  2.00  m.  Incluye  el  acarreo interno  y  disposición  del  material  en  el  sitio.  No  incluye transporte ni botada externa del material. Su medida será en sitio.</t>
  </si>
  <si>
    <t>1.2.4</t>
  </si>
  <si>
    <t>Entresuelo  en  triturado  y  arena  de  concreto,  compactados manualmente. Incluye transporte interno. Su medida será en sitio ya compactado.</t>
  </si>
  <si>
    <t>2.</t>
  </si>
  <si>
    <t>CONCRETOS Y PISO</t>
  </si>
  <si>
    <t>2.7</t>
  </si>
  <si>
    <t>Vaciado de viga de amarre superior en concreto a la vista de 21MPa  sobre  mampostería  de  sección  0.10x0.20m.  Incluye formaleta,   equipo   y   todo   lo   necesario   para   su   correcta colocación y funcionamiento.</t>
  </si>
  <si>
    <t>2.8</t>
  </si>
  <si>
    <t>Vaciado de viga cinta en concreto a la vista de 21MPa sobre mampostería   de   sección   0.10x0.15m.   Incluye   formaleta, equipo  y  todo  lo  necesario  para  su  correcta  colocación  y funcionamiento.</t>
  </si>
  <si>
    <t>2.10</t>
  </si>
  <si>
    <t>Construcción   de   piso   en   concreto   de   21   MPA,   acabado llaneado,  e=8  cm,  reforzado  con  malla  electrosoldada  D84. Incluye el concreto, la malla, formaletería,  polietileno y todo lo necesario para su correcta instalación.</t>
  </si>
  <si>
    <t>2.11</t>
  </si>
  <si>
    <t>Suministro  e  instalación  de  acero  de  refuerzo  Fy=  420MPa, corrugado.   Incluye   transporte   con   descarga,   transporte interno, figurado, alambre de amarre, certificados y todos los elementos  necesarios  para  su  correcta  instalación,   según diseño y recomendaciones estructurales.</t>
  </si>
  <si>
    <t>kg</t>
  </si>
  <si>
    <t>3.</t>
  </si>
  <si>
    <t>MAMPOSTERÍA</t>
  </si>
  <si>
    <t>3.4</t>
  </si>
  <si>
    <t>Suministro,  transporte  y  colocación  de  concreto  fluido  para dovelas  en  mampostería  estructural.  Incluye  grouting  de  21 MPA,  espaciadas  de  acuerdo  a  los  diseños,  o  en  su  defecto cada 1.20 m y en las intersecciones de muros.</t>
  </si>
  <si>
    <t>3.5</t>
  </si>
  <si>
    <t>Construcción   de   mampostería   en   bloque   de   concreto, perforación vertical, de 10x20x40 cm, resistencia de 10 MPA. Incluye  el  suministro,  transporte  y  colocación  del  bloque vertical,   el   mortero   de   pega   1:4,   espesor   max=0.01   m, refuerzo   horizontal   en   dos   grafiles   de   4mm  cada   60cm, encorozados   y   todos   los   elementos   necesarios   para   su correcta   instalación.   Todos   los   cortes   serán   realizados   a máquina.</t>
  </si>
  <si>
    <t>3.6</t>
  </si>
  <si>
    <t>4.</t>
  </si>
  <si>
    <t>REVOQUE</t>
  </si>
  <si>
    <t>4.3</t>
  </si>
  <si>
    <t>Revoque   impermeabilizado   sobre   muros,   incluye   fajas   y filetes y todos los elementos necesarios para su ejecución.</t>
  </si>
  <si>
    <t>5.</t>
  </si>
  <si>
    <t>ENCHAPES PISO Y PARED</t>
  </si>
  <si>
    <t>5.1</t>
  </si>
  <si>
    <t>5.2</t>
  </si>
  <si>
    <t>6.</t>
  </si>
  <si>
    <t>APARATOS SANITARIOS</t>
  </si>
  <si>
    <t>6.1</t>
  </si>
  <si>
    <t>Suministro,   transporte   y   colocación   de   combo   sanitario económico  tipo  laguna  o  similar  sin  pedestal,  color  blanco, Incluye: Sanitario de 4.8lt, lavamanos de colgar, grifería y tres accesorios  de  incrustación   a  pared  (portapel,   jabonera  y toallero),  válvula  de regulación  o abasto  y demas  accesorios para su correcta instalación y funcionamiento.</t>
  </si>
  <si>
    <t>6.4</t>
  </si>
  <si>
    <t>Suministro,  transporte  y  colocación  de  Kit  Ducha  sencilla  + llave   individual   (tipo   piscis   o   similar).    Incluye   todos   los elementos necesarios para su instalación y  funcionamiento.</t>
  </si>
  <si>
    <t>7.</t>
  </si>
  <si>
    <t>REDES HIDRÁULICAS</t>
  </si>
  <si>
    <t>7.1</t>
  </si>
  <si>
    <t>Punto   hidraulico   1/2"   presión   L=   1.5m   max.    Incluye   el suministro  de  la  tubería,  accesorios,  limpiador,  soldadura  y todos los elementos necesarios para su correcta ejecución.</t>
  </si>
  <si>
    <t>7.2</t>
  </si>
  <si>
    <t>Tuberia PVC presión 1/2".  Incluye el suministro de la tubería, accesorios,   limpiador,   soldadura   y   todos   los   elementos necesarios para su correcta ejecución.</t>
  </si>
  <si>
    <t>7.3</t>
  </si>
  <si>
    <t>8.</t>
  </si>
  <si>
    <t>REDES SANITARIAS</t>
  </si>
  <si>
    <t>8.2</t>
  </si>
  <si>
    <t>8.3</t>
  </si>
  <si>
    <t>8.8</t>
  </si>
  <si>
    <t>9.</t>
  </si>
  <si>
    <t>RED ELÉCTRICA</t>
  </si>
  <si>
    <t>9.5</t>
  </si>
  <si>
    <t>Suministro e instalación de tomas GFCI, blanca, de empotrar. Incluye caja, accesorios, fijaciones y todos los elementos para su  correcta  instalación.  Los  materiales  deben  cumplir  con certificación RETIE.</t>
  </si>
  <si>
    <t>9.6</t>
  </si>
  <si>
    <t>Suministro, transporte e instalación de materiales para salida eléctrica de interruptor monopolar de alumbrado 15 A.  10A, 125  V,  según  certificación  RETIE  y  pruebas  de  conformidad UL.  Incluye  el  interruptor,  tapa,  ducto  EMT,  cajas  con  tapa suplemento,   adaptadores,   curvas,    EMT,   conductores   12 AWG-CU-THHN/THWN-90ºC,    conectores    de    conexión    y empalme, tornillos, obra civil y demás elementos y accesorios para su correcta instalación y funcionamiento.</t>
  </si>
  <si>
    <t>9.7</t>
  </si>
  <si>
    <t>Suministro, transporte e instalación de materiales para salida eléctrica de iluminación plafón de alumbrado 15 A.  10A, 125 V,  según  certificación  RETIE  y  pruebas  de  conformidad  UL. Incluye   el   interruptor,   tapa,   ducto   EMT,   cajas   con   tapa suplemento,   adaptadores,   curvas,    EMT,   conductores   12 AWG-CU-THHN/THWN-90ºC,    conectores    de    conexión    y empalme, tornillos, obra civil y demás elementos y accesorios para su correcta instalación y funcionamiento.</t>
  </si>
  <si>
    <t>9.8</t>
  </si>
  <si>
    <t>9.10</t>
  </si>
  <si>
    <t>Suministro, transporte e instalación de materiales para salida eléctrica de toma trifilar con polo a tierra 30 A,  125 V y según la   norma   NEMA  5-15R,   certificación   RETIE   y  pruebas   de conformidad UL.</t>
  </si>
  <si>
    <t>un</t>
  </si>
  <si>
    <t>9.11</t>
  </si>
  <si>
    <t>12.</t>
  </si>
  <si>
    <t>PUERTAS MADERA-METÁLICAS</t>
  </si>
  <si>
    <t>12.2</t>
  </si>
  <si>
    <t>16.</t>
  </si>
  <si>
    <t>CUBIERTA</t>
  </si>
  <si>
    <t>16.1</t>
  </si>
  <si>
    <t>Suministro,   transporte   e   instalación   de   cubierta   en   teja termoacústica UPVC 2.0 mm tipo ECOROOF o similar. Incluye sistemas  fijación  a  elementos  estructurales.  La  medida  será tomada en pendiente de cubierta. Color VERDE.</t>
  </si>
  <si>
    <t>16.3</t>
  </si>
  <si>
    <t>Suministro,  transporte  e  instalación  de  correa  en  madera pino   pátula   inmunizada   (ES6)   de   sección   3"x2".   Incluye anclajes y todo lo necesario para su correcto funcionamiento.</t>
  </si>
  <si>
    <t>TOTAL COSTO DIRECTO</t>
  </si>
  <si>
    <t>VALOR TOTAL</t>
  </si>
  <si>
    <r>
      <rPr>
        <sz val="10"/>
        <rFont val="Arial"/>
        <family val="2"/>
      </rPr>
      <t>Excavación  manual  de  0.00  a  2.00  m.  Incluye  el  acarreo interno  y  disposición  del  material  en  el  sitio.  No  incluye transporte ni botada externa del material. Su medida será en
sitio.</t>
    </r>
  </si>
  <si>
    <r>
      <rPr>
        <sz val="10"/>
        <rFont val="Arial"/>
        <family val="2"/>
      </rPr>
      <t>Suministro  e  instalación  de  tubería  PVC  1/2"  tipo  Conduit  o
similar.  Incluye  accesorios  y  todos  los  elementos  para  su correcta   instalación.   Los   materiales   deben   cumplir   con certificación RETIE.</t>
    </r>
  </si>
  <si>
    <r>
      <rPr>
        <sz val="9"/>
        <rFont val="Arial"/>
        <family val="2"/>
      </rPr>
      <t>Construcción    de    mampostería    en    bloque    calado    de
0,10x0,20x0,20m,  según  detalle,  revitado  a  dos  caras,  sin rebabas.  Incluye  el  suministro,  transporte  y  colocación  del ladrillo,  el  mortero  de  pega,  angeo  y  todos  los  elementos necesarios para su correcta instalación.</t>
    </r>
  </si>
  <si>
    <r>
      <rPr>
        <sz val="9"/>
        <rFont val="Arial"/>
        <family val="2"/>
      </rPr>
      <t>Punto  sanitario  2"  L=  1.5m  max.   Incluye  el  suministro  de  la tubería,    accesorios,    limpiador,    soldadura    y    todos    los
elementos necesarios para su correcta ejecución.</t>
    </r>
  </si>
  <si>
    <r>
      <rPr>
        <sz val="9"/>
        <rFont val="Arial"/>
        <family val="2"/>
      </rPr>
      <t>Punto  sanitario  4"  L=  1.5m  max.   Incluye  el  suministro  de  la tubería,    accesorios,    limpiador,    soldadura    y    todos    los
elementos necesarios para su correcta ejecución.</t>
    </r>
  </si>
  <si>
    <r>
      <rPr>
        <sz val="9"/>
        <rFont val="Arial"/>
        <family val="2"/>
      </rPr>
      <t>Suministro,   transporte   e   instalación   de   rejilla   de   piso
cuadrada  de  2"  en  PVC,  para  desagüe  de  ducha.  Incluye  los materiales y todos los elementos necesarios para su correcta instalación.</t>
    </r>
  </si>
  <si>
    <r>
      <rPr>
        <sz val="9"/>
        <rFont val="Arial"/>
        <family val="2"/>
      </rPr>
      <t>Suministro  e  instalación  de  tubería  PVC  1/2"  tipo  Conduit  o
similar.  Incluye  accesorios  y  todos  los  elementos  para  su correcta   instalación.   Los   materiales   deben   cumplir   con certificación RETIE.</t>
    </r>
  </si>
  <si>
    <r>
      <rPr>
        <sz val="9"/>
        <rFont val="Arial"/>
        <family val="2"/>
      </rPr>
      <t>Suministro,  transporte  e  instalación  de  cable  encauchetado de cobre  de 3x12AWG materiales Alimentador de acometida, se  debe  verificar  en  campo  la  medida  real,  para  efectos  de presupuesto    se   toman   10   metros.   Incluye   suministro, instalación  cables,  conectores   y  todo  lo  necesario  para  su
correcta instalación y funcionamiento.</t>
    </r>
  </si>
  <si>
    <r>
      <rPr>
        <sz val="9"/>
        <rFont val="Arial"/>
        <family val="2"/>
      </rPr>
      <t>Suministro e instalación de puerta metálica de 0.80 x 2.10 m
calibre  20.  Incluye  marco,  ala,  chapa   pintura  anticorrosivo, acabado  en  pintura  tipo  esmalte   y  todos  los  elementos necesarios para su  ejecución.</t>
    </r>
  </si>
  <si>
    <t>ITEM</t>
  </si>
  <si>
    <t>DESCRIPCION</t>
  </si>
  <si>
    <t>UN</t>
  </si>
  <si>
    <t>CANT</t>
  </si>
  <si>
    <t>VALOR UNITARIO</t>
  </si>
  <si>
    <t>PRESUPUESTO MEJORAMIENTO DE VIVIENDA PARA MUJER RURAL SANTA ROSA DE OSOS</t>
  </si>
  <si>
    <t>TIPOLOGIA B - ALCANTARILLADO</t>
  </si>
  <si>
    <t>Suministro e instalación válvula de bola en PVC 1/2" extremo soldado.  Se  entregará  debidamente  instalada  sin  presencia de fugas ni fisuras.</t>
  </si>
  <si>
    <t>TIPOLOGIA C - ACUEDUCTO + ALCANTARILLADO CON UNIDAD SANITARIA NUEVA</t>
  </si>
  <si>
    <t>ALCANTARILLADO</t>
  </si>
  <si>
    <t>8.10</t>
  </si>
  <si>
    <t>Caja de Inspección y/o de Empalme de 0.50x0.50</t>
  </si>
  <si>
    <t>Sistema   séptico   Integrado   con   capacidad   de   1500   Lt   o superior, en polietileno lineal de alta densidad o fibra de vidrio reforzada  con  poliester.  Incluye  acelerante  biológico,  filtros tipo colmena o rosetón y todos los elementos necesarios para su correcta instalación.  Debera cumplir NTC 5770 2010-06-16 Sistemas   de   saneamiento   Básico   para   tanques   sépticos prefabricados con materiales plasticos</t>
  </si>
  <si>
    <t>Instalación  de  tuberia  PVC  sanitaria  4".   Incluye  el  suministro de  la  tubería,  accesorios,  limpiador,  soldadura  y  todos  los elementos necesarios para su correcta ejecución.</t>
  </si>
  <si>
    <t>Construcción de pozo de Infiltración de 1.50 m de diametro y profundidad  de  1.2  m,  Incluye  tuberia  y  accesorios  PVC  4", profundidad   de  relleno   en    triturado   1  m.   Se  recubre   el triturado con geotextil NT1600 y plástico negro y se comple la brecha con lleno de material de la excavación.</t>
  </si>
  <si>
    <t>UNIDAD SANITARIA CON TORRE</t>
  </si>
  <si>
    <t>Entresuelo  en  triturado  y  arena  de  concreto,  compactados manualmente.  Incluye  transporte  interno.  Su medida será en sitio ya compactado.</t>
  </si>
  <si>
    <t>Vaciado de viga de amarre  superior en concreto a la vista de 21MPa  sobre  mampostería  de  sección  0.15x0.20m.  Incluye formaleta,   equipo   y   todo   lo   necesario   para   su   correcta colocación y funcionamiento.</t>
  </si>
  <si>
    <t>2,9</t>
  </si>
  <si>
    <t>Construcción   de   piso   en   concreto   de   21   MPA,   acabado llaneado,  e=8 cm. Incluye  vigas  de fundación  de 15x20cm,  el concreto, formaletería,  polietileno y todo lo necesario para su correcta instalación.</t>
  </si>
  <si>
    <t>Suministro  e  instalación  de  acero  de  refuerzo  Fy=  420MPa, corrugado.   Incluye   transporte   con   descarga,   transporte interno, figurado, alambre de amarre, certificados y todos los elementos   necesarios   para   su   correcta   instalación,   según diseño y recomendaciones estructurales.</t>
  </si>
  <si>
    <t>2.12</t>
  </si>
  <si>
    <t>Construcción de losa aérea en concreto de 21 MPA, e=8 cm.. Incluye  vigas  perimetrales  de  0,15x0,20m,  el  concreto,  obra falsa,   formaletería   y   todo   lo   necesario   para   su   correcta construcción.</t>
  </si>
  <si>
    <t>3.7</t>
  </si>
  <si>
    <t>Revoque impermeabilizado sobre muros, incluye fajas y filetes y todos los elementos necesarios para su ejecución.</t>
  </si>
  <si>
    <t>Suministro,   transporte   y   colocación   de   combo   sanitario económico  tipo  laguna  o  similar  sin  pedestal,  color  blanco, Incluye: Sanitario de 4.8lt, lavamanos de colgar, grifería y tres accesorios   de   incrustación   a   pared   (portapel,   jabonera   y toallero),  válvula  de  regulación  o  abasto  y  demas  accesorios para su correcta instalación y funcionamiento.</t>
  </si>
  <si>
    <t>Instalación  de  Tuberia  PVC  sanitaria  2".  Incluye  el  suministro de  la  tubería,  accesorios,  limpiador,  soldadura  y  todos  los elementos necesarios para su correcta ejecución.</t>
  </si>
  <si>
    <t>Suministro, transporte e instalación de rejilla de piso cuadrada de 2" en PVC, para desagüe de ducha. Incluye los materiales y todos los elementos necesarios para su correcta instalación.</t>
  </si>
  <si>
    <t>Suministro e instalación de tomas GFCI, blanca, de  empotrar. Incluye caja, accesorios, fijaciones y todos los elementos para su  correcta  instalación.  Los  materiales  deben  cumplir  con certificación RETIE.</t>
  </si>
  <si>
    <t>Suministro,  transporte  e instalación de materiales  para salida eléctrica de  interruptor monopolar de alumbrado 15 A.   10A, 125 V, según certificación RETIE y pruebas de conformidad UL. Incluye   el   interruptor,   tapa,   ducto   EMT,   cajas   con   tapa suplemento, adaptadores, curvas,  EMT, conductores 12 AWG- CU-THHN/THWN-90ºC,  conectores  de  conexión  y  empalme, tornillos,  obra  civil  y  demás  elementos  y  accesorios  para  su correcta instalación y funcionamiento.</t>
  </si>
  <si>
    <t>Suministro,  transporte  e instalación de materiales  para salida eléctrica de iluminación plafón de alumbrado 15 A.  10A,  125 V,  según  certificación  RETIE  y  pruebas  de  conformidad  UL. Incluye   el   interruptor,   tapa,   ducto   EMT,   cajas   con   tapa suplemento, adaptadores, curvas,  EMT, conductores 12 AWG- CU-THHN/THWN-90ºC,  conectores  de  conexión  y  empalme, tornillos,  obra  civil  y  demás  elementos  y  accesorios  para  su correcta instalación y funcionamiento.</t>
  </si>
  <si>
    <t>Suministro,  transporte  e instalación de materiales  para salida eléctrica de toma trifilar con polo a tierra 30 A,  125 V y según la   norma   NEMA   5-15R,   certificación   RETIE   y   pruebas   de conformidad UL.</t>
  </si>
  <si>
    <t>Suministro, transporte e instalación de cable encauchetado de cobre  de 3x12AWG materiales Alimentador de acometida, se debe  verificar  en  campo  la  medida  real,  para  efectos  de presupuesto    se    toman    10   metros.    Incluye    suministro, instalación  cables,  conectores   y  todo  lo  necesario  para  su correcta instalación y funcionamiento.</t>
  </si>
  <si>
    <t>12.3</t>
  </si>
  <si>
    <t>Suministro e instalación de puerta metálica de 0.70 x 2.10 m calibre  20.  Incluye  marco,  ala, chapa   pintura anticorrosivo   y todos los elementos necesarios para su  ejecución.</t>
  </si>
  <si>
    <t>Suministro,   transporte   e   instalación   de   cubierta   en   teja termoacústica UPVC 2.0 mm tipo ECOROOF  o similar.  Incluye sistemas  fijación  a  elementos  estructurales.  La  medida  será tomada en pendiente de cubierta. Color VERDE.</t>
  </si>
  <si>
    <t>Suministro, transporte e instalación de correa en madera pino pátula  inmunizada  (ES6)  de  sección  3"x2".  Incluye  anclajes  y todo lo necesario para su correcto funcionamiento.</t>
  </si>
  <si>
    <t>ACUEDUCTO</t>
  </si>
  <si>
    <t>TANQUE DE ALMACENAMIENTO DE AGUA</t>
  </si>
  <si>
    <t>10.</t>
  </si>
  <si>
    <t>TANQUE ALMACENAMIENTO</t>
  </si>
  <si>
    <t>10.1</t>
  </si>
  <si>
    <t>REDES HIDRAULICAS</t>
  </si>
  <si>
    <t>Suministro e instalación válvula de bola en PVC 1/2" extremo soldado. Se entregará debidamente instalada sin presencia de fugas ni fisuras.</t>
  </si>
  <si>
    <t>7.5</t>
  </si>
  <si>
    <t>Tuberia  PVC  presión  1".   Incluye  el  suministro  de  la  tubería, accesorios,   limpiador,   soldadura   y   todos   los   elementos necesarios para su correcta ejecución.</t>
  </si>
  <si>
    <t>17</t>
  </si>
  <si>
    <t>SISTEMA DE BOMBEO</t>
  </si>
  <si>
    <t>17.1</t>
  </si>
  <si>
    <t>INSTALACIONES ELECTRICAS</t>
  </si>
  <si>
    <t>9.9</t>
  </si>
  <si>
    <t>9.12</t>
  </si>
  <si>
    <t>9.13</t>
  </si>
  <si>
    <t>9.14</t>
  </si>
  <si>
    <t>Suministro   e   instalación   de   tablero   de   distribución   de   6 circuitos con todos los elementos para su correcta instalación. Los materiales deben cumplir con Certificación RETIE</t>
  </si>
  <si>
    <t>9.15</t>
  </si>
  <si>
    <t>Suministro e instalación de protección del circuito de 1x20A</t>
  </si>
  <si>
    <t>SISTEMA DE MEJORAMIENTO DE AGUA CON OZONIZADOR</t>
  </si>
  <si>
    <t>18</t>
  </si>
  <si>
    <t>SISTEMA DE MEJORAMIENTO DE CALIDAD DEL AGUA</t>
  </si>
  <si>
    <t>11.8</t>
  </si>
  <si>
    <t>Sistema de Mejoramiento con Ozonizador en acero inoxidable tipo domestico. Incluye un cartucho ozonizador</t>
  </si>
  <si>
    <r>
      <rPr>
        <sz val="10"/>
        <rFont val="Arial"/>
        <family val="2"/>
      </rPr>
      <t>Instalación  de  Tuberia  PVC  sanitaria  2".  Incluye  el  suministro
de  la  tubería,  accesorios,  limpiador,  soldadura  y  todos  los elementos necesarios para su correcta ejecución.</t>
    </r>
  </si>
  <si>
    <r>
      <rPr>
        <sz val="10"/>
        <rFont val="Arial"/>
        <family val="2"/>
      </rPr>
      <t>Construcción   de   mampostería   en   bloque   de   concreto,
perforación vertical, de 15x20x40 cm, resistencia de 13 MPA. Incluye   el  suministro,   transporte  y   colocación  del   bloque vertical,   el   mortero   de   pega   1:4,   espesor   max=0.01   m, refuerzo   horizontal   en   dos   grafiles   de   4mm   cada   60cm, encorozados   y   todos   los   elementos   necesarios   para   su correcta   instalación.   Todos   los   cortes   serán   realizados   a máquina.</t>
    </r>
  </si>
  <si>
    <r>
      <rPr>
        <sz val="10"/>
        <rFont val="Arial"/>
        <family val="2"/>
      </rPr>
      <t>Suministro  e  instalación  de  enchape  ceramico  para  pared  de
zonas  humedas  (Baño,  cocina,  lavadero),  incluye  todos  los elementos necesarios para su ejecución.</t>
    </r>
  </si>
  <si>
    <r>
      <rPr>
        <sz val="10"/>
        <rFont val="Arial"/>
        <family val="2"/>
      </rPr>
      <t>Suministro e instalación de enchape piso  para zonas humedas
(Baño,patio),  incluye  todos  los  elementos  necesarios  para  su ejecución.</t>
    </r>
  </si>
  <si>
    <r>
      <rPr>
        <sz val="10"/>
        <rFont val="Arial"/>
        <family val="2"/>
      </rPr>
      <t>Suministro e instalación válvula de bola en PVC 1/2" extremo
soldado. Se entregará debidamente instalada sin presencia de fugas ni fisuras.</t>
    </r>
  </si>
  <si>
    <r>
      <rPr>
        <sz val="10"/>
        <rFont val="Arial"/>
        <family val="2"/>
      </rPr>
      <t>Punto  sanitario  2"  L=  1.5m  max.   Incluye  el  suministro  de  la
tubería,    accesorios,    limpiador,    soldadura    y    todos    los elementos necesarios para su correcta ejecución.</t>
    </r>
  </si>
  <si>
    <r>
      <rPr>
        <sz val="10"/>
        <rFont val="Arial"/>
        <family val="2"/>
      </rPr>
      <t>Punto  sanitario  4"  L=  1.5m  max.   Incluye  el  suministro  de  la
tubería,    accesorios,    limpiador,    soldadura    y    todos    los elementos necesarios para su correcta ejecución.</t>
    </r>
  </si>
  <si>
    <r>
      <rPr>
        <sz val="10"/>
        <rFont val="Arial"/>
        <family val="2"/>
      </rPr>
      <t>Tanque  de  almacenamiento  de  agua  de  500L  en  polietileno,
incluye  el  suministro,  transporte  e  instalación  del  tanque, tuberia  PVC-P  de  1/2"  para  purga  y  rebose,  valvula  de  bola para  mantenimiento,  pegas,  accesorios  y  todo  lo  necesario para su correcta instalación.</t>
    </r>
  </si>
  <si>
    <r>
      <rPr>
        <sz val="10"/>
        <rFont val="Arial"/>
        <family val="2"/>
      </rPr>
      <t>Suministro,  transporte  e  instalación  de  sistema  de  bombeo, compuesto por una bomba de  1/2Hp, presión  maxima de  38
M.C.A.  y un caudal maximo de 38 lt/min a 120V A/C.  Incluye valvula  flotadora  electrica,  valvula  de  cheque  de  1",  tuberia desde  el  tanque  a  nivel  de  piso  hasta  el  tanque  elevado  en PVC-P de 1", accesorios, limpiador, pega, domo de protección para la bomba en lamina galvanizada y todo lo necesario para su correcto funcionamiento.</t>
    </r>
  </si>
  <si>
    <r>
      <rPr>
        <sz val="10"/>
        <rFont val="Arial"/>
        <family val="2"/>
      </rPr>
      <t>Suministro e instalación de tomas GFCI, blanca, de  empotrar. Incluye caja, accesorios, fijaciones y todos los elementos para su  correcta  instalación.  Los  materiales  deben  cumplir  con
certificación RETIE.</t>
    </r>
  </si>
  <si>
    <r>
      <rPr>
        <sz val="10"/>
        <rFont val="Arial"/>
        <family val="2"/>
      </rPr>
      <t>Suministro  e  instalación  de  cable  de  cobre  12AWU-Cu-THHN-
THWN  90°C.  Los  materiales  deben  cumplir  con  Certificación RETIE.</t>
    </r>
  </si>
  <si>
    <r>
      <rPr>
        <sz val="10"/>
        <rFont val="Arial"/>
        <family val="2"/>
      </rPr>
      <t>Suministro,   transporte   e   instalación   de   materiales   para
sistema  de  control  de  electrobomba  Periferica  0.5  Hp  110v Pqm60  según  la  norma  NEMA  5-15R,  certificación  RETIE  y pruebas de conformidad UL.</t>
    </r>
  </si>
  <si>
    <r>
      <rPr>
        <sz val="10"/>
        <rFont val="Arial"/>
        <family val="2"/>
      </rPr>
      <t>Suministro e instalación de tubería EMT 1  1/4" tipo Conduit o
similar.  Incluye  accesorios  y  todos  los  elementos  para  su correcta   instalación.   Los   materiales   deben   cumplir   con certificación RETIE.</t>
    </r>
  </si>
  <si>
    <t>TOTAL COSTOS DIRECTOS</t>
  </si>
  <si>
    <t>TRANSPORTE</t>
  </si>
  <si>
    <t>ADMINISTRACION</t>
  </si>
  <si>
    <t>UTILIDAD</t>
  </si>
  <si>
    <t xml:space="preserve">IVA HONORARIOS </t>
  </si>
  <si>
    <t>TOTAL HONORARIOS</t>
  </si>
  <si>
    <t>TOTAL PROYECTO</t>
  </si>
  <si>
    <t>HONORARIOS 2% ADMINISTRACION</t>
  </si>
  <si>
    <t xml:space="preserve">TOTAL COSTO DIRECTO TIPOLOGIA B - ALCANTARILLADO </t>
  </si>
  <si>
    <t>Suministro e instalación de enchape ceramico para pared de zonas  humedas  (Baño,  cocina,  lavadero),  incluye  todos  los elementos necesarios para su ejecución.</t>
  </si>
  <si>
    <t>Suministro   e   instalación   de   enchape   piso    para   zonas humedas    (Baño,patio),    incluye    todos    los    elementos
necesarios para su ejecución.</t>
  </si>
  <si>
    <t>VALOR TOTAL DE 83 MEJORAMIENTOS</t>
  </si>
  <si>
    <t>TIPOLOGIA MEJORAMIENTOS LOCATIVOS COCINAS</t>
  </si>
  <si>
    <t>Desmonte de lavaplatos (incluye retiro)</t>
  </si>
  <si>
    <t>Demolición de mesón en concreto (Incluye retiro)</t>
  </si>
  <si>
    <t>MODULO COCINA</t>
  </si>
  <si>
    <t>PRELIMINARES</t>
  </si>
  <si>
    <t>Suministro e instalación válvula de bola en PVC 1/2" extremo
soldado.  Se  entregará  debidamente  instalada  sin  presencia de fugas ni fisuras.</t>
  </si>
  <si>
    <t>Punto  sanitario  2"  L=  1.5m  max.   Incluye  el  suministro  de  la tubería,    accesorios,    limpiador,    soldadura    y    todos    los
elementos necesarios para su correcta ejecución.</t>
  </si>
  <si>
    <t>MESON Y MUEBLES</t>
  </si>
  <si>
    <t>Suministro e instalación de Grifería para lavaplatos sencilla (incluye accesorios) suministro e instalación</t>
  </si>
  <si>
    <t>VALOR TOTAL DE 5 MEJORAMIENTOS</t>
  </si>
  <si>
    <t>TOTAL COSTO DIRECTO TIPOLOGIA MEJORAMIENTOS LOCATIVOS COCINAS</t>
  </si>
  <si>
    <t>TOTAL COSTO DIRECTO TIPOLOGIA MEJORAMIENTOS LOCATIVOS PISOS</t>
  </si>
  <si>
    <t>TIPOLOGIA MEJORAMIENTOS LOCATIVOS PISOS</t>
  </si>
  <si>
    <t>PISOS</t>
  </si>
  <si>
    <t>1.3</t>
  </si>
  <si>
    <t>Demolición placa piso 0.05m</t>
  </si>
  <si>
    <t>Picada de piso existente para afinado (Incluye retiro)</t>
  </si>
  <si>
    <t>CONCRETOS Y PISOS</t>
  </si>
  <si>
    <t>Construcción de piso mortero 1:4, e=4 cm. Incluye el concreto,  la formaleteria y todo lo necesario para su correcta instalación.</t>
  </si>
  <si>
    <t>Suminsitro e instalación de refuerzo malla electrosoldada.</t>
  </si>
  <si>
    <t>Suministro e instalación de piso cerámico semibrillante, formatos de 33,8 cm x 33,8 cm hasta 61 cm x 61 cm (incluye adhesivo y boquilla) suministro e instalación</t>
  </si>
  <si>
    <t>DISCRIMINACION DE LA ADMINISTRACION Y LA UTILIDAD</t>
  </si>
  <si>
    <t>Unidad</t>
  </si>
  <si>
    <t>Cant</t>
  </si>
  <si>
    <t>%</t>
  </si>
  <si>
    <t>VALOR EN $</t>
  </si>
  <si>
    <t>Cantidad</t>
  </si>
  <si>
    <t>FP</t>
  </si>
  <si>
    <t>SUBTOTALES ($)</t>
  </si>
  <si>
    <t>PORCENTAJE (%)</t>
  </si>
  <si>
    <t>COSTO DIRECTO DEL PROYECTO</t>
  </si>
  <si>
    <t>COSTO TOTAL DEL PROYECTO</t>
  </si>
  <si>
    <t>IMPUESTOS MUNICIPALES</t>
  </si>
  <si>
    <t>1.1</t>
  </si>
  <si>
    <t>Impuestos Municipales. De acuerdo al estatuto tributario de la entidad</t>
  </si>
  <si>
    <t>Estampilla pro adulto mayor</t>
  </si>
  <si>
    <t>Estampilla procultura</t>
  </si>
  <si>
    <t>Tasa pro deportes recreación</t>
  </si>
  <si>
    <t>Fondo de seguridad - Ley 418 de 1997</t>
  </si>
  <si>
    <t>Estampilla para la Justicia Familiar</t>
  </si>
  <si>
    <t xml:space="preserve"> </t>
  </si>
  <si>
    <t>1.2</t>
  </si>
  <si>
    <t>Costos de legalización</t>
  </si>
  <si>
    <t>1.2.2</t>
  </si>
  <si>
    <t>Pólizas de Cumplimiento y RCE</t>
  </si>
  <si>
    <t>Costos del personal de administración del contrato</t>
  </si>
  <si>
    <t>1.3.2</t>
  </si>
  <si>
    <t>Mes</t>
  </si>
  <si>
    <t>1.3.3</t>
  </si>
  <si>
    <t>1.4</t>
  </si>
  <si>
    <t>Otros costos</t>
  </si>
  <si>
    <t>1.4.1</t>
  </si>
  <si>
    <t>Arrendamientos, bodegas, servicios Públicos, gastos de papelería,  equipos (alquiler), gastos bancarios, caja menor</t>
  </si>
  <si>
    <t>Und</t>
  </si>
  <si>
    <t>1.4.2</t>
  </si>
  <si>
    <t>Ensayos de laboratorio de concretos y densidades, se cancela contra factura y resultado</t>
  </si>
  <si>
    <t>1.4.4</t>
  </si>
  <si>
    <t>Señalética durante el tiempo de la obra y cerramiento en Zaran</t>
  </si>
  <si>
    <t>GL</t>
  </si>
  <si>
    <t>1.4.5</t>
  </si>
  <si>
    <t>Vallas de Información con estructura metálica</t>
  </si>
  <si>
    <t>1.4.6</t>
  </si>
  <si>
    <t xml:space="preserve">Alojamiento y alimentación personal </t>
  </si>
  <si>
    <t>mes</t>
  </si>
  <si>
    <t>1.5</t>
  </si>
  <si>
    <t>Oficina Central</t>
  </si>
  <si>
    <t>1.5.1</t>
  </si>
  <si>
    <t>Gerencia</t>
  </si>
  <si>
    <t>1.5.2</t>
  </si>
  <si>
    <t>Jefe de Talento Humano</t>
  </si>
  <si>
    <t>1.5.3</t>
  </si>
  <si>
    <t>Auxiliar contabilidad</t>
  </si>
  <si>
    <t>1.5.4</t>
  </si>
  <si>
    <t>Jefe de Compras</t>
  </si>
  <si>
    <t>1.5.5</t>
  </si>
  <si>
    <t>Mensajería</t>
  </si>
  <si>
    <t>1.5.6</t>
  </si>
  <si>
    <t>Contadora</t>
  </si>
  <si>
    <t>1.5.7</t>
  </si>
  <si>
    <t>Facturación</t>
  </si>
  <si>
    <t>1.5.8</t>
  </si>
  <si>
    <t>Locativos</t>
  </si>
  <si>
    <t>TOTAL ADMINISTRACIÓN</t>
  </si>
  <si>
    <t>TOTAL    AU (%)</t>
  </si>
  <si>
    <t>Suministro e instalación de mesón en acero inoxidable 1,50 m con estufa gas 4 puestos y poceta (incluye accesorios) suministro e instalación</t>
  </si>
  <si>
    <t>Suministro,  transporte  e  instalación  de  cable  encauchetado de cobre  de 3x12AWG materiales Alimentador de acometida, se  debe  verificar  en  campo  la  medida  real,  para  efectos  de presupuesto    se   toman   10   metros.   Incluye   suministro, instalación  cables,  conectores   y  todo  lo  necesario  para  su correcta instalación y funcionamiento.</t>
  </si>
  <si>
    <t>APORTE VIVA</t>
  </si>
  <si>
    <t>APORTE MUNICIPIO</t>
  </si>
  <si>
    <t>Tecnologo en construcciones civiles</t>
  </si>
  <si>
    <t xml:space="preserve">Estampillas </t>
  </si>
  <si>
    <t>Director de obra</t>
  </si>
  <si>
    <t>1.3.1</t>
  </si>
  <si>
    <t>TOTAL DEL PROYECTO APORTES VIVA Y MUNICIPIO</t>
  </si>
  <si>
    <t>RESUMEN PRESUPUESTO MEJORAMIENTO DE VIVIENDA PARA MUJER RURAL SANTA ROSA DE OSOS</t>
  </si>
  <si>
    <t>VALOR</t>
  </si>
  <si>
    <t>Tecnologo SISO</t>
  </si>
  <si>
    <t xml:space="preserve">RECURSOS A ADMINISTRAR </t>
  </si>
  <si>
    <t xml:space="preserve">TOTAL COSTO DIRECTO TIPOLOGIA C - ACUEDUCTO + ALCANTARILLADO CON UNIDAD SANITARIA NUEVA </t>
  </si>
  <si>
    <t>VALOR TOTAL DE 84 MEJORAMIENTOS</t>
  </si>
  <si>
    <t>Suministro e instalación de mueble superior de cocina en lámina rh (incluye 4 puertas, divisorios, entrepaños y accesorios); long 1,50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</si>
</sst>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2">
    <numFmt numFmtId="44" formatCode="_-&quot;$&quot;\ * #,##0.00_-;\-&quot;$&quot;\ * #,##0.00_-;_-&quot;$&quot;\ * &quot;-&quot;??_-;_-@_-"/>
    <numFmt numFmtId="43" formatCode="_-* #,##0.00_-;\-* #,##0.00_-;_-* &quot;-&quot;??_-;_-@_-"/>
    <numFmt numFmtId="164" formatCode="\$\ #,##0"/>
    <numFmt numFmtId="165" formatCode="_-&quot;$&quot;\ * #,##0_-;\-&quot;$&quot;\ * #,##0_-;_-&quot;$&quot;\ * &quot;-&quot;??_-;_-@_-"/>
    <numFmt numFmtId="166" formatCode="0.0%"/>
    <numFmt numFmtId="167" formatCode="_(&quot;$&quot;\ * #,##0.00_);_(&quot;$&quot;\ * \(#,##0.00\);_(&quot;$&quot;\ * &quot;-&quot;??_);_(@_)"/>
    <numFmt numFmtId="168" formatCode="_-&quot;$&quot;* #,##0_-;\-&quot;$&quot;* #,##0_-;_-&quot;$&quot;* &quot;-&quot;??_-;_-@_-"/>
    <numFmt numFmtId="169" formatCode="&quot;$&quot;\ #,##0"/>
    <numFmt numFmtId="170" formatCode="_-&quot;$&quot;* #,##0.00_-;\-&quot;$&quot;* #,##0.00_-;_-&quot;$&quot;* &quot;-&quot;??_-;_-@_-"/>
    <numFmt numFmtId="171" formatCode="0.0000"/>
    <numFmt numFmtId="172" formatCode="_-[$$-240A]\ * #,##0_-;\-[$$-240A]\ * #,##0_-;_-[$$-240A]\ * &quot;-&quot;??_-;_-@_-"/>
    <numFmt numFmtId="173" formatCode="_-* #,##0.00000000000000_-;\-* #,##0.00000000000000_-;_-* &quot;-&quot;??_-;_-@_-"/>
  </numFmts>
  <fonts count="22" x14ac:knownFonts="1">
    <font>
      <sz val="10"/>
      <color rgb="FF000000"/>
      <name val="Times New Roman"/>
      <charset val="204"/>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color rgb="FF000000"/>
      <name val="Times New Roman"/>
      <family val="1"/>
    </font>
    <font>
      <sz val="11"/>
      <color rgb="FFFF0000"/>
      <name val="Calibri"/>
      <family val="2"/>
      <scheme val="minor"/>
    </font>
    <font>
      <b/>
      <sz val="11"/>
      <color theme="1"/>
      <name val="Calibri"/>
      <family val="2"/>
      <scheme val="minor"/>
    </font>
    <font>
      <sz val="10"/>
      <color rgb="FF000000"/>
      <name val="Arial"/>
      <family val="2"/>
    </font>
    <font>
      <b/>
      <sz val="10"/>
      <name val="Arial"/>
      <family val="2"/>
    </font>
    <font>
      <sz val="10"/>
      <name val="Arial"/>
      <family val="2"/>
    </font>
    <font>
      <b/>
      <sz val="9"/>
      <name val="Arial"/>
      <family val="2"/>
    </font>
    <font>
      <sz val="9"/>
      <color rgb="FF000000"/>
      <name val="Arial"/>
      <family val="2"/>
    </font>
    <font>
      <sz val="9"/>
      <name val="Arial"/>
      <family val="2"/>
    </font>
    <font>
      <b/>
      <sz val="9"/>
      <color theme="1"/>
      <name val="Arial"/>
      <family val="2"/>
    </font>
    <font>
      <b/>
      <sz val="9"/>
      <color rgb="FF000000"/>
      <name val="Arial"/>
      <family val="2"/>
    </font>
    <font>
      <b/>
      <sz val="10"/>
      <color rgb="FF000000"/>
      <name val="Arial"/>
      <family val="2"/>
    </font>
    <font>
      <sz val="10"/>
      <color rgb="FF000000"/>
      <name val="Times New Roman"/>
      <family val="1"/>
    </font>
    <font>
      <sz val="8"/>
      <name val="Times New Roman"/>
      <family val="1"/>
    </font>
    <font>
      <b/>
      <sz val="11"/>
      <name val="Arial"/>
      <family val="2"/>
    </font>
    <font>
      <sz val="9"/>
      <color theme="1"/>
      <name val="Arial"/>
      <family val="2"/>
    </font>
  </fonts>
  <fills count="7">
    <fill>
      <patternFill patternType="none"/>
    </fill>
    <fill>
      <patternFill patternType="gray125"/>
    </fill>
    <fill>
      <patternFill patternType="solid">
        <fgColor theme="0" tint="-0.14999847407452621"/>
        <bgColor indexed="64"/>
      </patternFill>
    </fill>
    <fill>
      <patternFill patternType="solid">
        <fgColor theme="6" tint="0.79998168889431442"/>
        <bgColor indexed="64"/>
      </patternFill>
    </fill>
    <fill>
      <patternFill patternType="solid">
        <fgColor theme="4" tint="0.79998168889431442"/>
        <bgColor indexed="64"/>
      </patternFill>
    </fill>
    <fill>
      <patternFill patternType="solid">
        <fgColor theme="2"/>
        <bgColor indexed="64"/>
      </patternFill>
    </fill>
    <fill>
      <patternFill patternType="solid">
        <fgColor theme="0" tint="-4.9989318521683403E-2"/>
        <bgColor indexed="64"/>
      </patternFill>
    </fill>
  </fills>
  <borders count="29">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rgb="FF000000"/>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diagonal/>
    </border>
    <border>
      <left/>
      <right style="medium">
        <color indexed="64"/>
      </right>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9">
    <xf numFmtId="0" fontId="0" fillId="0" borderId="0"/>
    <xf numFmtId="44" fontId="6" fillId="0" borderId="0" applyFont="0" applyFill="0" applyBorder="0" applyAlignment="0" applyProtection="0"/>
    <xf numFmtId="0" fontId="5" fillId="0" borderId="0"/>
    <xf numFmtId="0" fontId="18" fillId="0" borderId="0"/>
    <xf numFmtId="167" fontId="18" fillId="0" borderId="0" applyFont="0" applyFill="0" applyBorder="0" applyAlignment="0" applyProtection="0"/>
    <xf numFmtId="0" fontId="3" fillId="0" borderId="0"/>
    <xf numFmtId="43" fontId="3" fillId="0" borderId="0" applyFont="0" applyFill="0" applyBorder="0" applyAlignment="0" applyProtection="0"/>
    <xf numFmtId="9" fontId="3" fillId="0" borderId="0" applyFont="0" applyFill="0" applyBorder="0" applyAlignment="0" applyProtection="0"/>
    <xf numFmtId="43" fontId="6" fillId="0" borderId="0" applyFont="0" applyFill="0" applyBorder="0" applyAlignment="0" applyProtection="0"/>
  </cellStyleXfs>
  <cellXfs count="222">
    <xf numFmtId="0" fontId="0" fillId="0" borderId="0" xfId="0" applyAlignment="1">
      <alignment horizontal="left" vertical="top"/>
    </xf>
    <xf numFmtId="0" fontId="11" fillId="0" borderId="1" xfId="0" applyFont="1" applyBorder="1" applyAlignment="1">
      <alignment horizontal="center" vertical="center" wrapText="1"/>
    </xf>
    <xf numFmtId="0" fontId="14" fillId="0" borderId="1" xfId="0" applyFont="1" applyBorder="1" applyAlignment="1">
      <alignment horizontal="center" vertical="top" wrapText="1"/>
    </xf>
    <xf numFmtId="0" fontId="14" fillId="0" borderId="1" xfId="0" applyFont="1" applyBorder="1" applyAlignment="1">
      <alignment horizontal="center" vertical="center" wrapText="1"/>
    </xf>
    <xf numFmtId="0" fontId="13" fillId="0" borderId="1" xfId="0" applyFont="1" applyBorder="1" applyAlignment="1">
      <alignment horizontal="left" vertical="top" wrapText="1"/>
    </xf>
    <xf numFmtId="2" fontId="13" fillId="0" borderId="1" xfId="0" applyNumberFormat="1" applyFont="1" applyBorder="1" applyAlignment="1">
      <alignment horizontal="center" vertical="center" shrinkToFit="1"/>
    </xf>
    <xf numFmtId="0" fontId="14" fillId="0" borderId="1" xfId="0" applyFont="1" applyBorder="1" applyAlignment="1">
      <alignment horizontal="left" vertical="top" wrapText="1"/>
    </xf>
    <xf numFmtId="0" fontId="14" fillId="0" borderId="1" xfId="0" applyFont="1" applyBorder="1" applyAlignment="1">
      <alignment vertical="center" wrapText="1"/>
    </xf>
    <xf numFmtId="0" fontId="12" fillId="0" borderId="1" xfId="0" applyFont="1" applyBorder="1" applyAlignment="1">
      <alignment horizontal="center" vertical="center" wrapText="1"/>
    </xf>
    <xf numFmtId="0" fontId="14" fillId="2" borderId="1" xfId="0" applyFont="1" applyFill="1" applyBorder="1" applyAlignment="1">
      <alignment horizontal="center" vertical="top" wrapText="1"/>
    </xf>
    <xf numFmtId="0" fontId="12" fillId="2" borderId="1" xfId="0" applyFont="1" applyFill="1" applyBorder="1" applyAlignment="1">
      <alignment horizontal="left" vertical="top" wrapText="1"/>
    </xf>
    <xf numFmtId="0" fontId="15" fillId="2" borderId="1" xfId="0" applyFont="1" applyFill="1" applyBorder="1" applyAlignment="1">
      <alignment horizontal="left" vertical="top" wrapText="1"/>
    </xf>
    <xf numFmtId="0" fontId="12" fillId="0" borderId="6" xfId="0" applyFont="1" applyBorder="1" applyAlignment="1">
      <alignment horizontal="center" vertical="center" wrapText="1"/>
    </xf>
    <xf numFmtId="0" fontId="13" fillId="0" borderId="1" xfId="0" applyFont="1" applyBorder="1" applyAlignment="1">
      <alignment horizontal="center" vertical="center" wrapText="1"/>
    </xf>
    <xf numFmtId="0" fontId="13" fillId="2" borderId="1" xfId="0" applyFont="1" applyFill="1" applyBorder="1" applyAlignment="1">
      <alignment horizontal="center" vertical="center" wrapText="1"/>
    </xf>
    <xf numFmtId="0" fontId="12" fillId="2" borderId="1" xfId="0" applyFont="1" applyFill="1" applyBorder="1" applyAlignment="1">
      <alignment horizontal="center" vertical="top" wrapText="1"/>
    </xf>
    <xf numFmtId="0" fontId="12" fillId="2" borderId="4" xfId="0" applyFont="1" applyFill="1" applyBorder="1" applyAlignment="1">
      <alignment horizontal="center" vertical="top" wrapText="1"/>
    </xf>
    <xf numFmtId="0" fontId="12" fillId="0" borderId="6" xfId="0" applyFont="1" applyBorder="1" applyAlignment="1">
      <alignment vertical="center" wrapText="1"/>
    </xf>
    <xf numFmtId="164" fontId="12" fillId="2" borderId="5" xfId="0" applyNumberFormat="1" applyFont="1" applyFill="1" applyBorder="1" applyAlignment="1">
      <alignment vertical="center" wrapText="1"/>
    </xf>
    <xf numFmtId="164" fontId="13" fillId="2" borderId="1" xfId="0" applyNumberFormat="1" applyFont="1" applyFill="1" applyBorder="1" applyAlignment="1">
      <alignment vertical="center" shrinkToFit="1"/>
    </xf>
    <xf numFmtId="0" fontId="13" fillId="2" borderId="1" xfId="0" applyFont="1" applyFill="1" applyBorder="1" applyAlignment="1">
      <alignment vertical="center" wrapText="1"/>
    </xf>
    <xf numFmtId="164" fontId="16" fillId="2" borderId="7" xfId="0" applyNumberFormat="1" applyFont="1" applyFill="1" applyBorder="1" applyAlignment="1">
      <alignment vertical="center" wrapText="1"/>
    </xf>
    <xf numFmtId="2" fontId="13" fillId="0" borderId="1" xfId="0" applyNumberFormat="1" applyFont="1" applyBorder="1" applyAlignment="1">
      <alignment vertical="center" shrinkToFit="1"/>
    </xf>
    <xf numFmtId="164" fontId="13" fillId="0" borderId="1" xfId="0" applyNumberFormat="1" applyFont="1" applyBorder="1" applyAlignment="1">
      <alignment vertical="center" shrinkToFit="1"/>
    </xf>
    <xf numFmtId="164" fontId="16" fillId="2" borderId="1" xfId="0" applyNumberFormat="1" applyFont="1" applyFill="1" applyBorder="1" applyAlignment="1">
      <alignment vertical="center" wrapText="1"/>
    </xf>
    <xf numFmtId="164" fontId="13" fillId="0" borderId="6" xfId="0" applyNumberFormat="1" applyFont="1" applyBorder="1" applyAlignment="1">
      <alignment vertical="center" shrinkToFit="1"/>
    </xf>
    <xf numFmtId="0" fontId="16" fillId="2" borderId="1" xfId="0" applyFont="1" applyFill="1" applyBorder="1" applyAlignment="1">
      <alignment vertical="center" wrapText="1"/>
    </xf>
    <xf numFmtId="164" fontId="16" fillId="2" borderId="1" xfId="0" applyNumberFormat="1" applyFont="1" applyFill="1" applyBorder="1" applyAlignment="1">
      <alignment vertical="center" shrinkToFit="1"/>
    </xf>
    <xf numFmtId="0" fontId="0" fillId="0" borderId="0" xfId="0" applyAlignment="1">
      <alignment vertical="center"/>
    </xf>
    <xf numFmtId="164" fontId="0" fillId="0" borderId="0" xfId="0" applyNumberFormat="1" applyAlignment="1">
      <alignment horizontal="left" vertical="top"/>
    </xf>
    <xf numFmtId="164" fontId="12" fillId="2" borderId="1" xfId="0" applyNumberFormat="1" applyFont="1" applyFill="1" applyBorder="1" applyAlignment="1">
      <alignment vertical="center" wrapText="1"/>
    </xf>
    <xf numFmtId="164" fontId="14" fillId="0" borderId="1" xfId="0" applyNumberFormat="1" applyFont="1" applyBorder="1" applyAlignment="1">
      <alignment vertical="center" shrinkToFit="1"/>
    </xf>
    <xf numFmtId="0" fontId="14" fillId="0" borderId="6" xfId="0" applyFont="1" applyBorder="1" applyAlignment="1">
      <alignment horizontal="center" vertical="top" wrapText="1"/>
    </xf>
    <xf numFmtId="0" fontId="14" fillId="0" borderId="6" xfId="0" applyFont="1" applyBorder="1" applyAlignment="1">
      <alignment horizontal="left" vertical="top" wrapText="1"/>
    </xf>
    <xf numFmtId="0" fontId="14" fillId="0" borderId="6" xfId="0" applyFont="1" applyBorder="1" applyAlignment="1">
      <alignment vertical="center" wrapText="1"/>
    </xf>
    <xf numFmtId="2" fontId="13" fillId="0" borderId="6" xfId="0" applyNumberFormat="1" applyFont="1" applyBorder="1" applyAlignment="1">
      <alignment vertical="center" shrinkToFit="1"/>
    </xf>
    <xf numFmtId="164" fontId="12" fillId="2" borderId="5" xfId="0" applyNumberFormat="1" applyFont="1" applyFill="1" applyBorder="1" applyAlignment="1">
      <alignment vertical="top" wrapText="1"/>
    </xf>
    <xf numFmtId="0" fontId="13" fillId="0" borderId="7" xfId="0" applyFont="1" applyBorder="1" applyAlignment="1">
      <alignment horizontal="left" vertical="center" wrapText="1"/>
    </xf>
    <xf numFmtId="0" fontId="13" fillId="0" borderId="7" xfId="0" applyFont="1" applyBorder="1" applyAlignment="1">
      <alignment vertical="center" wrapText="1"/>
    </xf>
    <xf numFmtId="165" fontId="16" fillId="2" borderId="1" xfId="0" applyNumberFormat="1" applyFont="1" applyFill="1" applyBorder="1" applyAlignment="1">
      <alignment vertical="center" wrapText="1"/>
    </xf>
    <xf numFmtId="165" fontId="0" fillId="0" borderId="0" xfId="0" applyNumberFormat="1" applyAlignment="1">
      <alignment horizontal="center" vertical="center"/>
    </xf>
    <xf numFmtId="0" fontId="0" fillId="0" borderId="0" xfId="0" applyAlignment="1">
      <alignment horizontal="center" vertical="center"/>
    </xf>
    <xf numFmtId="0" fontId="11" fillId="0" borderId="6" xfId="0" applyFont="1" applyBorder="1" applyAlignment="1">
      <alignment horizontal="center" vertical="center" wrapText="1"/>
    </xf>
    <xf numFmtId="0" fontId="11" fillId="2" borderId="1"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11" fillId="2" borderId="7" xfId="0" applyFont="1" applyFill="1" applyBorder="1" applyAlignment="1">
      <alignment horizontal="center" vertical="center" wrapText="1"/>
    </xf>
    <xf numFmtId="0" fontId="10" fillId="2" borderId="7" xfId="0" applyFont="1" applyFill="1" applyBorder="1" applyAlignment="1">
      <alignment horizontal="center" vertical="center" wrapText="1"/>
    </xf>
    <xf numFmtId="0" fontId="10" fillId="2" borderId="7" xfId="0" applyFont="1" applyFill="1" applyBorder="1" applyAlignment="1">
      <alignment vertical="center" wrapText="1"/>
    </xf>
    <xf numFmtId="0" fontId="9" fillId="2" borderId="7" xfId="0" applyFont="1" applyFill="1" applyBorder="1" applyAlignment="1">
      <alignment vertical="center" wrapText="1"/>
    </xf>
    <xf numFmtId="0" fontId="9" fillId="2" borderId="1" xfId="0" applyFont="1" applyFill="1" applyBorder="1" applyAlignment="1">
      <alignment vertical="center" wrapText="1"/>
    </xf>
    <xf numFmtId="0" fontId="11" fillId="0" borderId="1" xfId="0" applyFont="1" applyBorder="1" applyAlignment="1">
      <alignment vertical="center" wrapText="1"/>
    </xf>
    <xf numFmtId="0" fontId="9" fillId="0" borderId="1" xfId="0" applyFont="1" applyBorder="1" applyAlignment="1">
      <alignment vertical="center" wrapText="1"/>
    </xf>
    <xf numFmtId="2" fontId="9" fillId="0" borderId="1" xfId="0" applyNumberFormat="1" applyFont="1" applyBorder="1" applyAlignment="1">
      <alignment vertical="center" shrinkToFit="1"/>
    </xf>
    <xf numFmtId="164" fontId="9" fillId="0" borderId="1" xfId="0" applyNumberFormat="1" applyFont="1" applyBorder="1" applyAlignment="1">
      <alignment vertical="center" shrinkToFit="1"/>
    </xf>
    <xf numFmtId="0" fontId="10" fillId="2" borderId="1" xfId="0" applyFont="1" applyFill="1" applyBorder="1" applyAlignment="1">
      <alignment vertical="center" wrapText="1"/>
    </xf>
    <xf numFmtId="0" fontId="17" fillId="2" borderId="1" xfId="0" applyFont="1" applyFill="1" applyBorder="1" applyAlignment="1">
      <alignment vertical="center" wrapText="1"/>
    </xf>
    <xf numFmtId="164" fontId="9" fillId="0" borderId="6" xfId="0" applyNumberFormat="1" applyFont="1" applyBorder="1" applyAlignment="1">
      <alignment vertical="center" shrinkToFit="1"/>
    </xf>
    <xf numFmtId="0" fontId="11" fillId="0" borderId="6" xfId="0" applyFont="1" applyBorder="1" applyAlignment="1">
      <alignment vertical="center" wrapText="1"/>
    </xf>
    <xf numFmtId="2" fontId="9" fillId="0" borderId="8" xfId="0" applyNumberFormat="1" applyFont="1" applyBorder="1" applyAlignment="1">
      <alignment vertical="center" shrinkToFit="1"/>
    </xf>
    <xf numFmtId="164" fontId="9" fillId="0" borderId="5" xfId="0" applyNumberFormat="1" applyFont="1" applyBorder="1" applyAlignment="1">
      <alignment vertical="center" shrinkToFit="1"/>
    </xf>
    <xf numFmtId="164" fontId="9" fillId="0" borderId="4" xfId="0" applyNumberFormat="1" applyFont="1" applyBorder="1" applyAlignment="1">
      <alignment vertical="center" shrinkToFit="1"/>
    </xf>
    <xf numFmtId="0" fontId="9" fillId="0" borderId="6" xfId="0" applyFont="1" applyBorder="1" applyAlignment="1">
      <alignment vertical="center" wrapText="1"/>
    </xf>
    <xf numFmtId="164" fontId="9" fillId="0" borderId="7" xfId="0" applyNumberFormat="1" applyFont="1" applyBorder="1" applyAlignment="1">
      <alignment vertical="center" shrinkToFit="1"/>
    </xf>
    <xf numFmtId="2" fontId="9" fillId="0" borderId="6" xfId="0" applyNumberFormat="1" applyFont="1" applyBorder="1" applyAlignment="1">
      <alignment vertical="center" shrinkToFit="1"/>
    </xf>
    <xf numFmtId="164" fontId="17" fillId="2" borderId="7" xfId="0" applyNumberFormat="1" applyFont="1" applyFill="1" applyBorder="1" applyAlignment="1">
      <alignment vertical="center" wrapText="1"/>
    </xf>
    <xf numFmtId="164" fontId="17" fillId="2" borderId="1" xfId="0" applyNumberFormat="1" applyFont="1" applyFill="1" applyBorder="1" applyAlignment="1">
      <alignment vertical="center" wrapText="1"/>
    </xf>
    <xf numFmtId="0" fontId="17" fillId="2" borderId="7" xfId="0" applyFont="1" applyFill="1" applyBorder="1" applyAlignment="1">
      <alignment vertical="center" wrapText="1"/>
    </xf>
    <xf numFmtId="164" fontId="10" fillId="2" borderId="5" xfId="0" applyNumberFormat="1" applyFont="1" applyFill="1" applyBorder="1" applyAlignment="1">
      <alignment vertical="center" wrapText="1"/>
    </xf>
    <xf numFmtId="164" fontId="10" fillId="3" borderId="5" xfId="0" applyNumberFormat="1" applyFont="1" applyFill="1" applyBorder="1" applyAlignment="1">
      <alignment vertical="center" wrapText="1"/>
    </xf>
    <xf numFmtId="0" fontId="5" fillId="0" borderId="0" xfId="2"/>
    <xf numFmtId="0" fontId="5" fillId="0" borderId="5" xfId="2" applyBorder="1" applyAlignment="1">
      <alignment horizontal="center"/>
    </xf>
    <xf numFmtId="165" fontId="5" fillId="0" borderId="5" xfId="2" applyNumberFormat="1" applyBorder="1" applyAlignment="1">
      <alignment horizontal="center" vertical="center"/>
    </xf>
    <xf numFmtId="165" fontId="8" fillId="0" borderId="5" xfId="2" applyNumberFormat="1" applyFont="1" applyBorder="1" applyAlignment="1">
      <alignment horizontal="center" vertical="center"/>
    </xf>
    <xf numFmtId="9" fontId="5" fillId="0" borderId="5" xfId="2" applyNumberFormat="1" applyBorder="1" applyAlignment="1">
      <alignment horizontal="center" vertical="center"/>
    </xf>
    <xf numFmtId="0" fontId="7" fillId="0" borderId="0" xfId="2" applyFont="1" applyAlignment="1">
      <alignment horizontal="center" vertical="center"/>
    </xf>
    <xf numFmtId="0" fontId="8" fillId="0" borderId="5" xfId="2" applyFont="1" applyBorder="1" applyAlignment="1">
      <alignment horizontal="center"/>
    </xf>
    <xf numFmtId="0" fontId="5" fillId="0" borderId="5" xfId="2" applyBorder="1"/>
    <xf numFmtId="165" fontId="7" fillId="0" borderId="0" xfId="2" applyNumberFormat="1" applyFont="1" applyAlignment="1">
      <alignment horizontal="center" vertical="center"/>
    </xf>
    <xf numFmtId="9" fontId="5" fillId="0" borderId="5" xfId="2" applyNumberFormat="1" applyBorder="1" applyAlignment="1">
      <alignment horizontal="center"/>
    </xf>
    <xf numFmtId="165" fontId="5" fillId="0" borderId="5" xfId="2" applyNumberFormat="1" applyBorder="1"/>
    <xf numFmtId="165" fontId="5" fillId="0" borderId="0" xfId="1" applyNumberFormat="1" applyFont="1"/>
    <xf numFmtId="165" fontId="5" fillId="0" borderId="0" xfId="2" applyNumberFormat="1"/>
    <xf numFmtId="0" fontId="5" fillId="0" borderId="5" xfId="2" applyBorder="1" applyAlignment="1">
      <alignment horizontal="center" vertical="center"/>
    </xf>
    <xf numFmtId="0" fontId="5" fillId="0" borderId="5" xfId="2" applyBorder="1" applyAlignment="1">
      <alignment horizontal="center" vertical="center" wrapText="1"/>
    </xf>
    <xf numFmtId="0" fontId="18" fillId="0" borderId="0" xfId="0" applyFont="1" applyAlignment="1">
      <alignment horizontal="left" vertical="top"/>
    </xf>
    <xf numFmtId="0" fontId="13" fillId="0" borderId="7" xfId="0" applyFont="1" applyBorder="1" applyAlignment="1">
      <alignment horizontal="center" vertical="center" wrapText="1"/>
    </xf>
    <xf numFmtId="0" fontId="16" fillId="2" borderId="1" xfId="0" applyFont="1" applyFill="1" applyBorder="1" applyAlignment="1">
      <alignment horizontal="center" vertical="center" wrapText="1"/>
    </xf>
    <xf numFmtId="165" fontId="13" fillId="0" borderId="1" xfId="1" applyNumberFormat="1" applyFont="1" applyFill="1" applyBorder="1" applyAlignment="1">
      <alignment vertical="center" wrapText="1"/>
    </xf>
    <xf numFmtId="164" fontId="13" fillId="0" borderId="7" xfId="0" applyNumberFormat="1" applyFont="1" applyBorder="1" applyAlignment="1">
      <alignment vertical="center" wrapText="1"/>
    </xf>
    <xf numFmtId="0" fontId="14" fillId="2" borderId="1" xfId="0" applyFont="1" applyFill="1" applyBorder="1" applyAlignment="1">
      <alignment horizontal="center" vertical="center" wrapText="1"/>
    </xf>
    <xf numFmtId="2" fontId="13" fillId="2" borderId="1" xfId="0" applyNumberFormat="1" applyFont="1" applyFill="1" applyBorder="1" applyAlignment="1">
      <alignment horizontal="center" vertical="center" shrinkToFit="1"/>
    </xf>
    <xf numFmtId="0" fontId="8" fillId="4" borderId="5" xfId="2" applyFont="1" applyFill="1" applyBorder="1" applyAlignment="1">
      <alignment horizontal="center" vertical="center" wrapText="1"/>
    </xf>
    <xf numFmtId="0" fontId="4" fillId="0" borderId="5" xfId="2" applyFont="1" applyBorder="1" applyAlignment="1">
      <alignment horizontal="center" wrapText="1"/>
    </xf>
    <xf numFmtId="0" fontId="4" fillId="0" borderId="5" xfId="2" applyFont="1" applyBorder="1" applyAlignment="1">
      <alignment horizontal="center" vertical="center"/>
    </xf>
    <xf numFmtId="0" fontId="8" fillId="2" borderId="5" xfId="2" applyFont="1" applyFill="1" applyBorder="1" applyAlignment="1">
      <alignment horizontal="center" vertical="center"/>
    </xf>
    <xf numFmtId="0" fontId="5" fillId="2" borderId="5" xfId="2" applyFill="1" applyBorder="1"/>
    <xf numFmtId="165" fontId="8" fillId="2" borderId="5" xfId="2" applyNumberFormat="1" applyFont="1" applyFill="1" applyBorder="1" applyAlignment="1">
      <alignment horizontal="center" vertical="center"/>
    </xf>
    <xf numFmtId="0" fontId="8" fillId="2" borderId="5" xfId="2" applyFont="1" applyFill="1" applyBorder="1" applyAlignment="1">
      <alignment horizontal="center"/>
    </xf>
    <xf numFmtId="0" fontId="8" fillId="2" borderId="5" xfId="2" applyFont="1" applyFill="1" applyBorder="1"/>
    <xf numFmtId="165" fontId="8" fillId="2" borderId="5" xfId="2" applyNumberFormat="1" applyFont="1" applyFill="1" applyBorder="1"/>
    <xf numFmtId="2" fontId="13" fillId="0" borderId="1" xfId="0" applyNumberFormat="1" applyFont="1" applyBorder="1" applyAlignment="1">
      <alignment horizontal="center" vertical="center" wrapText="1"/>
    </xf>
    <xf numFmtId="10" fontId="5" fillId="0" borderId="5" xfId="2" applyNumberFormat="1" applyBorder="1" applyAlignment="1">
      <alignment horizontal="center" vertical="center"/>
    </xf>
    <xf numFmtId="0" fontId="15" fillId="0" borderId="18" xfId="3" applyFont="1" applyBorder="1" applyAlignment="1">
      <alignment horizontal="center" vertical="center"/>
    </xf>
    <xf numFmtId="0" fontId="15" fillId="0" borderId="0" xfId="3" applyFont="1" applyAlignment="1">
      <alignment horizontal="justify" vertical="center"/>
    </xf>
    <xf numFmtId="0" fontId="15" fillId="0" borderId="0" xfId="3" applyFont="1" applyAlignment="1">
      <alignment horizontal="center" vertical="center"/>
    </xf>
    <xf numFmtId="168" fontId="15" fillId="0" borderId="0" xfId="4" applyNumberFormat="1" applyFont="1" applyBorder="1" applyAlignment="1">
      <alignment horizontal="center" vertical="center"/>
    </xf>
    <xf numFmtId="0" fontId="15" fillId="0" borderId="19" xfId="3" applyFont="1" applyBorder="1" applyAlignment="1">
      <alignment horizontal="center" vertical="center" wrapText="1"/>
    </xf>
    <xf numFmtId="0" fontId="21" fillId="0" borderId="18" xfId="3" applyFont="1" applyBorder="1" applyAlignment="1">
      <alignment vertical="center"/>
    </xf>
    <xf numFmtId="169" fontId="15" fillId="0" borderId="21" xfId="4" applyNumberFormat="1" applyFont="1" applyFill="1" applyBorder="1" applyAlignment="1">
      <alignment vertical="center"/>
    </xf>
    <xf numFmtId="43" fontId="21" fillId="0" borderId="0" xfId="3" applyNumberFormat="1" applyFont="1" applyAlignment="1">
      <alignment vertical="center"/>
    </xf>
    <xf numFmtId="168" fontId="21" fillId="0" borderId="0" xfId="4" applyNumberFormat="1" applyFont="1" applyBorder="1" applyAlignment="1">
      <alignment vertical="center"/>
    </xf>
    <xf numFmtId="0" fontId="21" fillId="0" borderId="19" xfId="3" applyFont="1" applyBorder="1" applyAlignment="1">
      <alignment vertical="center" wrapText="1"/>
    </xf>
    <xf numFmtId="169" fontId="15" fillId="0" borderId="17" xfId="4" applyNumberFormat="1" applyFont="1" applyFill="1" applyBorder="1" applyAlignment="1">
      <alignment vertical="center"/>
    </xf>
    <xf numFmtId="0" fontId="21" fillId="0" borderId="0" xfId="3" applyFont="1" applyAlignment="1">
      <alignment horizontal="justify" vertical="center"/>
    </xf>
    <xf numFmtId="0" fontId="21" fillId="0" borderId="0" xfId="3" applyFont="1" applyAlignment="1">
      <alignment horizontal="center" vertical="center"/>
    </xf>
    <xf numFmtId="0" fontId="21" fillId="0" borderId="0" xfId="3" applyFont="1" applyAlignment="1">
      <alignment vertical="center"/>
    </xf>
    <xf numFmtId="170" fontId="15" fillId="0" borderId="0" xfId="4" applyNumberFormat="1" applyFont="1" applyBorder="1" applyAlignment="1">
      <alignment vertical="center"/>
    </xf>
    <xf numFmtId="0" fontId="15" fillId="5" borderId="25" xfId="3" applyFont="1" applyFill="1" applyBorder="1" applyAlignment="1">
      <alignment horizontal="center" vertical="center"/>
    </xf>
    <xf numFmtId="0" fontId="21" fillId="5" borderId="5" xfId="3" applyFont="1" applyFill="1" applyBorder="1" applyAlignment="1">
      <alignment horizontal="center" vertical="center"/>
    </xf>
    <xf numFmtId="0" fontId="21" fillId="5" borderId="5" xfId="3" applyFont="1" applyFill="1" applyBorder="1" applyAlignment="1">
      <alignment vertical="center"/>
    </xf>
    <xf numFmtId="169" fontId="15" fillId="5" borderId="5" xfId="4" applyNumberFormat="1" applyFont="1" applyFill="1" applyBorder="1" applyAlignment="1">
      <alignment vertical="center"/>
    </xf>
    <xf numFmtId="0" fontId="21" fillId="0" borderId="25" xfId="3" applyFont="1" applyBorder="1" applyAlignment="1">
      <alignment vertical="center"/>
    </xf>
    <xf numFmtId="0" fontId="21" fillId="0" borderId="5" xfId="3" applyFont="1" applyBorder="1" applyAlignment="1">
      <alignment horizontal="justify" vertical="center"/>
    </xf>
    <xf numFmtId="0" fontId="21" fillId="0" borderId="5" xfId="3" applyFont="1" applyBorder="1" applyAlignment="1">
      <alignment horizontal="center" vertical="center"/>
    </xf>
    <xf numFmtId="0" fontId="21" fillId="0" borderId="5" xfId="3" applyFont="1" applyBorder="1" applyAlignment="1">
      <alignment vertical="center"/>
    </xf>
    <xf numFmtId="169" fontId="21" fillId="0" borderId="5" xfId="4" applyNumberFormat="1" applyFont="1" applyFill="1" applyBorder="1" applyAlignment="1">
      <alignment vertical="center"/>
    </xf>
    <xf numFmtId="0" fontId="15" fillId="5" borderId="5" xfId="3" applyFont="1" applyFill="1" applyBorder="1" applyAlignment="1">
      <alignment horizontal="justify" vertical="center"/>
    </xf>
    <xf numFmtId="0" fontId="21" fillId="0" borderId="25" xfId="3" applyFont="1" applyBorder="1" applyAlignment="1">
      <alignment horizontal="center" vertical="center"/>
    </xf>
    <xf numFmtId="169" fontId="21" fillId="0" borderId="5" xfId="4" applyNumberFormat="1" applyFont="1" applyBorder="1" applyAlignment="1">
      <alignment vertical="center"/>
    </xf>
    <xf numFmtId="171" fontId="21" fillId="0" borderId="5" xfId="3" applyNumberFormat="1" applyFont="1" applyBorder="1" applyAlignment="1">
      <alignment horizontal="center" vertical="center"/>
    </xf>
    <xf numFmtId="169" fontId="21" fillId="0" borderId="5" xfId="3" applyNumberFormat="1" applyFont="1" applyBorder="1" applyAlignment="1">
      <alignment vertical="center"/>
    </xf>
    <xf numFmtId="0" fontId="21" fillId="0" borderId="5" xfId="3" applyFont="1" applyBorder="1" applyAlignment="1">
      <alignment horizontal="justify" vertical="center" wrapText="1"/>
    </xf>
    <xf numFmtId="169" fontId="21" fillId="0" borderId="5" xfId="4" applyNumberFormat="1" applyFont="1" applyFill="1" applyBorder="1" applyAlignment="1">
      <alignment horizontal="center" vertical="center"/>
    </xf>
    <xf numFmtId="169" fontId="21" fillId="0" borderId="5" xfId="4" applyNumberFormat="1" applyFont="1" applyBorder="1" applyAlignment="1">
      <alignment horizontal="center" vertical="center"/>
    </xf>
    <xf numFmtId="168" fontId="21" fillId="0" borderId="5" xfId="4" applyNumberFormat="1" applyFont="1" applyFill="1" applyBorder="1" applyAlignment="1">
      <alignment horizontal="center" vertical="center"/>
    </xf>
    <xf numFmtId="172" fontId="21" fillId="0" borderId="5" xfId="4" applyNumberFormat="1" applyFont="1" applyFill="1" applyBorder="1" applyAlignment="1">
      <alignment horizontal="center" vertical="center"/>
    </xf>
    <xf numFmtId="168" fontId="21" fillId="0" borderId="5" xfId="4" applyNumberFormat="1" applyFont="1" applyBorder="1" applyAlignment="1">
      <alignment horizontal="center" vertical="center"/>
    </xf>
    <xf numFmtId="166" fontId="5" fillId="0" borderId="5" xfId="2" applyNumberFormat="1" applyBorder="1" applyAlignment="1">
      <alignment horizontal="center" vertical="center"/>
    </xf>
    <xf numFmtId="0" fontId="3" fillId="0" borderId="0" xfId="5"/>
    <xf numFmtId="43" fontId="21" fillId="0" borderId="0" xfId="6" applyFont="1" applyAlignment="1">
      <alignment vertical="center"/>
    </xf>
    <xf numFmtId="166" fontId="21" fillId="0" borderId="5" xfId="7" applyNumberFormat="1" applyFont="1" applyFill="1" applyBorder="1" applyAlignment="1">
      <alignment horizontal="center" vertical="center"/>
    </xf>
    <xf numFmtId="10" fontId="21" fillId="0" borderId="26" xfId="7" applyNumberFormat="1" applyFont="1" applyFill="1" applyBorder="1" applyAlignment="1">
      <alignment horizontal="center" vertical="center" wrapText="1"/>
    </xf>
    <xf numFmtId="10" fontId="21" fillId="0" borderId="5" xfId="7" applyNumberFormat="1" applyFont="1" applyFill="1" applyBorder="1" applyAlignment="1">
      <alignment horizontal="center" vertical="center"/>
    </xf>
    <xf numFmtId="166" fontId="21" fillId="0" borderId="26" xfId="7" applyNumberFormat="1" applyFont="1" applyFill="1" applyBorder="1" applyAlignment="1">
      <alignment horizontal="center" vertical="center" wrapText="1"/>
    </xf>
    <xf numFmtId="10" fontId="15" fillId="5" borderId="26" xfId="7" applyNumberFormat="1" applyFont="1" applyFill="1" applyBorder="1" applyAlignment="1">
      <alignment horizontal="center" vertical="center" wrapText="1"/>
    </xf>
    <xf numFmtId="166" fontId="21" fillId="0" borderId="26" xfId="7" applyNumberFormat="1" applyFont="1" applyBorder="1" applyAlignment="1">
      <alignment horizontal="center" vertical="center" wrapText="1"/>
    </xf>
    <xf numFmtId="9" fontId="21" fillId="0" borderId="5" xfId="7" applyFont="1" applyFill="1" applyBorder="1" applyAlignment="1">
      <alignment horizontal="center" vertical="center"/>
    </xf>
    <xf numFmtId="10" fontId="21" fillId="0" borderId="26" xfId="7" applyNumberFormat="1" applyFont="1" applyBorder="1" applyAlignment="1">
      <alignment horizontal="center" vertical="center" wrapText="1"/>
    </xf>
    <xf numFmtId="0" fontId="15" fillId="6" borderId="15" xfId="3" applyFont="1" applyFill="1" applyBorder="1" applyAlignment="1">
      <alignment horizontal="center" vertical="center"/>
    </xf>
    <xf numFmtId="0" fontId="15" fillId="6" borderId="16" xfId="3" applyFont="1" applyFill="1" applyBorder="1" applyAlignment="1">
      <alignment horizontal="justify" vertical="center"/>
    </xf>
    <xf numFmtId="0" fontId="15" fillId="6" borderId="16" xfId="3" applyFont="1" applyFill="1" applyBorder="1" applyAlignment="1">
      <alignment horizontal="center" vertical="center"/>
    </xf>
    <xf numFmtId="168" fontId="15" fillId="6" borderId="16" xfId="4" applyNumberFormat="1" applyFont="1" applyFill="1" applyBorder="1" applyAlignment="1">
      <alignment horizontal="center" vertical="center"/>
    </xf>
    <xf numFmtId="0" fontId="15" fillId="6" borderId="17" xfId="3" applyFont="1" applyFill="1" applyBorder="1" applyAlignment="1">
      <alignment horizontal="center" vertical="center" wrapText="1"/>
    </xf>
    <xf numFmtId="0" fontId="15" fillId="6" borderId="25" xfId="3" applyFont="1" applyFill="1" applyBorder="1" applyAlignment="1">
      <alignment horizontal="center" vertical="center"/>
    </xf>
    <xf numFmtId="0" fontId="15" fillId="6" borderId="5" xfId="3" applyFont="1" applyFill="1" applyBorder="1" applyAlignment="1">
      <alignment horizontal="justify" vertical="center" wrapText="1"/>
    </xf>
    <xf numFmtId="0" fontId="21" fillId="6" borderId="5" xfId="3" applyFont="1" applyFill="1" applyBorder="1" applyAlignment="1">
      <alignment horizontal="center" vertical="center"/>
    </xf>
    <xf numFmtId="0" fontId="21" fillId="6" borderId="5" xfId="3" applyFont="1" applyFill="1" applyBorder="1" applyAlignment="1">
      <alignment vertical="center"/>
    </xf>
    <xf numFmtId="169" fontId="15" fillId="6" borderId="5" xfId="4" applyNumberFormat="1" applyFont="1" applyFill="1" applyBorder="1" applyAlignment="1">
      <alignment vertical="center"/>
    </xf>
    <xf numFmtId="166" fontId="15" fillId="6" borderId="26" xfId="7" applyNumberFormat="1" applyFont="1" applyFill="1" applyBorder="1" applyAlignment="1">
      <alignment horizontal="center" vertical="center" wrapText="1"/>
    </xf>
    <xf numFmtId="0" fontId="15" fillId="6" borderId="5" xfId="3" applyFont="1" applyFill="1" applyBorder="1" applyAlignment="1">
      <alignment horizontal="justify" vertical="center"/>
    </xf>
    <xf numFmtId="0" fontId="15" fillId="2" borderId="5" xfId="3" applyFont="1" applyFill="1" applyBorder="1" applyAlignment="1">
      <alignment horizontal="center" vertical="center"/>
    </xf>
    <xf numFmtId="0" fontId="15" fillId="2" borderId="5" xfId="3" applyFont="1" applyFill="1" applyBorder="1" applyAlignment="1">
      <alignment horizontal="justify" vertical="center"/>
    </xf>
    <xf numFmtId="0" fontId="21" fillId="2" borderId="5" xfId="3" applyFont="1" applyFill="1" applyBorder="1" applyAlignment="1">
      <alignment horizontal="center" vertical="center"/>
    </xf>
    <xf numFmtId="0" fontId="21" fillId="2" borderId="5" xfId="3" applyFont="1" applyFill="1" applyBorder="1" applyAlignment="1">
      <alignment vertical="center"/>
    </xf>
    <xf numFmtId="168" fontId="21" fillId="2" borderId="5" xfId="4" applyNumberFormat="1" applyFont="1" applyFill="1" applyBorder="1" applyAlignment="1">
      <alignment vertical="center"/>
    </xf>
    <xf numFmtId="0" fontId="21" fillId="2" borderId="5" xfId="3" applyFont="1" applyFill="1" applyBorder="1" applyAlignment="1">
      <alignment vertical="center" wrapText="1"/>
    </xf>
    <xf numFmtId="10" fontId="15" fillId="6" borderId="26" xfId="7" applyNumberFormat="1" applyFont="1" applyFill="1" applyBorder="1" applyAlignment="1">
      <alignment horizontal="center" vertical="center" wrapText="1"/>
    </xf>
    <xf numFmtId="169" fontId="21" fillId="6" borderId="5" xfId="3" applyNumberFormat="1" applyFont="1" applyFill="1" applyBorder="1" applyAlignment="1">
      <alignment vertical="center"/>
    </xf>
    <xf numFmtId="0" fontId="21" fillId="6" borderId="25" xfId="3" applyFont="1" applyFill="1" applyBorder="1" applyAlignment="1">
      <alignment horizontal="center" vertical="center"/>
    </xf>
    <xf numFmtId="10" fontId="21" fillId="6" borderId="5" xfId="7" applyNumberFormat="1" applyFont="1" applyFill="1" applyBorder="1" applyAlignment="1">
      <alignment horizontal="center" vertical="center"/>
    </xf>
    <xf numFmtId="0" fontId="21" fillId="6" borderId="15" xfId="3" applyFont="1" applyFill="1" applyBorder="1" applyAlignment="1">
      <alignment vertical="center"/>
    </xf>
    <xf numFmtId="0" fontId="15" fillId="6" borderId="16" xfId="3" applyFont="1" applyFill="1" applyBorder="1" applyAlignment="1">
      <alignment vertical="center"/>
    </xf>
    <xf numFmtId="169" fontId="15" fillId="6" borderId="16" xfId="4" applyNumberFormat="1" applyFont="1" applyFill="1" applyBorder="1" applyAlignment="1">
      <alignment vertical="center"/>
    </xf>
    <xf numFmtId="10" fontId="21" fillId="0" borderId="26" xfId="3" applyNumberFormat="1" applyFont="1" applyBorder="1" applyAlignment="1">
      <alignment vertical="center" wrapText="1"/>
    </xf>
    <xf numFmtId="10" fontId="15" fillId="6" borderId="17" xfId="7" applyNumberFormat="1" applyFont="1" applyFill="1" applyBorder="1" applyAlignment="1">
      <alignment horizontal="center" vertical="center" wrapText="1"/>
    </xf>
    <xf numFmtId="43" fontId="3" fillId="0" borderId="0" xfId="8" applyFont="1"/>
    <xf numFmtId="173" fontId="3" fillId="0" borderId="0" xfId="8" applyNumberFormat="1" applyFont="1"/>
    <xf numFmtId="9" fontId="5" fillId="0" borderId="5" xfId="2" applyNumberFormat="1" applyBorder="1"/>
    <xf numFmtId="0" fontId="21" fillId="6" borderId="5" xfId="3" applyFont="1" applyFill="1" applyBorder="1" applyAlignment="1">
      <alignment horizontal="justify" vertical="center"/>
    </xf>
    <xf numFmtId="9" fontId="21" fillId="6" borderId="5" xfId="3" applyNumberFormat="1" applyFont="1" applyFill="1" applyBorder="1" applyAlignment="1">
      <alignment vertical="center"/>
    </xf>
    <xf numFmtId="10" fontId="3" fillId="0" borderId="0" xfId="5" applyNumberFormat="1"/>
    <xf numFmtId="0" fontId="2" fillId="0" borderId="0" xfId="2" applyFont="1"/>
    <xf numFmtId="0" fontId="1" fillId="0" borderId="5" xfId="2" applyFont="1" applyBorder="1" applyAlignment="1">
      <alignment horizontal="center" wrapText="1"/>
    </xf>
    <xf numFmtId="0" fontId="15" fillId="4" borderId="5" xfId="0" applyFont="1" applyFill="1" applyBorder="1" applyAlignment="1">
      <alignment horizontal="center" vertical="center" wrapText="1"/>
    </xf>
    <xf numFmtId="0" fontId="12" fillId="0" borderId="5" xfId="0" applyFont="1" applyBorder="1" applyAlignment="1">
      <alignment horizontal="center" vertical="center" wrapText="1"/>
    </xf>
    <xf numFmtId="165" fontId="0" fillId="0" borderId="0" xfId="1" applyNumberFormat="1" applyFont="1" applyFill="1" applyBorder="1" applyAlignment="1">
      <alignment horizontal="center" vertical="center"/>
    </xf>
    <xf numFmtId="0" fontId="12" fillId="2" borderId="2" xfId="0" applyFont="1" applyFill="1" applyBorder="1" applyAlignment="1">
      <alignment horizontal="center" vertical="top" wrapText="1"/>
    </xf>
    <xf numFmtId="0" fontId="12" fillId="2" borderId="3" xfId="0" applyFont="1" applyFill="1" applyBorder="1" applyAlignment="1">
      <alignment horizontal="center" vertical="top" wrapText="1"/>
    </xf>
    <xf numFmtId="0" fontId="12" fillId="2" borderId="2" xfId="0" applyFont="1" applyFill="1" applyBorder="1" applyAlignment="1">
      <alignment horizontal="center" vertical="center" wrapText="1"/>
    </xf>
    <xf numFmtId="0" fontId="12" fillId="2" borderId="3" xfId="0" applyFont="1" applyFill="1" applyBorder="1" applyAlignment="1">
      <alignment horizontal="center" vertical="center" wrapText="1"/>
    </xf>
    <xf numFmtId="0" fontId="12" fillId="2" borderId="5" xfId="0" applyFont="1" applyFill="1" applyBorder="1" applyAlignment="1">
      <alignment horizontal="center" vertical="top" wrapText="1"/>
    </xf>
    <xf numFmtId="0" fontId="10" fillId="2" borderId="5" xfId="0" applyFont="1" applyFill="1" applyBorder="1" applyAlignment="1">
      <alignment vertical="center" wrapText="1"/>
    </xf>
    <xf numFmtId="0" fontId="10" fillId="3" borderId="5" xfId="0" applyFont="1" applyFill="1" applyBorder="1" applyAlignment="1">
      <alignment horizontal="center" vertical="center" wrapText="1"/>
    </xf>
    <xf numFmtId="0" fontId="10" fillId="3" borderId="2" xfId="0" applyFont="1" applyFill="1" applyBorder="1" applyAlignment="1">
      <alignment horizontal="center" vertical="center" wrapText="1"/>
    </xf>
    <xf numFmtId="0" fontId="10" fillId="3" borderId="3" xfId="0" applyFont="1" applyFill="1" applyBorder="1" applyAlignment="1">
      <alignment horizontal="center" vertical="center" wrapText="1"/>
    </xf>
    <xf numFmtId="0" fontId="15" fillId="4" borderId="5" xfId="0" applyFont="1" applyFill="1" applyBorder="1" applyAlignment="1">
      <alignment vertical="center" wrapText="1"/>
    </xf>
    <xf numFmtId="0" fontId="12" fillId="0" borderId="5" xfId="0" applyFont="1" applyBorder="1" applyAlignment="1">
      <alignment vertical="center" wrapText="1"/>
    </xf>
    <xf numFmtId="0" fontId="10" fillId="2" borderId="2" xfId="0" applyFont="1" applyFill="1" applyBorder="1" applyAlignment="1">
      <alignment horizontal="center" vertical="center" wrapText="1"/>
    </xf>
    <xf numFmtId="0" fontId="10" fillId="2" borderId="3" xfId="0" applyFont="1" applyFill="1" applyBorder="1" applyAlignment="1">
      <alignment horizontal="center" vertical="center" wrapText="1"/>
    </xf>
    <xf numFmtId="0" fontId="10" fillId="2" borderId="5" xfId="0" applyFont="1" applyFill="1" applyBorder="1" applyAlignment="1">
      <alignment horizontal="center" vertical="center" wrapText="1"/>
    </xf>
    <xf numFmtId="0" fontId="10" fillId="3" borderId="9" xfId="0" applyFont="1" applyFill="1" applyBorder="1" applyAlignment="1">
      <alignment horizontal="center" vertical="center" wrapText="1"/>
    </xf>
    <xf numFmtId="0" fontId="10" fillId="3" borderId="10" xfId="0" applyFont="1" applyFill="1" applyBorder="1" applyAlignment="1">
      <alignment horizontal="center" vertical="center" wrapText="1"/>
    </xf>
    <xf numFmtId="0" fontId="10" fillId="3" borderId="11" xfId="0" applyFont="1" applyFill="1" applyBorder="1" applyAlignment="1">
      <alignment horizontal="center" vertical="center" wrapText="1"/>
    </xf>
    <xf numFmtId="0" fontId="8" fillId="4" borderId="9" xfId="2" applyFont="1" applyFill="1" applyBorder="1" applyAlignment="1">
      <alignment horizontal="center" vertical="center" wrapText="1"/>
    </xf>
    <xf numFmtId="0" fontId="8" fillId="4" borderId="11" xfId="2" applyFont="1" applyFill="1" applyBorder="1" applyAlignment="1">
      <alignment horizontal="center" vertical="center" wrapText="1"/>
    </xf>
    <xf numFmtId="0" fontId="8" fillId="4" borderId="10" xfId="2" applyFont="1" applyFill="1" applyBorder="1" applyAlignment="1">
      <alignment horizontal="center" vertical="center" wrapText="1"/>
    </xf>
    <xf numFmtId="0" fontId="8" fillId="2" borderId="9" xfId="2" applyFont="1" applyFill="1" applyBorder="1" applyAlignment="1">
      <alignment horizontal="center"/>
    </xf>
    <xf numFmtId="0" fontId="8" fillId="2" borderId="10" xfId="2" applyFont="1" applyFill="1" applyBorder="1" applyAlignment="1">
      <alignment horizontal="center"/>
    </xf>
    <xf numFmtId="0" fontId="8" fillId="2" borderId="11" xfId="2" applyFont="1" applyFill="1" applyBorder="1" applyAlignment="1">
      <alignment horizontal="center"/>
    </xf>
    <xf numFmtId="0" fontId="8" fillId="4" borderId="27" xfId="2" applyFont="1" applyFill="1" applyBorder="1" applyAlignment="1">
      <alignment horizontal="center" vertical="center" wrapText="1"/>
    </xf>
    <xf numFmtId="0" fontId="8" fillId="4" borderId="28" xfId="2" applyFont="1" applyFill="1" applyBorder="1" applyAlignment="1">
      <alignment horizontal="center" vertical="center" wrapText="1"/>
    </xf>
    <xf numFmtId="0" fontId="20" fillId="2" borderId="12" xfId="3" applyFont="1" applyFill="1" applyBorder="1" applyAlignment="1">
      <alignment horizontal="center" vertical="center"/>
    </xf>
    <xf numFmtId="0" fontId="20" fillId="2" borderId="13" xfId="3" applyFont="1" applyFill="1" applyBorder="1" applyAlignment="1">
      <alignment horizontal="center" vertical="center"/>
    </xf>
    <xf numFmtId="0" fontId="20" fillId="2" borderId="14" xfId="3" applyFont="1" applyFill="1" applyBorder="1" applyAlignment="1">
      <alignment horizontal="center" vertical="center"/>
    </xf>
    <xf numFmtId="0" fontId="15" fillId="6" borderId="12" xfId="3" applyFont="1" applyFill="1" applyBorder="1" applyAlignment="1">
      <alignment vertical="center"/>
    </xf>
    <xf numFmtId="0" fontId="15" fillId="6" borderId="13" xfId="3" applyFont="1" applyFill="1" applyBorder="1" applyAlignment="1">
      <alignment vertical="center"/>
    </xf>
    <xf numFmtId="0" fontId="15" fillId="6" borderId="20" xfId="3" applyFont="1" applyFill="1" applyBorder="1" applyAlignment="1">
      <alignment vertical="center"/>
    </xf>
    <xf numFmtId="0" fontId="15" fillId="6" borderId="22" xfId="3" applyFont="1" applyFill="1" applyBorder="1" applyAlignment="1">
      <alignment horizontal="left" vertical="center"/>
    </xf>
    <xf numFmtId="0" fontId="15" fillId="6" borderId="23" xfId="3" applyFont="1" applyFill="1" applyBorder="1" applyAlignment="1">
      <alignment horizontal="left" vertical="center"/>
    </xf>
    <xf numFmtId="0" fontId="15" fillId="6" borderId="24" xfId="3" applyFont="1" applyFill="1" applyBorder="1" applyAlignment="1">
      <alignment horizontal="left" vertical="center"/>
    </xf>
    <xf numFmtId="9" fontId="5" fillId="0" borderId="5" xfId="2" applyNumberFormat="1" applyFill="1" applyBorder="1" applyAlignment="1">
      <alignment horizontal="center"/>
    </xf>
    <xf numFmtId="165" fontId="5" fillId="0" borderId="5" xfId="2" applyNumberFormat="1" applyFill="1" applyBorder="1"/>
  </cellXfs>
  <cellStyles count="9">
    <cellStyle name="Millares" xfId="8" builtinId="3"/>
    <cellStyle name="Millares 2" xfId="6"/>
    <cellStyle name="Moneda" xfId="1" builtinId="4"/>
    <cellStyle name="Moneda 2 11" xfId="4"/>
    <cellStyle name="Normal" xfId="0" builtinId="0"/>
    <cellStyle name="Normal 2" xfId="2"/>
    <cellStyle name="Normal 2 13" xfId="3"/>
    <cellStyle name="Normal 3" xfId="5"/>
    <cellStyle name="Porcentaje 2" xfId="7"/>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3"/>
  <sheetViews>
    <sheetView topLeftCell="A55" zoomScaleNormal="100" workbookViewId="0">
      <selection activeCell="F73" sqref="F73"/>
    </sheetView>
  </sheetViews>
  <sheetFormatPr baseColWidth="10" defaultColWidth="9.33203125" defaultRowHeight="12.75" x14ac:dyDescent="0.2"/>
  <cols>
    <col min="1" max="1" width="7" customWidth="1"/>
    <col min="2" max="2" width="40.6640625" customWidth="1"/>
    <col min="3" max="3" width="7.1640625" style="28" customWidth="1"/>
    <col min="4" max="4" width="10.83203125" style="28" customWidth="1"/>
    <col min="5" max="5" width="14.6640625" style="28" customWidth="1"/>
    <col min="6" max="6" width="16.83203125" style="28" customWidth="1"/>
    <col min="8" max="8" width="15.1640625" customWidth="1"/>
  </cols>
  <sheetData>
    <row r="1" spans="1:8" ht="20.25" customHeight="1" x14ac:dyDescent="0.2">
      <c r="A1" s="183" t="s">
        <v>106</v>
      </c>
      <c r="B1" s="183"/>
      <c r="C1" s="183"/>
      <c r="D1" s="183"/>
      <c r="E1" s="183"/>
      <c r="F1" s="183"/>
    </row>
    <row r="2" spans="1:8" ht="19.5" customHeight="1" x14ac:dyDescent="0.2">
      <c r="A2" s="184" t="s">
        <v>107</v>
      </c>
      <c r="B2" s="184"/>
      <c r="C2" s="184"/>
      <c r="D2" s="184"/>
      <c r="E2" s="184"/>
      <c r="F2" s="184"/>
    </row>
    <row r="3" spans="1:8" ht="18" customHeight="1" x14ac:dyDescent="0.2">
      <c r="A3" s="37"/>
      <c r="B3" s="37"/>
      <c r="C3" s="38"/>
      <c r="D3" s="38"/>
      <c r="E3" s="38"/>
      <c r="F3" s="38"/>
    </row>
    <row r="4" spans="1:8" ht="26.25" customHeight="1" x14ac:dyDescent="0.2">
      <c r="A4" s="8" t="s">
        <v>101</v>
      </c>
      <c r="B4" s="8" t="s">
        <v>102</v>
      </c>
      <c r="C4" s="8" t="s">
        <v>103</v>
      </c>
      <c r="D4" s="8" t="s">
        <v>104</v>
      </c>
      <c r="E4" s="8" t="s">
        <v>105</v>
      </c>
      <c r="F4" s="12" t="s">
        <v>91</v>
      </c>
    </row>
    <row r="5" spans="1:8" ht="16.7" customHeight="1" x14ac:dyDescent="0.2">
      <c r="A5" s="186" t="s">
        <v>0</v>
      </c>
      <c r="B5" s="187"/>
      <c r="C5" s="187"/>
      <c r="D5" s="187"/>
      <c r="E5" s="187"/>
      <c r="F5" s="18">
        <f>SUM(F6+F8)</f>
        <v>4654273.9800000004</v>
      </c>
    </row>
    <row r="6" spans="1:8" ht="15.75" customHeight="1" x14ac:dyDescent="0.2">
      <c r="A6" s="9" t="s">
        <v>1</v>
      </c>
      <c r="B6" s="10" t="s">
        <v>2</v>
      </c>
      <c r="C6" s="20"/>
      <c r="D6" s="20"/>
      <c r="E6" s="20"/>
      <c r="F6" s="21">
        <f>SUM(F7)</f>
        <v>285450.48000000004</v>
      </c>
    </row>
    <row r="7" spans="1:8" ht="63" customHeight="1" x14ac:dyDescent="0.2">
      <c r="A7" s="3" t="s">
        <v>3</v>
      </c>
      <c r="B7" s="6" t="s">
        <v>21</v>
      </c>
      <c r="C7" s="7" t="s">
        <v>4</v>
      </c>
      <c r="D7" s="22">
        <v>6.48</v>
      </c>
      <c r="E7" s="23">
        <v>44051</v>
      </c>
      <c r="F7" s="23">
        <f>D7*E7</f>
        <v>285450.48000000004</v>
      </c>
    </row>
    <row r="8" spans="1:8" ht="15" customHeight="1" x14ac:dyDescent="0.2">
      <c r="A8" s="9" t="s">
        <v>5</v>
      </c>
      <c r="B8" s="11" t="s">
        <v>6</v>
      </c>
      <c r="C8" s="20"/>
      <c r="D8" s="20"/>
      <c r="E8" s="20"/>
      <c r="F8" s="24">
        <f>SUM(F9:F12)</f>
        <v>4368823.5</v>
      </c>
    </row>
    <row r="9" spans="1:8" ht="140.25" customHeight="1" x14ac:dyDescent="0.2">
      <c r="A9" s="3" t="s">
        <v>7</v>
      </c>
      <c r="B9" s="6" t="s">
        <v>8</v>
      </c>
      <c r="C9" s="7" t="s">
        <v>9</v>
      </c>
      <c r="D9" s="22">
        <v>1</v>
      </c>
      <c r="E9" s="23">
        <v>3198480</v>
      </c>
      <c r="F9" s="23">
        <f>D9*E9</f>
        <v>3198480</v>
      </c>
    </row>
    <row r="10" spans="1:8" ht="60" customHeight="1" x14ac:dyDescent="0.2">
      <c r="A10" s="2" t="s">
        <v>10</v>
      </c>
      <c r="B10" s="6" t="s">
        <v>11</v>
      </c>
      <c r="C10" s="7" t="s">
        <v>12</v>
      </c>
      <c r="D10" s="22">
        <v>6</v>
      </c>
      <c r="E10" s="23">
        <v>36847</v>
      </c>
      <c r="F10" s="23">
        <f t="shared" ref="F10:F12" si="0">D10*E10</f>
        <v>221082</v>
      </c>
    </row>
    <row r="11" spans="1:8" ht="63.75" customHeight="1" x14ac:dyDescent="0.2">
      <c r="A11" s="2" t="s">
        <v>13</v>
      </c>
      <c r="B11" s="6" t="s">
        <v>14</v>
      </c>
      <c r="C11" s="7" t="s">
        <v>12</v>
      </c>
      <c r="D11" s="22">
        <v>6.75</v>
      </c>
      <c r="E11" s="23">
        <v>60542</v>
      </c>
      <c r="F11" s="23">
        <f t="shared" si="0"/>
        <v>408658.5</v>
      </c>
    </row>
    <row r="12" spans="1:8" ht="102" customHeight="1" x14ac:dyDescent="0.2">
      <c r="A12" s="3" t="s">
        <v>15</v>
      </c>
      <c r="B12" s="6" t="s">
        <v>16</v>
      </c>
      <c r="C12" s="7" t="s">
        <v>9</v>
      </c>
      <c r="D12" s="22">
        <v>1</v>
      </c>
      <c r="E12" s="23">
        <v>540603</v>
      </c>
      <c r="F12" s="25">
        <f t="shared" si="0"/>
        <v>540603</v>
      </c>
    </row>
    <row r="13" spans="1:8" ht="20.25" customHeight="1" x14ac:dyDescent="0.2">
      <c r="A13" s="188" t="s">
        <v>17</v>
      </c>
      <c r="B13" s="189"/>
      <c r="C13" s="189"/>
      <c r="D13" s="189"/>
      <c r="E13" s="189"/>
      <c r="F13" s="18">
        <f>SUM(F54+F52+F45+F39+F35+F32+F29+F27+F23+F18)</f>
        <v>7208448.898599999</v>
      </c>
      <c r="H13" s="29" t="e">
        <f>#REF!-F13</f>
        <v>#REF!</v>
      </c>
    </row>
    <row r="14" spans="1:8" ht="15" customHeight="1" x14ac:dyDescent="0.2">
      <c r="A14" s="9" t="s">
        <v>1</v>
      </c>
      <c r="B14" s="10" t="s">
        <v>2</v>
      </c>
      <c r="C14" s="20"/>
      <c r="D14" s="20"/>
      <c r="E14" s="20"/>
      <c r="F14" s="21">
        <f>SUM(F15:F17)</f>
        <v>182640.15000000002</v>
      </c>
    </row>
    <row r="15" spans="1:8" ht="39" customHeight="1" x14ac:dyDescent="0.2">
      <c r="A15" s="2" t="s">
        <v>18</v>
      </c>
      <c r="B15" s="6" t="s">
        <v>19</v>
      </c>
      <c r="C15" s="7" t="s">
        <v>20</v>
      </c>
      <c r="D15" s="22">
        <v>3.67</v>
      </c>
      <c r="E15" s="23">
        <v>7260</v>
      </c>
      <c r="F15" s="23">
        <f>D15*E15</f>
        <v>26644.2</v>
      </c>
    </row>
    <row r="16" spans="1:8" ht="62.25" customHeight="1" x14ac:dyDescent="0.2">
      <c r="A16" s="3" t="s">
        <v>3</v>
      </c>
      <c r="B16" s="6" t="s">
        <v>21</v>
      </c>
      <c r="C16" s="7" t="s">
        <v>4</v>
      </c>
      <c r="D16" s="22">
        <v>0.55000000000000004</v>
      </c>
      <c r="E16" s="23">
        <v>44051</v>
      </c>
      <c r="F16" s="23">
        <f t="shared" ref="F16:F17" si="1">D16*E16</f>
        <v>24228.050000000003</v>
      </c>
    </row>
    <row r="17" spans="1:6" ht="51.75" customHeight="1" x14ac:dyDescent="0.2">
      <c r="A17" s="2" t="s">
        <v>22</v>
      </c>
      <c r="B17" s="6" t="s">
        <v>23</v>
      </c>
      <c r="C17" s="7" t="s">
        <v>4</v>
      </c>
      <c r="D17" s="22">
        <v>0.55000000000000004</v>
      </c>
      <c r="E17" s="23">
        <v>239578</v>
      </c>
      <c r="F17" s="23">
        <f t="shared" si="1"/>
        <v>131767.90000000002</v>
      </c>
    </row>
    <row r="18" spans="1:6" ht="17.25" customHeight="1" x14ac:dyDescent="0.2">
      <c r="A18" s="9" t="s">
        <v>24</v>
      </c>
      <c r="B18" s="10" t="s">
        <v>25</v>
      </c>
      <c r="C18" s="20"/>
      <c r="D18" s="20"/>
      <c r="E18" s="20"/>
      <c r="F18" s="24">
        <f>SUM(F19:F22)</f>
        <v>821484.71259999997</v>
      </c>
    </row>
    <row r="19" spans="1:6" ht="73.5" customHeight="1" x14ac:dyDescent="0.2">
      <c r="A19" s="3" t="s">
        <v>26</v>
      </c>
      <c r="B19" s="6" t="s">
        <v>27</v>
      </c>
      <c r="C19" s="7" t="s">
        <v>12</v>
      </c>
      <c r="D19" s="22">
        <v>1.0900000000000001</v>
      </c>
      <c r="E19" s="23">
        <v>53808</v>
      </c>
      <c r="F19" s="23">
        <f>D19*E19</f>
        <v>58650.720000000001</v>
      </c>
    </row>
    <row r="20" spans="1:6" ht="60" customHeight="1" x14ac:dyDescent="0.2">
      <c r="A20" s="3" t="s">
        <v>28</v>
      </c>
      <c r="B20" s="6" t="s">
        <v>29</v>
      </c>
      <c r="C20" s="7" t="s">
        <v>12</v>
      </c>
      <c r="D20" s="22">
        <v>7.28</v>
      </c>
      <c r="E20" s="23">
        <v>34659</v>
      </c>
      <c r="F20" s="23">
        <f t="shared" ref="F20:F22" si="2">D20*E20</f>
        <v>252317.52000000002</v>
      </c>
    </row>
    <row r="21" spans="1:6" ht="72" customHeight="1" x14ac:dyDescent="0.2">
      <c r="A21" s="3" t="s">
        <v>30</v>
      </c>
      <c r="B21" s="6" t="s">
        <v>31</v>
      </c>
      <c r="C21" s="7" t="s">
        <v>20</v>
      </c>
      <c r="D21" s="22">
        <v>3.67</v>
      </c>
      <c r="E21" s="23">
        <v>97345</v>
      </c>
      <c r="F21" s="23">
        <f t="shared" si="2"/>
        <v>357256.14999999997</v>
      </c>
    </row>
    <row r="22" spans="1:6" ht="97.5" customHeight="1" x14ac:dyDescent="0.2">
      <c r="A22" s="3" t="s">
        <v>32</v>
      </c>
      <c r="B22" s="6" t="s">
        <v>33</v>
      </c>
      <c r="C22" s="7" t="s">
        <v>34</v>
      </c>
      <c r="D22" s="22">
        <v>22.26</v>
      </c>
      <c r="E22" s="23">
        <v>6885.01</v>
      </c>
      <c r="F22" s="23">
        <f t="shared" si="2"/>
        <v>153260.32260000001</v>
      </c>
    </row>
    <row r="23" spans="1:6" ht="15" customHeight="1" x14ac:dyDescent="0.2">
      <c r="A23" s="15" t="s">
        <v>35</v>
      </c>
      <c r="B23" s="10" t="s">
        <v>36</v>
      </c>
      <c r="C23" s="26"/>
      <c r="D23" s="26"/>
      <c r="E23" s="26"/>
      <c r="F23" s="24">
        <f>SUM(F24:F26)</f>
        <v>1924046.2799999998</v>
      </c>
    </row>
    <row r="24" spans="1:6" ht="74.25" customHeight="1" x14ac:dyDescent="0.2">
      <c r="A24" s="3" t="s">
        <v>37</v>
      </c>
      <c r="B24" s="6" t="s">
        <v>38</v>
      </c>
      <c r="C24" s="7" t="s">
        <v>12</v>
      </c>
      <c r="D24" s="22">
        <v>12.93</v>
      </c>
      <c r="E24" s="23">
        <v>27394</v>
      </c>
      <c r="F24" s="23">
        <f>D24*E24</f>
        <v>354204.42</v>
      </c>
    </row>
    <row r="25" spans="1:6" ht="144" customHeight="1" x14ac:dyDescent="0.2">
      <c r="A25" s="3" t="s">
        <v>39</v>
      </c>
      <c r="B25" s="6" t="s">
        <v>40</v>
      </c>
      <c r="C25" s="7" t="s">
        <v>20</v>
      </c>
      <c r="D25" s="22">
        <v>14.95</v>
      </c>
      <c r="E25" s="23">
        <v>98982</v>
      </c>
      <c r="F25" s="23">
        <f t="shared" ref="F25:F26" si="3">D25*E25</f>
        <v>1479780.9</v>
      </c>
    </row>
    <row r="26" spans="1:6" ht="95.25" customHeight="1" x14ac:dyDescent="0.2">
      <c r="A26" s="3" t="s">
        <v>41</v>
      </c>
      <c r="B26" s="4" t="s">
        <v>94</v>
      </c>
      <c r="C26" s="7" t="s">
        <v>20</v>
      </c>
      <c r="D26" s="22">
        <v>0.48</v>
      </c>
      <c r="E26" s="23">
        <v>187627</v>
      </c>
      <c r="F26" s="23">
        <f t="shared" si="3"/>
        <v>90060.959999999992</v>
      </c>
    </row>
    <row r="27" spans="1:6" ht="15" customHeight="1" x14ac:dyDescent="0.2">
      <c r="A27" s="9" t="s">
        <v>42</v>
      </c>
      <c r="B27" s="10" t="s">
        <v>43</v>
      </c>
      <c r="C27" s="20"/>
      <c r="D27" s="20"/>
      <c r="E27" s="20"/>
      <c r="F27" s="24">
        <f>SUM(F28)</f>
        <v>228034.8</v>
      </c>
    </row>
    <row r="28" spans="1:6" ht="38.25" customHeight="1" x14ac:dyDescent="0.2">
      <c r="A28" s="3" t="s">
        <v>44</v>
      </c>
      <c r="B28" s="6" t="s">
        <v>45</v>
      </c>
      <c r="C28" s="7" t="s">
        <v>20</v>
      </c>
      <c r="D28" s="22">
        <v>6.3</v>
      </c>
      <c r="E28" s="23">
        <v>36196</v>
      </c>
      <c r="F28" s="23">
        <f>D28*E28</f>
        <v>228034.8</v>
      </c>
    </row>
    <row r="29" spans="1:6" ht="11.85" customHeight="1" x14ac:dyDescent="0.2">
      <c r="A29" s="9" t="s">
        <v>46</v>
      </c>
      <c r="B29" s="10" t="s">
        <v>47</v>
      </c>
      <c r="C29" s="20"/>
      <c r="D29" s="20"/>
      <c r="E29" s="20"/>
      <c r="F29" s="24">
        <f>SUM(F30+F31)</f>
        <v>861252.96600000001</v>
      </c>
    </row>
    <row r="30" spans="1:6" ht="60" customHeight="1" x14ac:dyDescent="0.2">
      <c r="A30" s="3" t="s">
        <v>48</v>
      </c>
      <c r="B30" s="6" t="s">
        <v>185</v>
      </c>
      <c r="C30" s="7" t="s">
        <v>20</v>
      </c>
      <c r="D30" s="22">
        <v>6.3</v>
      </c>
      <c r="E30" s="23">
        <v>93209.1</v>
      </c>
      <c r="F30" s="23">
        <f>D30*E30</f>
        <v>587217.33000000007</v>
      </c>
    </row>
    <row r="31" spans="1:6" ht="63" customHeight="1" x14ac:dyDescent="0.2">
      <c r="A31" s="3" t="s">
        <v>49</v>
      </c>
      <c r="B31" s="6" t="s">
        <v>186</v>
      </c>
      <c r="C31" s="7" t="s">
        <v>20</v>
      </c>
      <c r="D31" s="22">
        <v>2.94</v>
      </c>
      <c r="E31" s="23">
        <v>93209.4</v>
      </c>
      <c r="F31" s="31">
        <f>D31*E31</f>
        <v>274035.636</v>
      </c>
    </row>
    <row r="32" spans="1:6" ht="16.5" customHeight="1" x14ac:dyDescent="0.2">
      <c r="A32" s="9" t="s">
        <v>50</v>
      </c>
      <c r="B32" s="10" t="s">
        <v>51</v>
      </c>
      <c r="C32" s="20"/>
      <c r="D32" s="20"/>
      <c r="E32" s="20"/>
      <c r="F32" s="24">
        <f>SUM(F33:F34)</f>
        <v>801181</v>
      </c>
    </row>
    <row r="33" spans="1:6" ht="109.5" customHeight="1" x14ac:dyDescent="0.2">
      <c r="A33" s="3" t="s">
        <v>52</v>
      </c>
      <c r="B33" s="6" t="s">
        <v>53</v>
      </c>
      <c r="C33" s="7" t="s">
        <v>9</v>
      </c>
      <c r="D33" s="22">
        <v>1</v>
      </c>
      <c r="E33" s="23">
        <v>659649</v>
      </c>
      <c r="F33" s="23">
        <v>659649</v>
      </c>
    </row>
    <row r="34" spans="1:6" ht="63" customHeight="1" x14ac:dyDescent="0.2">
      <c r="A34" s="2" t="s">
        <v>54</v>
      </c>
      <c r="B34" s="6" t="s">
        <v>55</v>
      </c>
      <c r="C34" s="7" t="s">
        <v>9</v>
      </c>
      <c r="D34" s="22">
        <v>1</v>
      </c>
      <c r="E34" s="23">
        <v>141532</v>
      </c>
      <c r="F34" s="23">
        <v>141532</v>
      </c>
    </row>
    <row r="35" spans="1:6" ht="16.5" customHeight="1" x14ac:dyDescent="0.2">
      <c r="A35" s="9" t="s">
        <v>56</v>
      </c>
      <c r="B35" s="10" t="s">
        <v>57</v>
      </c>
      <c r="C35" s="20"/>
      <c r="D35" s="20"/>
      <c r="E35" s="20"/>
      <c r="F35" s="24">
        <f>SUM(F36:F38)</f>
        <v>229931</v>
      </c>
    </row>
    <row r="36" spans="1:6" ht="63" customHeight="1" x14ac:dyDescent="0.2">
      <c r="A36" s="2" t="s">
        <v>58</v>
      </c>
      <c r="B36" s="6" t="s">
        <v>59</v>
      </c>
      <c r="C36" s="7" t="s">
        <v>9</v>
      </c>
      <c r="D36" s="22">
        <v>3</v>
      </c>
      <c r="E36" s="23">
        <v>38473</v>
      </c>
      <c r="F36" s="23">
        <f>D36*E36</f>
        <v>115419</v>
      </c>
    </row>
    <row r="37" spans="1:6" ht="60" customHeight="1" x14ac:dyDescent="0.2">
      <c r="A37" s="2" t="s">
        <v>60</v>
      </c>
      <c r="B37" s="6" t="s">
        <v>61</v>
      </c>
      <c r="C37" s="7" t="s">
        <v>12</v>
      </c>
      <c r="D37" s="22">
        <v>6</v>
      </c>
      <c r="E37" s="23">
        <v>11786</v>
      </c>
      <c r="F37" s="23">
        <f t="shared" ref="F37:F38" si="4">D37*E37</f>
        <v>70716</v>
      </c>
    </row>
    <row r="38" spans="1:6" ht="49.5" customHeight="1" x14ac:dyDescent="0.2">
      <c r="A38" s="3" t="s">
        <v>62</v>
      </c>
      <c r="B38" s="6" t="s">
        <v>108</v>
      </c>
      <c r="C38" s="7" t="s">
        <v>9</v>
      </c>
      <c r="D38" s="22">
        <v>1</v>
      </c>
      <c r="E38" s="23">
        <v>43796</v>
      </c>
      <c r="F38" s="23">
        <f t="shared" si="4"/>
        <v>43796</v>
      </c>
    </row>
    <row r="39" spans="1:6" ht="11.85" customHeight="1" x14ac:dyDescent="0.2">
      <c r="A39" s="9" t="s">
        <v>63</v>
      </c>
      <c r="B39" s="10" t="s">
        <v>64</v>
      </c>
      <c r="C39" s="20"/>
      <c r="D39" s="20"/>
      <c r="E39" s="20"/>
      <c r="F39" s="24">
        <f>SUM(F40:F44)</f>
        <v>686568.7</v>
      </c>
    </row>
    <row r="40" spans="1:6" ht="61.5" customHeight="1" x14ac:dyDescent="0.2">
      <c r="A40" s="2" t="s">
        <v>65</v>
      </c>
      <c r="B40" s="4" t="s">
        <v>95</v>
      </c>
      <c r="C40" s="7" t="s">
        <v>9</v>
      </c>
      <c r="D40" s="22">
        <v>2</v>
      </c>
      <c r="E40" s="23">
        <v>59729</v>
      </c>
      <c r="F40" s="23">
        <f>D40*E40</f>
        <v>119458</v>
      </c>
    </row>
    <row r="41" spans="1:6" ht="59.25" customHeight="1" x14ac:dyDescent="0.2">
      <c r="A41" s="2" t="s">
        <v>66</v>
      </c>
      <c r="B41" s="4" t="s">
        <v>96</v>
      </c>
      <c r="C41" s="7" t="s">
        <v>9</v>
      </c>
      <c r="D41" s="22">
        <v>1</v>
      </c>
      <c r="E41" s="23">
        <v>125761</v>
      </c>
      <c r="F41" s="23">
        <f t="shared" ref="F41:F44" si="5">D41*E41</f>
        <v>125761</v>
      </c>
    </row>
    <row r="42" spans="1:6" ht="59.25" customHeight="1" x14ac:dyDescent="0.2">
      <c r="A42" s="2" t="s">
        <v>10</v>
      </c>
      <c r="B42" s="6" t="s">
        <v>11</v>
      </c>
      <c r="C42" s="7" t="s">
        <v>12</v>
      </c>
      <c r="D42" s="22">
        <v>1.1000000000000001</v>
      </c>
      <c r="E42" s="23">
        <v>36847</v>
      </c>
      <c r="F42" s="23">
        <f t="shared" si="5"/>
        <v>40531.700000000004</v>
      </c>
    </row>
    <row r="43" spans="1:6" ht="60" customHeight="1" x14ac:dyDescent="0.2">
      <c r="A43" s="2" t="s">
        <v>13</v>
      </c>
      <c r="B43" s="6" t="s">
        <v>14</v>
      </c>
      <c r="C43" s="7" t="s">
        <v>12</v>
      </c>
      <c r="D43" s="22">
        <v>6</v>
      </c>
      <c r="E43" s="23">
        <v>60542</v>
      </c>
      <c r="F43" s="23">
        <f t="shared" si="5"/>
        <v>363252</v>
      </c>
    </row>
    <row r="44" spans="1:6" ht="72.75" customHeight="1" x14ac:dyDescent="0.2">
      <c r="A44" s="2" t="s">
        <v>67</v>
      </c>
      <c r="B44" s="4" t="s">
        <v>97</v>
      </c>
      <c r="C44" s="7" t="s">
        <v>9</v>
      </c>
      <c r="D44" s="22">
        <v>1</v>
      </c>
      <c r="E44" s="23">
        <v>37566</v>
      </c>
      <c r="F44" s="23">
        <f t="shared" si="5"/>
        <v>37566</v>
      </c>
    </row>
    <row r="45" spans="1:6" ht="11.85" customHeight="1" x14ac:dyDescent="0.2">
      <c r="A45" s="9" t="s">
        <v>68</v>
      </c>
      <c r="B45" s="10" t="s">
        <v>69</v>
      </c>
      <c r="C45" s="20"/>
      <c r="D45" s="20"/>
      <c r="E45" s="20"/>
      <c r="F45" s="24">
        <f>SUM(F46:F51)</f>
        <v>334953</v>
      </c>
    </row>
    <row r="46" spans="1:6" ht="72.75" customHeight="1" x14ac:dyDescent="0.2">
      <c r="A46" s="3" t="s">
        <v>70</v>
      </c>
      <c r="B46" s="6" t="s">
        <v>71</v>
      </c>
      <c r="C46" s="7" t="s">
        <v>9</v>
      </c>
      <c r="D46" s="22">
        <v>1</v>
      </c>
      <c r="E46" s="23">
        <v>75827</v>
      </c>
      <c r="F46" s="23">
        <f>D46*E46</f>
        <v>75827</v>
      </c>
    </row>
    <row r="47" spans="1:6" ht="146.25" customHeight="1" x14ac:dyDescent="0.2">
      <c r="A47" s="3" t="s">
        <v>72</v>
      </c>
      <c r="B47" s="6" t="s">
        <v>73</v>
      </c>
      <c r="C47" s="7" t="s">
        <v>9</v>
      </c>
      <c r="D47" s="22">
        <v>1</v>
      </c>
      <c r="E47" s="23">
        <v>30188</v>
      </c>
      <c r="F47" s="23">
        <f t="shared" ref="F47:F51" si="6">D47*E47</f>
        <v>30188</v>
      </c>
    </row>
    <row r="48" spans="1:6" ht="146.25" customHeight="1" x14ac:dyDescent="0.2">
      <c r="A48" s="3" t="s">
        <v>74</v>
      </c>
      <c r="B48" s="6" t="s">
        <v>75</v>
      </c>
      <c r="C48" s="7" t="s">
        <v>9</v>
      </c>
      <c r="D48" s="22">
        <v>1</v>
      </c>
      <c r="E48" s="23">
        <v>26499</v>
      </c>
      <c r="F48" s="23">
        <f t="shared" si="6"/>
        <v>26499</v>
      </c>
    </row>
    <row r="49" spans="1:8" ht="73.5" customHeight="1" x14ac:dyDescent="0.2">
      <c r="A49" s="2" t="s">
        <v>76</v>
      </c>
      <c r="B49" s="4" t="s">
        <v>98</v>
      </c>
      <c r="C49" s="7" t="s">
        <v>12</v>
      </c>
      <c r="D49" s="22">
        <v>7</v>
      </c>
      <c r="E49" s="23">
        <v>6156</v>
      </c>
      <c r="F49" s="23">
        <f t="shared" si="6"/>
        <v>43092</v>
      </c>
    </row>
    <row r="50" spans="1:8" ht="61.5" customHeight="1" x14ac:dyDescent="0.2">
      <c r="A50" s="3" t="s">
        <v>77</v>
      </c>
      <c r="B50" s="6" t="s">
        <v>78</v>
      </c>
      <c r="C50" s="7" t="s">
        <v>79</v>
      </c>
      <c r="D50" s="22">
        <v>1</v>
      </c>
      <c r="E50" s="23">
        <v>55502</v>
      </c>
      <c r="F50" s="23">
        <f t="shared" si="6"/>
        <v>55502</v>
      </c>
    </row>
    <row r="51" spans="1:8" ht="108" customHeight="1" x14ac:dyDescent="0.2">
      <c r="A51" s="3" t="s">
        <v>80</v>
      </c>
      <c r="B51" s="4" t="s">
        <v>99</v>
      </c>
      <c r="C51" s="7" t="s">
        <v>12</v>
      </c>
      <c r="D51" s="22">
        <v>21</v>
      </c>
      <c r="E51" s="23">
        <v>4945</v>
      </c>
      <c r="F51" s="23">
        <f t="shared" si="6"/>
        <v>103845</v>
      </c>
    </row>
    <row r="52" spans="1:8" ht="16.5" customHeight="1" x14ac:dyDescent="0.2">
      <c r="A52" s="9" t="s">
        <v>81</v>
      </c>
      <c r="B52" s="10" t="s">
        <v>82</v>
      </c>
      <c r="C52" s="20"/>
      <c r="D52" s="20"/>
      <c r="E52" s="20"/>
      <c r="F52" s="24">
        <f>SUM(F53)</f>
        <v>599576</v>
      </c>
    </row>
    <row r="53" spans="1:8" ht="72" customHeight="1" x14ac:dyDescent="0.2">
      <c r="A53" s="2" t="s">
        <v>83</v>
      </c>
      <c r="B53" s="4" t="s">
        <v>100</v>
      </c>
      <c r="C53" s="7" t="s">
        <v>9</v>
      </c>
      <c r="D53" s="22">
        <v>1</v>
      </c>
      <c r="E53" s="23">
        <v>599576</v>
      </c>
      <c r="F53" s="23">
        <f>D53*E53</f>
        <v>599576</v>
      </c>
    </row>
    <row r="54" spans="1:8" ht="15" customHeight="1" x14ac:dyDescent="0.2">
      <c r="A54" s="9" t="s">
        <v>84</v>
      </c>
      <c r="B54" s="10" t="s">
        <v>85</v>
      </c>
      <c r="C54" s="20"/>
      <c r="D54" s="20"/>
      <c r="E54" s="20"/>
      <c r="F54" s="30">
        <f>SUM(F55:F56)</f>
        <v>721420.44000000006</v>
      </c>
    </row>
    <row r="55" spans="1:8" ht="72" customHeight="1" x14ac:dyDescent="0.2">
      <c r="A55" s="3" t="s">
        <v>86</v>
      </c>
      <c r="B55" s="6" t="s">
        <v>87</v>
      </c>
      <c r="C55" s="7" t="s">
        <v>20</v>
      </c>
      <c r="D55" s="22">
        <v>6.78</v>
      </c>
      <c r="E55" s="23">
        <v>65612</v>
      </c>
      <c r="F55" s="23">
        <f>D55*E55</f>
        <v>444849.36000000004</v>
      </c>
    </row>
    <row r="56" spans="1:8" ht="61.5" customHeight="1" x14ac:dyDescent="0.2">
      <c r="A56" s="32" t="s">
        <v>88</v>
      </c>
      <c r="B56" s="33" t="s">
        <v>89</v>
      </c>
      <c r="C56" s="34" t="s">
        <v>12</v>
      </c>
      <c r="D56" s="35">
        <v>8.34</v>
      </c>
      <c r="E56" s="25">
        <v>33162</v>
      </c>
      <c r="F56" s="25">
        <f>D56*E56</f>
        <v>276571.08</v>
      </c>
    </row>
    <row r="57" spans="1:8" ht="13.5" customHeight="1" x14ac:dyDescent="0.2">
      <c r="A57" s="190" t="s">
        <v>90</v>
      </c>
      <c r="B57" s="190"/>
      <c r="C57" s="190"/>
      <c r="D57" s="190"/>
      <c r="E57" s="190"/>
      <c r="F57" s="36">
        <f>SUM(F5+F13)</f>
        <v>11862722.878599999</v>
      </c>
      <c r="H57" s="29"/>
    </row>
    <row r="58" spans="1:8" x14ac:dyDescent="0.2">
      <c r="B58" s="84"/>
    </row>
    <row r="59" spans="1:8" x14ac:dyDescent="0.2">
      <c r="A59" s="190" t="s">
        <v>286</v>
      </c>
      <c r="B59" s="190"/>
      <c r="C59" s="190"/>
      <c r="D59" s="190"/>
      <c r="E59" s="16">
        <v>85</v>
      </c>
      <c r="F59" s="39">
        <f>F57*E59</f>
        <v>1008331444.681</v>
      </c>
    </row>
    <row r="61" spans="1:8" x14ac:dyDescent="0.2">
      <c r="F61" s="40"/>
    </row>
    <row r="62" spans="1:8" x14ac:dyDescent="0.2">
      <c r="C62" s="185"/>
      <c r="D62" s="185"/>
      <c r="F62" s="40"/>
    </row>
    <row r="63" spans="1:8" x14ac:dyDescent="0.2">
      <c r="F63" s="40"/>
    </row>
  </sheetData>
  <mergeCells count="7">
    <mergeCell ref="A1:F1"/>
    <mergeCell ref="A2:F2"/>
    <mergeCell ref="C62:D62"/>
    <mergeCell ref="A5:E5"/>
    <mergeCell ref="A13:E13"/>
    <mergeCell ref="A57:E57"/>
    <mergeCell ref="A59:D59"/>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1"/>
  <sheetViews>
    <sheetView zoomScale="85" zoomScaleNormal="85" workbookViewId="0">
      <selection activeCell="I101" sqref="I101"/>
    </sheetView>
  </sheetViews>
  <sheetFormatPr baseColWidth="10" defaultColWidth="9.33203125" defaultRowHeight="12.75" x14ac:dyDescent="0.2"/>
  <cols>
    <col min="1" max="1" width="7.33203125" style="41" customWidth="1"/>
    <col min="2" max="2" width="40.6640625" style="28" customWidth="1"/>
    <col min="3" max="3" width="7.1640625" style="28" customWidth="1"/>
    <col min="4" max="4" width="10.83203125" style="28" customWidth="1"/>
    <col min="5" max="5" width="14.6640625" style="28" customWidth="1"/>
    <col min="6" max="6" width="17" style="28" customWidth="1"/>
    <col min="8" max="8" width="15.1640625" customWidth="1"/>
  </cols>
  <sheetData>
    <row r="1" spans="1:8" ht="27" customHeight="1" x14ac:dyDescent="0.2">
      <c r="A1" s="195" t="s">
        <v>106</v>
      </c>
      <c r="B1" s="195"/>
      <c r="C1" s="195"/>
      <c r="D1" s="195"/>
      <c r="E1" s="195"/>
      <c r="F1" s="195"/>
    </row>
    <row r="2" spans="1:8" ht="19.5" customHeight="1" x14ac:dyDescent="0.2">
      <c r="A2" s="196" t="s">
        <v>109</v>
      </c>
      <c r="B2" s="196"/>
      <c r="C2" s="196"/>
      <c r="D2" s="196"/>
      <c r="E2" s="196"/>
      <c r="F2" s="196"/>
    </row>
    <row r="3" spans="1:8" ht="18" customHeight="1" x14ac:dyDescent="0.2">
      <c r="A3" s="85"/>
      <c r="B3" s="38"/>
      <c r="C3" s="38"/>
      <c r="D3" s="38"/>
      <c r="E3" s="38"/>
      <c r="F3" s="38"/>
    </row>
    <row r="4" spans="1:8" ht="26.25" customHeight="1" x14ac:dyDescent="0.2">
      <c r="A4" s="12" t="s">
        <v>101</v>
      </c>
      <c r="B4" s="17" t="s">
        <v>102</v>
      </c>
      <c r="C4" s="17" t="s">
        <v>103</v>
      </c>
      <c r="D4" s="17" t="s">
        <v>104</v>
      </c>
      <c r="E4" s="17" t="s">
        <v>105</v>
      </c>
      <c r="F4" s="17" t="s">
        <v>91</v>
      </c>
    </row>
    <row r="5" spans="1:8" ht="18.75" customHeight="1" x14ac:dyDescent="0.2">
      <c r="A5" s="200" t="s">
        <v>110</v>
      </c>
      <c r="B5" s="201"/>
      <c r="C5" s="201"/>
      <c r="D5" s="201"/>
      <c r="E5" s="202"/>
      <c r="F5" s="68">
        <f>F6+F15</f>
        <v>15332138.228</v>
      </c>
    </row>
    <row r="6" spans="1:8" ht="18" customHeight="1" x14ac:dyDescent="0.2">
      <c r="A6" s="191" t="s">
        <v>0</v>
      </c>
      <c r="B6" s="191"/>
      <c r="C6" s="191"/>
      <c r="D6" s="191"/>
      <c r="E6" s="191"/>
      <c r="F6" s="67">
        <f>F7+F9</f>
        <v>5139592.16</v>
      </c>
    </row>
    <row r="7" spans="1:8" x14ac:dyDescent="0.2">
      <c r="A7" s="45" t="s">
        <v>1</v>
      </c>
      <c r="B7" s="47" t="s">
        <v>2</v>
      </c>
      <c r="C7" s="48"/>
      <c r="D7" s="48"/>
      <c r="E7" s="48"/>
      <c r="F7" s="64">
        <f>F8</f>
        <v>293379.66000000003</v>
      </c>
    </row>
    <row r="8" spans="1:8" s="28" customFormat="1" ht="76.5" x14ac:dyDescent="0.2">
      <c r="A8" s="1" t="s">
        <v>3</v>
      </c>
      <c r="B8" s="51" t="s">
        <v>92</v>
      </c>
      <c r="C8" s="50" t="s">
        <v>4</v>
      </c>
      <c r="D8" s="52">
        <v>6.66</v>
      </c>
      <c r="E8" s="53">
        <v>44051</v>
      </c>
      <c r="F8" s="53">
        <f>D8*E8</f>
        <v>293379.66000000003</v>
      </c>
      <c r="G8"/>
      <c r="H8"/>
    </row>
    <row r="9" spans="1:8" ht="25.5" x14ac:dyDescent="0.2">
      <c r="A9" s="43" t="s">
        <v>5</v>
      </c>
      <c r="B9" s="54" t="s">
        <v>6</v>
      </c>
      <c r="C9" s="49"/>
      <c r="D9" s="49"/>
      <c r="E9" s="49"/>
      <c r="F9" s="65">
        <f>SUM(F10:F14)</f>
        <v>4846212.5</v>
      </c>
    </row>
    <row r="10" spans="1:8" ht="25.5" x14ac:dyDescent="0.2">
      <c r="A10" s="1" t="s">
        <v>111</v>
      </c>
      <c r="B10" s="50" t="s">
        <v>112</v>
      </c>
      <c r="C10" s="50" t="s">
        <v>79</v>
      </c>
      <c r="D10" s="52">
        <v>1</v>
      </c>
      <c r="E10" s="53">
        <v>477389</v>
      </c>
      <c r="F10" s="53">
        <f>D10*E10</f>
        <v>477389</v>
      </c>
    </row>
    <row r="11" spans="1:8" ht="143.25" customHeight="1" x14ac:dyDescent="0.2">
      <c r="A11" s="1" t="s">
        <v>7</v>
      </c>
      <c r="B11" s="50" t="s">
        <v>113</v>
      </c>
      <c r="C11" s="50" t="s">
        <v>9</v>
      </c>
      <c r="D11" s="52">
        <v>1</v>
      </c>
      <c r="E11" s="53">
        <v>3198480</v>
      </c>
      <c r="F11" s="53">
        <f t="shared" ref="F11:F14" si="0">D11*E11</f>
        <v>3198480</v>
      </c>
    </row>
    <row r="12" spans="1:8" ht="63.75" x14ac:dyDescent="0.2">
      <c r="A12" s="1" t="s">
        <v>10</v>
      </c>
      <c r="B12" s="51" t="s">
        <v>163</v>
      </c>
      <c r="C12" s="50" t="s">
        <v>12</v>
      </c>
      <c r="D12" s="52">
        <v>6</v>
      </c>
      <c r="E12" s="53">
        <v>36847</v>
      </c>
      <c r="F12" s="53">
        <f t="shared" si="0"/>
        <v>221082</v>
      </c>
    </row>
    <row r="13" spans="1:8" ht="63.75" x14ac:dyDescent="0.2">
      <c r="A13" s="1" t="s">
        <v>13</v>
      </c>
      <c r="B13" s="50" t="s">
        <v>114</v>
      </c>
      <c r="C13" s="50" t="s">
        <v>12</v>
      </c>
      <c r="D13" s="52">
        <v>6.75</v>
      </c>
      <c r="E13" s="53">
        <v>60542</v>
      </c>
      <c r="F13" s="53">
        <f t="shared" si="0"/>
        <v>408658.5</v>
      </c>
    </row>
    <row r="14" spans="1:8" ht="102" x14ac:dyDescent="0.2">
      <c r="A14" s="42" t="s">
        <v>15</v>
      </c>
      <c r="B14" s="57" t="s">
        <v>115</v>
      </c>
      <c r="C14" s="57" t="s">
        <v>9</v>
      </c>
      <c r="D14" s="63">
        <v>1</v>
      </c>
      <c r="E14" s="56">
        <v>540603</v>
      </c>
      <c r="F14" s="56">
        <f t="shared" si="0"/>
        <v>540603</v>
      </c>
    </row>
    <row r="15" spans="1:8" ht="21" customHeight="1" x14ac:dyDescent="0.2">
      <c r="A15" s="192" t="s">
        <v>116</v>
      </c>
      <c r="B15" s="192"/>
      <c r="C15" s="192"/>
      <c r="D15" s="192"/>
      <c r="E15" s="192"/>
      <c r="F15" s="68">
        <f>SUM(F55+F53+F46+F40+F36+F33+F30+F28+F25+F20+F16)</f>
        <v>10192546.068</v>
      </c>
    </row>
    <row r="16" spans="1:8" x14ac:dyDescent="0.2">
      <c r="A16" s="46" t="s">
        <v>1</v>
      </c>
      <c r="B16" s="47" t="s">
        <v>2</v>
      </c>
      <c r="C16" s="66"/>
      <c r="D16" s="66"/>
      <c r="E16" s="66"/>
      <c r="F16" s="64">
        <f>SUM(F17:F19)</f>
        <v>520279.41000000003</v>
      </c>
    </row>
    <row r="17" spans="1:6" ht="51" x14ac:dyDescent="0.2">
      <c r="A17" s="1" t="s">
        <v>18</v>
      </c>
      <c r="B17" s="50" t="s">
        <v>19</v>
      </c>
      <c r="C17" s="50" t="s">
        <v>20</v>
      </c>
      <c r="D17" s="52">
        <v>5.64</v>
      </c>
      <c r="E17" s="53">
        <v>7260</v>
      </c>
      <c r="F17" s="53">
        <f>D17*E17</f>
        <v>40946.399999999994</v>
      </c>
    </row>
    <row r="18" spans="1:6" ht="76.5" x14ac:dyDescent="0.2">
      <c r="A18" s="1" t="s">
        <v>3</v>
      </c>
      <c r="B18" s="51" t="s">
        <v>92</v>
      </c>
      <c r="C18" s="50" t="s">
        <v>4</v>
      </c>
      <c r="D18" s="52">
        <v>1.69</v>
      </c>
      <c r="E18" s="53">
        <v>44051</v>
      </c>
      <c r="F18" s="53">
        <f t="shared" ref="F18:F19" si="1">D18*E18</f>
        <v>74446.19</v>
      </c>
    </row>
    <row r="19" spans="1:6" ht="51" x14ac:dyDescent="0.2">
      <c r="A19" s="1" t="s">
        <v>22</v>
      </c>
      <c r="B19" s="50" t="s">
        <v>117</v>
      </c>
      <c r="C19" s="50" t="s">
        <v>4</v>
      </c>
      <c r="D19" s="52">
        <v>1.69</v>
      </c>
      <c r="E19" s="53">
        <v>239578</v>
      </c>
      <c r="F19" s="53">
        <f t="shared" si="1"/>
        <v>404886.82</v>
      </c>
    </row>
    <row r="20" spans="1:6" x14ac:dyDescent="0.2">
      <c r="A20" s="44" t="s">
        <v>24</v>
      </c>
      <c r="B20" s="54" t="s">
        <v>25</v>
      </c>
      <c r="C20" s="49"/>
      <c r="D20" s="49"/>
      <c r="E20" s="49"/>
      <c r="F20" s="65">
        <f>SUM(F21:F24)</f>
        <v>2600331.0299999998</v>
      </c>
    </row>
    <row r="21" spans="1:6" ht="76.5" x14ac:dyDescent="0.2">
      <c r="A21" s="1" t="s">
        <v>26</v>
      </c>
      <c r="B21" s="50" t="s">
        <v>118</v>
      </c>
      <c r="C21" s="50" t="s">
        <v>12</v>
      </c>
      <c r="D21" s="52">
        <v>7.59</v>
      </c>
      <c r="E21" s="53">
        <v>60022</v>
      </c>
      <c r="F21" s="53">
        <f>D21*E21</f>
        <v>455566.98</v>
      </c>
    </row>
    <row r="22" spans="1:6" ht="76.5" x14ac:dyDescent="0.2">
      <c r="A22" s="1" t="s">
        <v>119</v>
      </c>
      <c r="B22" s="50" t="s">
        <v>120</v>
      </c>
      <c r="C22" s="50" t="s">
        <v>20</v>
      </c>
      <c r="D22" s="52">
        <v>5.64</v>
      </c>
      <c r="E22" s="56">
        <v>136978</v>
      </c>
      <c r="F22" s="53">
        <f t="shared" ref="F22:F24" si="2">D22*E22</f>
        <v>772555.91999999993</v>
      </c>
    </row>
    <row r="23" spans="1:6" ht="102" x14ac:dyDescent="0.2">
      <c r="A23" s="42" t="s">
        <v>32</v>
      </c>
      <c r="B23" s="57" t="s">
        <v>121</v>
      </c>
      <c r="C23" s="57" t="s">
        <v>34</v>
      </c>
      <c r="D23" s="58">
        <v>136.13999999999999</v>
      </c>
      <c r="E23" s="59">
        <v>6885</v>
      </c>
      <c r="F23" s="60">
        <f t="shared" si="2"/>
        <v>937323.89999999991</v>
      </c>
    </row>
    <row r="24" spans="1:6" ht="76.5" x14ac:dyDescent="0.2">
      <c r="A24" s="1" t="s">
        <v>122</v>
      </c>
      <c r="B24" s="50" t="s">
        <v>123</v>
      </c>
      <c r="C24" s="50" t="s">
        <v>20</v>
      </c>
      <c r="D24" s="52">
        <v>1.38</v>
      </c>
      <c r="E24" s="62">
        <v>315133.5</v>
      </c>
      <c r="F24" s="53">
        <f t="shared" si="2"/>
        <v>434884.23</v>
      </c>
    </row>
    <row r="25" spans="1:6" x14ac:dyDescent="0.2">
      <c r="A25" s="44" t="s">
        <v>35</v>
      </c>
      <c r="B25" s="54" t="s">
        <v>36</v>
      </c>
      <c r="C25" s="49"/>
      <c r="D25" s="49"/>
      <c r="E25" s="49"/>
      <c r="F25" s="65">
        <f>SUM(F26:F27)</f>
        <v>2811960.8499999996</v>
      </c>
    </row>
    <row r="26" spans="1:6" ht="89.25" x14ac:dyDescent="0.2">
      <c r="A26" s="1" t="s">
        <v>37</v>
      </c>
      <c r="B26" s="50" t="s">
        <v>38</v>
      </c>
      <c r="C26" s="50" t="s">
        <v>12</v>
      </c>
      <c r="D26" s="52">
        <v>28</v>
      </c>
      <c r="E26" s="53">
        <v>27394</v>
      </c>
      <c r="F26" s="53">
        <f>D26*E26</f>
        <v>767032</v>
      </c>
    </row>
    <row r="27" spans="1:6" ht="165.75" x14ac:dyDescent="0.2">
      <c r="A27" s="1" t="s">
        <v>124</v>
      </c>
      <c r="B27" s="51" t="s">
        <v>164</v>
      </c>
      <c r="C27" s="50" t="s">
        <v>20</v>
      </c>
      <c r="D27" s="52">
        <v>15.87</v>
      </c>
      <c r="E27" s="53">
        <v>128855</v>
      </c>
      <c r="F27" s="53">
        <f>D27*E27</f>
        <v>2044928.8499999999</v>
      </c>
    </row>
    <row r="28" spans="1:6" x14ac:dyDescent="0.2">
      <c r="A28" s="44" t="s">
        <v>42</v>
      </c>
      <c r="B28" s="54" t="s">
        <v>43</v>
      </c>
      <c r="C28" s="49"/>
      <c r="D28" s="49"/>
      <c r="E28" s="49"/>
      <c r="F28" s="65">
        <f>F29</f>
        <v>203783.48</v>
      </c>
    </row>
    <row r="29" spans="1:6" ht="51" x14ac:dyDescent="0.2">
      <c r="A29" s="1" t="s">
        <v>44</v>
      </c>
      <c r="B29" s="50" t="s">
        <v>125</v>
      </c>
      <c r="C29" s="50" t="s">
        <v>20</v>
      </c>
      <c r="D29" s="52">
        <v>5.63</v>
      </c>
      <c r="E29" s="53">
        <v>36196</v>
      </c>
      <c r="F29" s="53">
        <f>D29*E29</f>
        <v>203783.48</v>
      </c>
    </row>
    <row r="30" spans="1:6" x14ac:dyDescent="0.2">
      <c r="A30" s="44" t="s">
        <v>46</v>
      </c>
      <c r="B30" s="54" t="s">
        <v>47</v>
      </c>
      <c r="C30" s="49"/>
      <c r="D30" s="49"/>
      <c r="E30" s="49"/>
      <c r="F30" s="65">
        <f>SUM(F31:F32)</f>
        <v>723303.81799999997</v>
      </c>
    </row>
    <row r="31" spans="1:6" ht="76.5" x14ac:dyDescent="0.2">
      <c r="A31" s="1" t="s">
        <v>48</v>
      </c>
      <c r="B31" s="51" t="s">
        <v>165</v>
      </c>
      <c r="C31" s="50" t="s">
        <v>20</v>
      </c>
      <c r="D31" s="52">
        <v>5.63</v>
      </c>
      <c r="E31" s="53">
        <v>93209.2</v>
      </c>
      <c r="F31" s="53">
        <f>D31*E31</f>
        <v>524767.79599999997</v>
      </c>
    </row>
    <row r="32" spans="1:6" ht="63.75" x14ac:dyDescent="0.2">
      <c r="A32" s="1" t="s">
        <v>49</v>
      </c>
      <c r="B32" s="51" t="s">
        <v>166</v>
      </c>
      <c r="C32" s="50" t="s">
        <v>20</v>
      </c>
      <c r="D32" s="52">
        <v>2.13</v>
      </c>
      <c r="E32" s="53">
        <v>93209.4</v>
      </c>
      <c r="F32" s="53">
        <f>D32*E32</f>
        <v>198536.02199999997</v>
      </c>
    </row>
    <row r="33" spans="1:6" x14ac:dyDescent="0.2">
      <c r="A33" s="44" t="s">
        <v>50</v>
      </c>
      <c r="B33" s="54" t="s">
        <v>51</v>
      </c>
      <c r="C33" s="49"/>
      <c r="D33" s="49"/>
      <c r="E33" s="49"/>
      <c r="F33" s="65">
        <f>SUM(F34:F35)</f>
        <v>801181</v>
      </c>
    </row>
    <row r="34" spans="1:6" ht="127.5" x14ac:dyDescent="0.2">
      <c r="A34" s="1" t="s">
        <v>52</v>
      </c>
      <c r="B34" s="50" t="s">
        <v>126</v>
      </c>
      <c r="C34" s="50" t="s">
        <v>9</v>
      </c>
      <c r="D34" s="52">
        <v>1</v>
      </c>
      <c r="E34" s="53">
        <v>659649</v>
      </c>
      <c r="F34" s="53">
        <f>D34*E34</f>
        <v>659649</v>
      </c>
    </row>
    <row r="35" spans="1:6" ht="76.5" x14ac:dyDescent="0.2">
      <c r="A35" s="1" t="s">
        <v>54</v>
      </c>
      <c r="B35" s="50" t="s">
        <v>55</v>
      </c>
      <c r="C35" s="50" t="s">
        <v>9</v>
      </c>
      <c r="D35" s="52">
        <v>1</v>
      </c>
      <c r="E35" s="53">
        <v>141532</v>
      </c>
      <c r="F35" s="53">
        <f>D35*E35</f>
        <v>141532</v>
      </c>
    </row>
    <row r="36" spans="1:6" x14ac:dyDescent="0.2">
      <c r="A36" s="44" t="s">
        <v>56</v>
      </c>
      <c r="B36" s="54" t="s">
        <v>57</v>
      </c>
      <c r="C36" s="49"/>
      <c r="D36" s="49"/>
      <c r="E36" s="49"/>
      <c r="F36" s="65">
        <f>SUM(F37:F39)</f>
        <v>272360.59999999998</v>
      </c>
    </row>
    <row r="37" spans="1:6" ht="63.75" x14ac:dyDescent="0.2">
      <c r="A37" s="1" t="s">
        <v>58</v>
      </c>
      <c r="B37" s="50" t="s">
        <v>59</v>
      </c>
      <c r="C37" s="50" t="s">
        <v>9</v>
      </c>
      <c r="D37" s="52">
        <v>3</v>
      </c>
      <c r="E37" s="53">
        <v>38473</v>
      </c>
      <c r="F37" s="53">
        <f>D37*E37</f>
        <v>115419</v>
      </c>
    </row>
    <row r="38" spans="1:6" ht="63.75" x14ac:dyDescent="0.2">
      <c r="A38" s="1" t="s">
        <v>60</v>
      </c>
      <c r="B38" s="50" t="s">
        <v>61</v>
      </c>
      <c r="C38" s="50" t="s">
        <v>12</v>
      </c>
      <c r="D38" s="52">
        <v>9.6</v>
      </c>
      <c r="E38" s="53">
        <v>11786</v>
      </c>
      <c r="F38" s="53">
        <f t="shared" ref="F38:F39" si="3">D38*E38</f>
        <v>113145.59999999999</v>
      </c>
    </row>
    <row r="39" spans="1:6" ht="63.75" x14ac:dyDescent="0.2">
      <c r="A39" s="1" t="s">
        <v>62</v>
      </c>
      <c r="B39" s="51" t="s">
        <v>167</v>
      </c>
      <c r="C39" s="50" t="s">
        <v>9</v>
      </c>
      <c r="D39" s="52">
        <v>1</v>
      </c>
      <c r="E39" s="53">
        <v>43796</v>
      </c>
      <c r="F39" s="53">
        <f t="shared" si="3"/>
        <v>43796</v>
      </c>
    </row>
    <row r="40" spans="1:6" x14ac:dyDescent="0.2">
      <c r="A40" s="44" t="s">
        <v>63</v>
      </c>
      <c r="B40" s="54" t="s">
        <v>64</v>
      </c>
      <c r="C40" s="49"/>
      <c r="D40" s="49"/>
      <c r="E40" s="49"/>
      <c r="F40" s="65">
        <f>SUM(F41:F45)</f>
        <v>668145.19999999995</v>
      </c>
    </row>
    <row r="41" spans="1:6" ht="63.75" x14ac:dyDescent="0.2">
      <c r="A41" s="1" t="s">
        <v>65</v>
      </c>
      <c r="B41" s="51" t="s">
        <v>168</v>
      </c>
      <c r="C41" s="50" t="s">
        <v>9</v>
      </c>
      <c r="D41" s="52">
        <v>2</v>
      </c>
      <c r="E41" s="53">
        <v>59729</v>
      </c>
      <c r="F41" s="53">
        <f>D41*E41</f>
        <v>119458</v>
      </c>
    </row>
    <row r="42" spans="1:6" ht="63.75" x14ac:dyDescent="0.2">
      <c r="A42" s="1" t="s">
        <v>66</v>
      </c>
      <c r="B42" s="51" t="s">
        <v>169</v>
      </c>
      <c r="C42" s="50" t="s">
        <v>9</v>
      </c>
      <c r="D42" s="52">
        <v>1</v>
      </c>
      <c r="E42" s="53">
        <v>125761</v>
      </c>
      <c r="F42" s="53">
        <f t="shared" ref="F42:F45" si="4">D42*E42</f>
        <v>125761</v>
      </c>
    </row>
    <row r="43" spans="1:6" ht="63.75" x14ac:dyDescent="0.2">
      <c r="A43" s="1" t="s">
        <v>10</v>
      </c>
      <c r="B43" s="50" t="s">
        <v>127</v>
      </c>
      <c r="C43" s="50" t="s">
        <v>12</v>
      </c>
      <c r="D43" s="52">
        <v>0.6</v>
      </c>
      <c r="E43" s="56">
        <v>36847</v>
      </c>
      <c r="F43" s="53">
        <f t="shared" si="4"/>
        <v>22108.2</v>
      </c>
    </row>
    <row r="44" spans="1:6" ht="63.75" x14ac:dyDescent="0.2">
      <c r="A44" s="42" t="s">
        <v>13</v>
      </c>
      <c r="B44" s="57" t="s">
        <v>114</v>
      </c>
      <c r="C44" s="57" t="s">
        <v>12</v>
      </c>
      <c r="D44" s="58">
        <v>6</v>
      </c>
      <c r="E44" s="59">
        <v>60542</v>
      </c>
      <c r="F44" s="60">
        <f t="shared" si="4"/>
        <v>363252</v>
      </c>
    </row>
    <row r="45" spans="1:6" ht="63.75" x14ac:dyDescent="0.2">
      <c r="A45" s="1" t="s">
        <v>67</v>
      </c>
      <c r="B45" s="50" t="s">
        <v>128</v>
      </c>
      <c r="C45" s="50" t="s">
        <v>9</v>
      </c>
      <c r="D45" s="52">
        <v>1</v>
      </c>
      <c r="E45" s="62">
        <v>37566</v>
      </c>
      <c r="F45" s="53">
        <f t="shared" si="4"/>
        <v>37566</v>
      </c>
    </row>
    <row r="46" spans="1:6" x14ac:dyDescent="0.2">
      <c r="A46" s="44" t="s">
        <v>68</v>
      </c>
      <c r="B46" s="54" t="s">
        <v>69</v>
      </c>
      <c r="C46" s="49"/>
      <c r="D46" s="49"/>
      <c r="E46" s="49"/>
      <c r="F46" s="65">
        <f>SUM(F47:F52)</f>
        <v>334953</v>
      </c>
    </row>
    <row r="47" spans="1:6" ht="76.5" x14ac:dyDescent="0.2">
      <c r="A47" s="1" t="s">
        <v>70</v>
      </c>
      <c r="B47" s="50" t="s">
        <v>129</v>
      </c>
      <c r="C47" s="50" t="s">
        <v>9</v>
      </c>
      <c r="D47" s="52">
        <v>1</v>
      </c>
      <c r="E47" s="53">
        <v>75827</v>
      </c>
      <c r="F47" s="53">
        <f>D47*E47</f>
        <v>75827</v>
      </c>
    </row>
    <row r="48" spans="1:6" ht="159.75" customHeight="1" x14ac:dyDescent="0.2">
      <c r="A48" s="1" t="s">
        <v>72</v>
      </c>
      <c r="B48" s="50" t="s">
        <v>130</v>
      </c>
      <c r="C48" s="50" t="s">
        <v>9</v>
      </c>
      <c r="D48" s="52">
        <v>1</v>
      </c>
      <c r="E48" s="53">
        <v>30188</v>
      </c>
      <c r="F48" s="53">
        <f t="shared" ref="F48:F52" si="5">D48*E48</f>
        <v>30188</v>
      </c>
    </row>
    <row r="49" spans="1:6" ht="169.5" customHeight="1" x14ac:dyDescent="0.2">
      <c r="A49" s="1" t="s">
        <v>74</v>
      </c>
      <c r="B49" s="50" t="s">
        <v>131</v>
      </c>
      <c r="C49" s="50" t="s">
        <v>9</v>
      </c>
      <c r="D49" s="52">
        <v>1</v>
      </c>
      <c r="E49" s="53">
        <v>26499</v>
      </c>
      <c r="F49" s="53">
        <f t="shared" si="5"/>
        <v>26499</v>
      </c>
    </row>
    <row r="50" spans="1:6" ht="76.5" x14ac:dyDescent="0.2">
      <c r="A50" s="1" t="s">
        <v>76</v>
      </c>
      <c r="B50" s="51" t="s">
        <v>93</v>
      </c>
      <c r="C50" s="50" t="s">
        <v>12</v>
      </c>
      <c r="D50" s="52">
        <v>7</v>
      </c>
      <c r="E50" s="53">
        <v>6156</v>
      </c>
      <c r="F50" s="53">
        <f t="shared" si="5"/>
        <v>43092</v>
      </c>
    </row>
    <row r="51" spans="1:6" ht="76.5" x14ac:dyDescent="0.2">
      <c r="A51" s="1" t="s">
        <v>77</v>
      </c>
      <c r="B51" s="50" t="s">
        <v>132</v>
      </c>
      <c r="C51" s="50" t="s">
        <v>79</v>
      </c>
      <c r="D51" s="52">
        <v>1</v>
      </c>
      <c r="E51" s="53">
        <v>55502</v>
      </c>
      <c r="F51" s="53">
        <f t="shared" si="5"/>
        <v>55502</v>
      </c>
    </row>
    <row r="52" spans="1:6" ht="127.5" x14ac:dyDescent="0.2">
      <c r="A52" s="1" t="s">
        <v>80</v>
      </c>
      <c r="B52" s="50" t="s">
        <v>133</v>
      </c>
      <c r="C52" s="50" t="s">
        <v>12</v>
      </c>
      <c r="D52" s="52">
        <v>21</v>
      </c>
      <c r="E52" s="53">
        <v>4945</v>
      </c>
      <c r="F52" s="53">
        <f t="shared" si="5"/>
        <v>103845</v>
      </c>
    </row>
    <row r="53" spans="1:6" x14ac:dyDescent="0.2">
      <c r="A53" s="44" t="s">
        <v>81</v>
      </c>
      <c r="B53" s="54" t="s">
        <v>82</v>
      </c>
      <c r="C53" s="49"/>
      <c r="D53" s="49"/>
      <c r="E53" s="49"/>
      <c r="F53" s="65">
        <f>F54</f>
        <v>546076</v>
      </c>
    </row>
    <row r="54" spans="1:6" ht="63.75" x14ac:dyDescent="0.2">
      <c r="A54" s="1" t="s">
        <v>134</v>
      </c>
      <c r="B54" s="50" t="s">
        <v>135</v>
      </c>
      <c r="C54" s="50" t="s">
        <v>79</v>
      </c>
      <c r="D54" s="52">
        <v>1</v>
      </c>
      <c r="E54" s="53">
        <v>546076</v>
      </c>
      <c r="F54" s="53">
        <f>D54*E54</f>
        <v>546076</v>
      </c>
    </row>
    <row r="55" spans="1:6" x14ac:dyDescent="0.2">
      <c r="A55" s="44" t="s">
        <v>84</v>
      </c>
      <c r="B55" s="54" t="s">
        <v>85</v>
      </c>
      <c r="C55" s="49"/>
      <c r="D55" s="49"/>
      <c r="E55" s="49"/>
      <c r="F55" s="65">
        <f>SUM(F56:F57)</f>
        <v>710171.67999999993</v>
      </c>
    </row>
    <row r="56" spans="1:6" ht="89.25" x14ac:dyDescent="0.2">
      <c r="A56" s="1" t="s">
        <v>86</v>
      </c>
      <c r="B56" s="50" t="s">
        <v>136</v>
      </c>
      <c r="C56" s="50" t="s">
        <v>20</v>
      </c>
      <c r="D56" s="52">
        <v>4.88</v>
      </c>
      <c r="E56" s="53">
        <v>65612</v>
      </c>
      <c r="F56" s="53">
        <f>D56*E56</f>
        <v>320186.56</v>
      </c>
    </row>
    <row r="57" spans="1:6" ht="63.75" x14ac:dyDescent="0.2">
      <c r="A57" s="1" t="s">
        <v>88</v>
      </c>
      <c r="B57" s="50" t="s">
        <v>137</v>
      </c>
      <c r="C57" s="50" t="s">
        <v>12</v>
      </c>
      <c r="D57" s="52">
        <v>11.76</v>
      </c>
      <c r="E57" s="53">
        <v>33162</v>
      </c>
      <c r="F57" s="56">
        <f>D57*E57</f>
        <v>389985.12</v>
      </c>
    </row>
    <row r="58" spans="1:6" ht="17.25" customHeight="1" x14ac:dyDescent="0.2">
      <c r="A58" s="193" t="s">
        <v>138</v>
      </c>
      <c r="B58" s="194"/>
      <c r="C58" s="194"/>
      <c r="D58" s="194"/>
      <c r="E58" s="194"/>
      <c r="F58" s="68">
        <f>F59+F75</f>
        <v>3681084</v>
      </c>
    </row>
    <row r="59" spans="1:6" ht="12.75" customHeight="1" x14ac:dyDescent="0.2">
      <c r="A59" s="197" t="s">
        <v>139</v>
      </c>
      <c r="B59" s="198"/>
      <c r="C59" s="198"/>
      <c r="D59" s="198"/>
      <c r="E59" s="198"/>
      <c r="F59" s="67">
        <f>F60+F62+F66+F68</f>
        <v>3098008</v>
      </c>
    </row>
    <row r="60" spans="1:6" x14ac:dyDescent="0.2">
      <c r="A60" s="44" t="s">
        <v>140</v>
      </c>
      <c r="B60" s="54" t="s">
        <v>141</v>
      </c>
      <c r="C60" s="55"/>
      <c r="D60" s="55"/>
      <c r="E60" s="55"/>
      <c r="F60" s="64">
        <f>F61</f>
        <v>655317</v>
      </c>
    </row>
    <row r="61" spans="1:6" ht="102" x14ac:dyDescent="0.2">
      <c r="A61" s="42" t="s">
        <v>142</v>
      </c>
      <c r="B61" s="61" t="s">
        <v>170</v>
      </c>
      <c r="C61" s="57" t="s">
        <v>79</v>
      </c>
      <c r="D61" s="63">
        <v>1</v>
      </c>
      <c r="E61" s="56">
        <v>655317</v>
      </c>
      <c r="F61" s="56">
        <f>D61*E61</f>
        <v>655317</v>
      </c>
    </row>
    <row r="62" spans="1:6" x14ac:dyDescent="0.2">
      <c r="A62" s="44" t="s">
        <v>56</v>
      </c>
      <c r="B62" s="54" t="s">
        <v>143</v>
      </c>
      <c r="C62" s="49"/>
      <c r="D62" s="49"/>
      <c r="E62" s="49"/>
      <c r="F62" s="65">
        <f>SUM(F63:F65)</f>
        <v>403060</v>
      </c>
    </row>
    <row r="63" spans="1:6" ht="63.75" x14ac:dyDescent="0.2">
      <c r="A63" s="1" t="s">
        <v>60</v>
      </c>
      <c r="B63" s="50" t="s">
        <v>61</v>
      </c>
      <c r="C63" s="50" t="s">
        <v>12</v>
      </c>
      <c r="D63" s="52">
        <v>13</v>
      </c>
      <c r="E63" s="53">
        <v>11786</v>
      </c>
      <c r="F63" s="53">
        <f>D63*E63</f>
        <v>153218</v>
      </c>
    </row>
    <row r="64" spans="1:6" ht="51" x14ac:dyDescent="0.2">
      <c r="A64" s="1" t="s">
        <v>62</v>
      </c>
      <c r="B64" s="50" t="s">
        <v>144</v>
      </c>
      <c r="C64" s="50" t="s">
        <v>79</v>
      </c>
      <c r="D64" s="52">
        <v>1</v>
      </c>
      <c r="E64" s="53">
        <v>43796</v>
      </c>
      <c r="F64" s="53">
        <f t="shared" ref="F64:F65" si="6">D64*E64</f>
        <v>43796</v>
      </c>
    </row>
    <row r="65" spans="1:6" ht="63.75" x14ac:dyDescent="0.2">
      <c r="A65" s="1" t="s">
        <v>145</v>
      </c>
      <c r="B65" s="50" t="s">
        <v>146</v>
      </c>
      <c r="C65" s="50" t="s">
        <v>12</v>
      </c>
      <c r="D65" s="52">
        <v>18</v>
      </c>
      <c r="E65" s="53">
        <v>11447</v>
      </c>
      <c r="F65" s="53">
        <f t="shared" si="6"/>
        <v>206046</v>
      </c>
    </row>
    <row r="66" spans="1:6" x14ac:dyDescent="0.2">
      <c r="A66" s="44" t="s">
        <v>147</v>
      </c>
      <c r="B66" s="54" t="s">
        <v>148</v>
      </c>
      <c r="C66" s="49"/>
      <c r="D66" s="49"/>
      <c r="E66" s="49"/>
      <c r="F66" s="65">
        <f>F67</f>
        <v>867137</v>
      </c>
    </row>
    <row r="67" spans="1:6" ht="155.25" customHeight="1" x14ac:dyDescent="0.2">
      <c r="A67" s="1" t="s">
        <v>149</v>
      </c>
      <c r="B67" s="51" t="s">
        <v>171</v>
      </c>
      <c r="C67" s="50" t="s">
        <v>79</v>
      </c>
      <c r="D67" s="52">
        <v>1</v>
      </c>
      <c r="E67" s="53">
        <v>867137</v>
      </c>
      <c r="F67" s="53">
        <f>D67*E67</f>
        <v>867137</v>
      </c>
    </row>
    <row r="68" spans="1:6" x14ac:dyDescent="0.2">
      <c r="A68" s="44" t="s">
        <v>68</v>
      </c>
      <c r="B68" s="54" t="s">
        <v>150</v>
      </c>
      <c r="C68" s="49"/>
      <c r="D68" s="49"/>
      <c r="E68" s="49"/>
      <c r="F68" s="65">
        <f>SUM(F69:F74)</f>
        <v>1172494</v>
      </c>
    </row>
    <row r="69" spans="1:6" ht="89.25" x14ac:dyDescent="0.2">
      <c r="A69" s="1" t="s">
        <v>70</v>
      </c>
      <c r="B69" s="51" t="s">
        <v>172</v>
      </c>
      <c r="C69" s="50" t="s">
        <v>9</v>
      </c>
      <c r="D69" s="52">
        <v>1</v>
      </c>
      <c r="E69" s="53">
        <v>75827</v>
      </c>
      <c r="F69" s="53">
        <f>D69*E69</f>
        <v>75827</v>
      </c>
    </row>
    <row r="70" spans="1:6" ht="51" x14ac:dyDescent="0.2">
      <c r="A70" s="1" t="s">
        <v>151</v>
      </c>
      <c r="B70" s="51" t="s">
        <v>173</v>
      </c>
      <c r="C70" s="50" t="s">
        <v>12</v>
      </c>
      <c r="D70" s="52">
        <v>27</v>
      </c>
      <c r="E70" s="53">
        <v>6950</v>
      </c>
      <c r="F70" s="53">
        <f t="shared" ref="F70:F74" si="7">D70*E70</f>
        <v>187650</v>
      </c>
    </row>
    <row r="71" spans="1:6" ht="76.5" x14ac:dyDescent="0.2">
      <c r="A71" s="1" t="s">
        <v>152</v>
      </c>
      <c r="B71" s="51" t="s">
        <v>174</v>
      </c>
      <c r="C71" s="50" t="s">
        <v>9</v>
      </c>
      <c r="D71" s="52">
        <v>1</v>
      </c>
      <c r="E71" s="53">
        <v>20838</v>
      </c>
      <c r="F71" s="53">
        <f t="shared" si="7"/>
        <v>20838</v>
      </c>
    </row>
    <row r="72" spans="1:6" ht="76.5" x14ac:dyDescent="0.2">
      <c r="A72" s="1" t="s">
        <v>153</v>
      </c>
      <c r="B72" s="51" t="s">
        <v>175</v>
      </c>
      <c r="C72" s="50" t="s">
        <v>12</v>
      </c>
      <c r="D72" s="52">
        <v>9</v>
      </c>
      <c r="E72" s="53">
        <v>77229</v>
      </c>
      <c r="F72" s="53">
        <f t="shared" si="7"/>
        <v>695061</v>
      </c>
    </row>
    <row r="73" spans="1:6" ht="63.75" x14ac:dyDescent="0.2">
      <c r="A73" s="1" t="s">
        <v>154</v>
      </c>
      <c r="B73" s="50" t="s">
        <v>155</v>
      </c>
      <c r="C73" s="50" t="s">
        <v>79</v>
      </c>
      <c r="D73" s="52">
        <v>1</v>
      </c>
      <c r="E73" s="53">
        <v>171736</v>
      </c>
      <c r="F73" s="53">
        <f t="shared" si="7"/>
        <v>171736</v>
      </c>
    </row>
    <row r="74" spans="1:6" ht="25.5" x14ac:dyDescent="0.2">
      <c r="A74" s="1" t="s">
        <v>156</v>
      </c>
      <c r="B74" s="50" t="s">
        <v>157</v>
      </c>
      <c r="C74" s="50" t="s">
        <v>79</v>
      </c>
      <c r="D74" s="52">
        <v>2</v>
      </c>
      <c r="E74" s="53">
        <v>10691</v>
      </c>
      <c r="F74" s="56">
        <f t="shared" si="7"/>
        <v>21382</v>
      </c>
    </row>
    <row r="75" spans="1:6" ht="12.75" customHeight="1" x14ac:dyDescent="0.2">
      <c r="A75" s="197" t="s">
        <v>158</v>
      </c>
      <c r="B75" s="198"/>
      <c r="C75" s="198"/>
      <c r="D75" s="198"/>
      <c r="E75" s="198"/>
      <c r="F75" s="67">
        <f>F76</f>
        <v>583076</v>
      </c>
    </row>
    <row r="76" spans="1:6" ht="25.5" x14ac:dyDescent="0.2">
      <c r="A76" s="44" t="s">
        <v>159</v>
      </c>
      <c r="B76" s="54" t="s">
        <v>160</v>
      </c>
      <c r="C76" s="55"/>
      <c r="D76" s="55"/>
      <c r="E76" s="55"/>
      <c r="F76" s="64">
        <f>SUM(F77:F78)</f>
        <v>583076</v>
      </c>
    </row>
    <row r="77" spans="1:6" ht="51" x14ac:dyDescent="0.2">
      <c r="A77" s="1" t="s">
        <v>161</v>
      </c>
      <c r="B77" s="50" t="s">
        <v>162</v>
      </c>
      <c r="C77" s="50" t="s">
        <v>79</v>
      </c>
      <c r="D77" s="52">
        <v>1</v>
      </c>
      <c r="E77" s="53">
        <v>544603</v>
      </c>
      <c r="F77" s="53">
        <f>D77*E77</f>
        <v>544603</v>
      </c>
    </row>
    <row r="78" spans="1:6" ht="63.75" x14ac:dyDescent="0.2">
      <c r="A78" s="42" t="s">
        <v>58</v>
      </c>
      <c r="B78" s="57" t="s">
        <v>59</v>
      </c>
      <c r="C78" s="57" t="s">
        <v>79</v>
      </c>
      <c r="D78" s="63">
        <v>1</v>
      </c>
      <c r="E78" s="56">
        <v>38473</v>
      </c>
      <c r="F78" s="56">
        <f>D78*E78</f>
        <v>38473</v>
      </c>
    </row>
    <row r="79" spans="1:6" ht="24.75" customHeight="1" x14ac:dyDescent="0.2">
      <c r="A79" s="199" t="s">
        <v>90</v>
      </c>
      <c r="B79" s="199"/>
      <c r="C79" s="199"/>
      <c r="D79" s="199"/>
      <c r="E79" s="199"/>
      <c r="F79" s="67">
        <f>F6+F15+F58</f>
        <v>19013222.228</v>
      </c>
    </row>
    <row r="81" spans="1:6" x14ac:dyDescent="0.2">
      <c r="A81" s="190" t="s">
        <v>187</v>
      </c>
      <c r="B81" s="190"/>
      <c r="C81" s="190"/>
      <c r="D81" s="190"/>
      <c r="E81" s="16">
        <v>5</v>
      </c>
      <c r="F81" s="39">
        <f>F79*E81</f>
        <v>95066111.140000001</v>
      </c>
    </row>
  </sheetData>
  <mergeCells count="10">
    <mergeCell ref="A81:D81"/>
    <mergeCell ref="A6:E6"/>
    <mergeCell ref="A15:E15"/>
    <mergeCell ref="A58:E58"/>
    <mergeCell ref="A1:F1"/>
    <mergeCell ref="A2:F2"/>
    <mergeCell ref="A59:E59"/>
    <mergeCell ref="A75:E75"/>
    <mergeCell ref="A79:E79"/>
    <mergeCell ref="A5:E5"/>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6"/>
  <sheetViews>
    <sheetView topLeftCell="A25" zoomScaleNormal="100" workbookViewId="0">
      <selection activeCell="E52" sqref="E52"/>
    </sheetView>
  </sheetViews>
  <sheetFormatPr baseColWidth="10" defaultColWidth="9.33203125" defaultRowHeight="12.75" x14ac:dyDescent="0.2"/>
  <cols>
    <col min="1" max="1" width="6" customWidth="1"/>
    <col min="2" max="2" width="40.6640625" customWidth="1"/>
    <col min="3" max="3" width="7.1640625" style="41" customWidth="1"/>
    <col min="4" max="4" width="10.83203125" style="41" customWidth="1"/>
    <col min="5" max="5" width="14.6640625" style="28" customWidth="1"/>
    <col min="6" max="6" width="17" style="28" customWidth="1"/>
    <col min="8" max="8" width="15.1640625" customWidth="1"/>
  </cols>
  <sheetData>
    <row r="1" spans="1:6" ht="20.25" customHeight="1" x14ac:dyDescent="0.2">
      <c r="A1" s="183" t="s">
        <v>106</v>
      </c>
      <c r="B1" s="183"/>
      <c r="C1" s="183"/>
      <c r="D1" s="183"/>
      <c r="E1" s="183"/>
      <c r="F1" s="183"/>
    </row>
    <row r="2" spans="1:6" ht="19.5" customHeight="1" x14ac:dyDescent="0.2">
      <c r="A2" s="184" t="s">
        <v>188</v>
      </c>
      <c r="B2" s="184"/>
      <c r="C2" s="184"/>
      <c r="D2" s="184"/>
      <c r="E2" s="184"/>
      <c r="F2" s="184"/>
    </row>
    <row r="3" spans="1:6" ht="18" customHeight="1" x14ac:dyDescent="0.2">
      <c r="A3" s="37"/>
      <c r="B3" s="37"/>
      <c r="C3" s="85"/>
      <c r="D3" s="85"/>
      <c r="E3" s="38"/>
      <c r="F3" s="38"/>
    </row>
    <row r="4" spans="1:6" ht="26.25" customHeight="1" x14ac:dyDescent="0.2">
      <c r="A4" s="8" t="s">
        <v>101</v>
      </c>
      <c r="B4" s="8" t="s">
        <v>102</v>
      </c>
      <c r="C4" s="8" t="s">
        <v>103</v>
      </c>
      <c r="D4" s="8" t="s">
        <v>104</v>
      </c>
      <c r="E4" s="8" t="s">
        <v>105</v>
      </c>
      <c r="F4" s="12" t="s">
        <v>91</v>
      </c>
    </row>
    <row r="5" spans="1:6" ht="15" customHeight="1" x14ac:dyDescent="0.2">
      <c r="A5" s="186" t="s">
        <v>191</v>
      </c>
      <c r="B5" s="187"/>
      <c r="C5" s="187"/>
      <c r="D5" s="187"/>
      <c r="E5" s="187"/>
      <c r="F5" s="18">
        <f>SUM(F6+F9+F13+F16++F18+F20+F24)</f>
        <v>4884274.71</v>
      </c>
    </row>
    <row r="6" spans="1:6" ht="15" customHeight="1" x14ac:dyDescent="0.2">
      <c r="A6" s="15" t="s">
        <v>1</v>
      </c>
      <c r="B6" s="10" t="s">
        <v>192</v>
      </c>
      <c r="C6" s="14"/>
      <c r="D6" s="14"/>
      <c r="E6" s="20"/>
      <c r="F6" s="21">
        <f>SUM(F7:F8)</f>
        <v>111284</v>
      </c>
    </row>
    <row r="7" spans="1:6" ht="15.75" customHeight="1" x14ac:dyDescent="0.2">
      <c r="A7" s="2">
        <v>1.1000000000000001</v>
      </c>
      <c r="B7" s="6" t="s">
        <v>189</v>
      </c>
      <c r="C7" s="13" t="s">
        <v>20</v>
      </c>
      <c r="D7" s="13">
        <v>1</v>
      </c>
      <c r="E7" s="87">
        <v>48945</v>
      </c>
      <c r="F7" s="88">
        <f>E7*D7</f>
        <v>48945</v>
      </c>
    </row>
    <row r="8" spans="1:6" ht="23.25" customHeight="1" x14ac:dyDescent="0.2">
      <c r="A8" s="2">
        <v>1.2</v>
      </c>
      <c r="B8" s="6" t="s">
        <v>190</v>
      </c>
      <c r="C8" s="13" t="s">
        <v>79</v>
      </c>
      <c r="D8" s="13">
        <v>1</v>
      </c>
      <c r="E8" s="87">
        <v>62339</v>
      </c>
      <c r="F8" s="88">
        <f t="shared" ref="F8" si="0">E8*D8</f>
        <v>62339</v>
      </c>
    </row>
    <row r="9" spans="1:6" ht="15" customHeight="1" x14ac:dyDescent="0.2">
      <c r="A9" s="15">
        <v>7</v>
      </c>
      <c r="B9" s="11" t="s">
        <v>143</v>
      </c>
      <c r="C9" s="14"/>
      <c r="D9" s="14"/>
      <c r="E9" s="20"/>
      <c r="F9" s="24">
        <f>SUM(F10:F12)</f>
        <v>117627</v>
      </c>
    </row>
    <row r="10" spans="1:6" ht="64.5" customHeight="1" x14ac:dyDescent="0.2">
      <c r="A10" s="3">
        <v>7.1</v>
      </c>
      <c r="B10" s="6" t="s">
        <v>59</v>
      </c>
      <c r="C10" s="3" t="s">
        <v>79</v>
      </c>
      <c r="D10" s="5">
        <v>1</v>
      </c>
      <c r="E10" s="23">
        <v>38473</v>
      </c>
      <c r="F10" s="23">
        <f>D10*E10</f>
        <v>38473</v>
      </c>
    </row>
    <row r="11" spans="1:6" ht="64.5" customHeight="1" x14ac:dyDescent="0.2">
      <c r="A11" s="3" t="s">
        <v>60</v>
      </c>
      <c r="B11" s="6" t="s">
        <v>61</v>
      </c>
      <c r="C11" s="3" t="s">
        <v>12</v>
      </c>
      <c r="D11" s="5">
        <v>3</v>
      </c>
      <c r="E11" s="23">
        <v>11786</v>
      </c>
      <c r="F11" s="23">
        <f>D11*E11</f>
        <v>35358</v>
      </c>
    </row>
    <row r="12" spans="1:6" ht="64.5" customHeight="1" x14ac:dyDescent="0.2">
      <c r="A12" s="3" t="s">
        <v>62</v>
      </c>
      <c r="B12" s="6" t="s">
        <v>193</v>
      </c>
      <c r="C12" s="3" t="s">
        <v>9</v>
      </c>
      <c r="D12" s="5">
        <v>1</v>
      </c>
      <c r="E12" s="23">
        <v>43796</v>
      </c>
      <c r="F12" s="23">
        <f>D12*E12</f>
        <v>43796</v>
      </c>
    </row>
    <row r="13" spans="1:6" ht="15" customHeight="1" x14ac:dyDescent="0.2">
      <c r="A13" s="15">
        <v>8</v>
      </c>
      <c r="B13" s="10" t="s">
        <v>64</v>
      </c>
      <c r="C13" s="89"/>
      <c r="D13" s="90"/>
      <c r="E13" s="19"/>
      <c r="F13" s="27">
        <f>SUM(F14:F15)</f>
        <v>100260.70000000001</v>
      </c>
    </row>
    <row r="14" spans="1:6" ht="60" customHeight="1" x14ac:dyDescent="0.2">
      <c r="A14" s="2" t="s">
        <v>65</v>
      </c>
      <c r="B14" s="6" t="s">
        <v>194</v>
      </c>
      <c r="C14" s="3" t="s">
        <v>9</v>
      </c>
      <c r="D14" s="5">
        <v>1</v>
      </c>
      <c r="E14" s="23">
        <v>59729</v>
      </c>
      <c r="F14" s="23">
        <f>D14*E14</f>
        <v>59729</v>
      </c>
    </row>
    <row r="15" spans="1:6" ht="60" customHeight="1" x14ac:dyDescent="0.2">
      <c r="A15" s="2" t="s">
        <v>10</v>
      </c>
      <c r="B15" s="6" t="s">
        <v>11</v>
      </c>
      <c r="C15" s="3" t="s">
        <v>12</v>
      </c>
      <c r="D15" s="5">
        <v>1.1000000000000001</v>
      </c>
      <c r="E15" s="23">
        <v>36847</v>
      </c>
      <c r="F15" s="23">
        <f>D15*E15</f>
        <v>40531.700000000004</v>
      </c>
    </row>
    <row r="16" spans="1:6" ht="15" customHeight="1" x14ac:dyDescent="0.2">
      <c r="A16" s="15" t="s">
        <v>35</v>
      </c>
      <c r="B16" s="10" t="s">
        <v>36</v>
      </c>
      <c r="C16" s="86"/>
      <c r="D16" s="86"/>
      <c r="E16" s="26"/>
      <c r="F16" s="24">
        <f>SUM(F17:F17)</f>
        <v>98982</v>
      </c>
    </row>
    <row r="17" spans="1:8" ht="106.9" customHeight="1" x14ac:dyDescent="0.2">
      <c r="A17" s="3" t="s">
        <v>39</v>
      </c>
      <c r="B17" s="6" t="s">
        <v>40</v>
      </c>
      <c r="C17" s="3" t="s">
        <v>20</v>
      </c>
      <c r="D17" s="5">
        <v>1</v>
      </c>
      <c r="E17" s="23">
        <v>98982</v>
      </c>
      <c r="F17" s="23">
        <f t="shared" ref="F17" si="1">D17*E17</f>
        <v>98982</v>
      </c>
    </row>
    <row r="18" spans="1:8" ht="15.75" customHeight="1" x14ac:dyDescent="0.2">
      <c r="A18" s="9" t="s">
        <v>46</v>
      </c>
      <c r="B18" s="10" t="s">
        <v>47</v>
      </c>
      <c r="C18" s="14"/>
      <c r="D18" s="14"/>
      <c r="E18" s="20"/>
      <c r="F18" s="24">
        <f>F19</f>
        <v>102530.01000000001</v>
      </c>
    </row>
    <row r="19" spans="1:8" ht="48.6" customHeight="1" x14ac:dyDescent="0.2">
      <c r="A19" s="3" t="s">
        <v>48</v>
      </c>
      <c r="B19" s="6" t="s">
        <v>185</v>
      </c>
      <c r="C19" s="3" t="s">
        <v>20</v>
      </c>
      <c r="D19" s="5">
        <v>1.1000000000000001</v>
      </c>
      <c r="E19" s="23">
        <v>93209.1</v>
      </c>
      <c r="F19" s="23">
        <f>D19*E19</f>
        <v>102530.01000000001</v>
      </c>
    </row>
    <row r="20" spans="1:8" ht="16.5" customHeight="1" x14ac:dyDescent="0.2">
      <c r="A20" s="9">
        <v>17</v>
      </c>
      <c r="B20" s="10" t="s">
        <v>195</v>
      </c>
      <c r="C20" s="14"/>
      <c r="D20" s="14"/>
      <c r="E20" s="20"/>
      <c r="F20" s="24">
        <f>SUM(F21:F23)</f>
        <v>4118000</v>
      </c>
    </row>
    <row r="21" spans="1:8" ht="37.15" customHeight="1" x14ac:dyDescent="0.2">
      <c r="A21" s="3">
        <v>17.100000000000001</v>
      </c>
      <c r="B21" s="6" t="s">
        <v>272</v>
      </c>
      <c r="C21" s="3" t="s">
        <v>79</v>
      </c>
      <c r="D21" s="5">
        <v>1</v>
      </c>
      <c r="E21" s="23">
        <v>2400000</v>
      </c>
      <c r="F21" s="23">
        <f>D21*E21</f>
        <v>2400000</v>
      </c>
    </row>
    <row r="22" spans="1:8" ht="36.6" customHeight="1" x14ac:dyDescent="0.2">
      <c r="A22" s="3">
        <v>17.3</v>
      </c>
      <c r="B22" s="6" t="s">
        <v>287</v>
      </c>
      <c r="C22" s="3" t="s">
        <v>79</v>
      </c>
      <c r="D22" s="5">
        <v>1</v>
      </c>
      <c r="E22" s="23">
        <v>1400000</v>
      </c>
      <c r="F22" s="23">
        <f>D22*E22</f>
        <v>1400000</v>
      </c>
    </row>
    <row r="23" spans="1:8" ht="37.5" customHeight="1" x14ac:dyDescent="0.2">
      <c r="A23" s="2">
        <v>17.399999999999999</v>
      </c>
      <c r="B23" s="6" t="s">
        <v>196</v>
      </c>
      <c r="C23" s="3" t="s">
        <v>79</v>
      </c>
      <c r="D23" s="5">
        <v>1</v>
      </c>
      <c r="E23" s="23">
        <v>318000</v>
      </c>
      <c r="F23" s="23">
        <f>D23*E23</f>
        <v>318000</v>
      </c>
    </row>
    <row r="24" spans="1:8" ht="11.85" customHeight="1" x14ac:dyDescent="0.2">
      <c r="A24" s="9" t="s">
        <v>68</v>
      </c>
      <c r="B24" s="10" t="s">
        <v>69</v>
      </c>
      <c r="C24" s="14"/>
      <c r="D24" s="14"/>
      <c r="E24" s="20"/>
      <c r="F24" s="24">
        <f>SUM(F25:F29)</f>
        <v>235591</v>
      </c>
    </row>
    <row r="25" spans="1:8" ht="48" customHeight="1" x14ac:dyDescent="0.2">
      <c r="A25" s="3" t="s">
        <v>70</v>
      </c>
      <c r="B25" s="6" t="s">
        <v>71</v>
      </c>
      <c r="C25" s="3" t="s">
        <v>9</v>
      </c>
      <c r="D25" s="5">
        <v>1</v>
      </c>
      <c r="E25" s="23">
        <v>75827</v>
      </c>
      <c r="F25" s="23">
        <f>D25*E25</f>
        <v>75827</v>
      </c>
    </row>
    <row r="26" spans="1:8" ht="118.9" customHeight="1" x14ac:dyDescent="0.2">
      <c r="A26" s="3" t="s">
        <v>72</v>
      </c>
      <c r="B26" s="6" t="s">
        <v>73</v>
      </c>
      <c r="C26" s="3" t="s">
        <v>9</v>
      </c>
      <c r="D26" s="5">
        <v>1</v>
      </c>
      <c r="E26" s="23">
        <v>30188</v>
      </c>
      <c r="F26" s="23">
        <f t="shared" ref="F26:F29" si="2">D26*E26</f>
        <v>30188</v>
      </c>
    </row>
    <row r="27" spans="1:8" ht="62.45" customHeight="1" x14ac:dyDescent="0.2">
      <c r="A27" s="2" t="s">
        <v>76</v>
      </c>
      <c r="B27" s="4" t="s">
        <v>98</v>
      </c>
      <c r="C27" s="3" t="s">
        <v>12</v>
      </c>
      <c r="D27" s="5">
        <v>4</v>
      </c>
      <c r="E27" s="23">
        <v>6156</v>
      </c>
      <c r="F27" s="23">
        <f t="shared" si="2"/>
        <v>24624</v>
      </c>
    </row>
    <row r="28" spans="1:8" ht="49.15" customHeight="1" x14ac:dyDescent="0.2">
      <c r="A28" s="3" t="s">
        <v>77</v>
      </c>
      <c r="B28" s="6" t="s">
        <v>78</v>
      </c>
      <c r="C28" s="3" t="s">
        <v>79</v>
      </c>
      <c r="D28" s="5">
        <v>1</v>
      </c>
      <c r="E28" s="23">
        <v>55502</v>
      </c>
      <c r="F28" s="23">
        <f t="shared" si="2"/>
        <v>55502</v>
      </c>
    </row>
    <row r="29" spans="1:8" ht="82.15" customHeight="1" x14ac:dyDescent="0.2">
      <c r="A29" s="3" t="s">
        <v>80</v>
      </c>
      <c r="B29" s="6" t="s">
        <v>273</v>
      </c>
      <c r="C29" s="3" t="s">
        <v>12</v>
      </c>
      <c r="D29" s="5">
        <v>10</v>
      </c>
      <c r="E29" s="23">
        <v>4945</v>
      </c>
      <c r="F29" s="23">
        <f t="shared" si="2"/>
        <v>49450</v>
      </c>
    </row>
    <row r="30" spans="1:8" ht="13.5" customHeight="1" x14ac:dyDescent="0.2">
      <c r="A30" s="190" t="s">
        <v>90</v>
      </c>
      <c r="B30" s="190"/>
      <c r="C30" s="190"/>
      <c r="D30" s="190"/>
      <c r="E30" s="190"/>
      <c r="F30" s="36">
        <f>SUM(F6+F9+F13+F16+F18+F20+F24)</f>
        <v>4884274.71</v>
      </c>
      <c r="H30" s="29"/>
    </row>
    <row r="32" spans="1:8" x14ac:dyDescent="0.2">
      <c r="A32" s="190" t="s">
        <v>197</v>
      </c>
      <c r="B32" s="190"/>
      <c r="C32" s="190"/>
      <c r="D32" s="190"/>
      <c r="E32" s="16">
        <v>5</v>
      </c>
      <c r="F32" s="39">
        <f>F30*E32</f>
        <v>24421373.550000001</v>
      </c>
    </row>
    <row r="34" spans="1:8" s="28" customFormat="1" x14ac:dyDescent="0.2">
      <c r="A34"/>
      <c r="B34"/>
      <c r="C34" s="41"/>
      <c r="D34" s="41"/>
      <c r="F34" s="40"/>
      <c r="G34"/>
      <c r="H34"/>
    </row>
    <row r="35" spans="1:8" s="28" customFormat="1" x14ac:dyDescent="0.2">
      <c r="A35"/>
      <c r="B35"/>
      <c r="C35" s="185"/>
      <c r="D35" s="185"/>
      <c r="F35" s="40"/>
      <c r="G35"/>
      <c r="H35"/>
    </row>
    <row r="36" spans="1:8" s="28" customFormat="1" x14ac:dyDescent="0.2">
      <c r="A36"/>
      <c r="B36"/>
      <c r="C36" s="41"/>
      <c r="D36" s="41"/>
      <c r="F36" s="40"/>
      <c r="G36"/>
      <c r="H36"/>
    </row>
  </sheetData>
  <mergeCells count="6">
    <mergeCell ref="C35:D35"/>
    <mergeCell ref="A1:F1"/>
    <mergeCell ref="A2:F2"/>
    <mergeCell ref="A5:E5"/>
    <mergeCell ref="A30:E30"/>
    <mergeCell ref="A32:D32"/>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9"/>
  <sheetViews>
    <sheetView zoomScale="85" zoomScaleNormal="85" workbookViewId="0">
      <selection activeCell="B23" sqref="B23"/>
    </sheetView>
  </sheetViews>
  <sheetFormatPr baseColWidth="10" defaultColWidth="9.33203125" defaultRowHeight="12.75" x14ac:dyDescent="0.2"/>
  <cols>
    <col min="1" max="1" width="6" customWidth="1"/>
    <col min="2" max="2" width="40.6640625" customWidth="1"/>
    <col min="3" max="3" width="7.1640625" style="41" customWidth="1"/>
    <col min="4" max="4" width="10.83203125" style="41" customWidth="1"/>
    <col min="5" max="5" width="14.6640625" style="28" customWidth="1"/>
    <col min="6" max="6" width="17" style="28" customWidth="1"/>
    <col min="8" max="8" width="15.1640625" customWidth="1"/>
  </cols>
  <sheetData>
    <row r="1" spans="1:8" ht="20.25" customHeight="1" x14ac:dyDescent="0.2">
      <c r="A1" s="183" t="s">
        <v>106</v>
      </c>
      <c r="B1" s="183"/>
      <c r="C1" s="183"/>
      <c r="D1" s="183"/>
      <c r="E1" s="183"/>
      <c r="F1" s="183"/>
    </row>
    <row r="2" spans="1:8" ht="19.5" customHeight="1" x14ac:dyDescent="0.2">
      <c r="A2" s="184" t="s">
        <v>200</v>
      </c>
      <c r="B2" s="184"/>
      <c r="C2" s="184"/>
      <c r="D2" s="184"/>
      <c r="E2" s="184"/>
      <c r="F2" s="184"/>
    </row>
    <row r="3" spans="1:8" ht="18" customHeight="1" x14ac:dyDescent="0.2">
      <c r="A3" s="37"/>
      <c r="B3" s="37"/>
      <c r="C3" s="85"/>
      <c r="D3" s="85"/>
      <c r="E3" s="38"/>
      <c r="F3" s="38"/>
    </row>
    <row r="4" spans="1:8" ht="26.25" customHeight="1" x14ac:dyDescent="0.2">
      <c r="A4" s="8" t="s">
        <v>101</v>
      </c>
      <c r="B4" s="8" t="s">
        <v>102</v>
      </c>
      <c r="C4" s="8" t="s">
        <v>103</v>
      </c>
      <c r="D4" s="8" t="s">
        <v>104</v>
      </c>
      <c r="E4" s="8" t="s">
        <v>105</v>
      </c>
      <c r="F4" s="12" t="s">
        <v>91</v>
      </c>
    </row>
    <row r="5" spans="1:8" ht="15" customHeight="1" x14ac:dyDescent="0.2">
      <c r="A5" s="186" t="s">
        <v>201</v>
      </c>
      <c r="B5" s="187"/>
      <c r="C5" s="187"/>
      <c r="D5" s="187"/>
      <c r="E5" s="187"/>
      <c r="F5" s="18">
        <f>SUM(F6+F9)</f>
        <v>4989490</v>
      </c>
    </row>
    <row r="6" spans="1:8" ht="15" customHeight="1" x14ac:dyDescent="0.2">
      <c r="A6" s="15" t="s">
        <v>1</v>
      </c>
      <c r="B6" s="10" t="s">
        <v>192</v>
      </c>
      <c r="C6" s="14"/>
      <c r="D6" s="14"/>
      <c r="E6" s="20"/>
      <c r="F6" s="21">
        <f>SUM(F7:F8)</f>
        <v>363490</v>
      </c>
    </row>
    <row r="7" spans="1:8" ht="15.75" customHeight="1" x14ac:dyDescent="0.2">
      <c r="A7" s="2">
        <v>1.3</v>
      </c>
      <c r="B7" s="6" t="s">
        <v>203</v>
      </c>
      <c r="C7" s="13" t="s">
        <v>20</v>
      </c>
      <c r="D7" s="100">
        <v>20</v>
      </c>
      <c r="E7" s="87">
        <v>12578</v>
      </c>
      <c r="F7" s="88">
        <f>E7*D7</f>
        <v>251560</v>
      </c>
    </row>
    <row r="8" spans="1:8" ht="23.25" customHeight="1" x14ac:dyDescent="0.2">
      <c r="A8" s="2">
        <v>1.4</v>
      </c>
      <c r="B8" s="6" t="s">
        <v>204</v>
      </c>
      <c r="C8" s="13" t="s">
        <v>20</v>
      </c>
      <c r="D8" s="100">
        <v>10</v>
      </c>
      <c r="E8" s="87">
        <v>11193</v>
      </c>
      <c r="F8" s="88">
        <f t="shared" ref="F8" si="0">E8*D8</f>
        <v>111930</v>
      </c>
    </row>
    <row r="9" spans="1:8" ht="15" customHeight="1" x14ac:dyDescent="0.2">
      <c r="A9" s="15">
        <v>2</v>
      </c>
      <c r="B9" s="11" t="s">
        <v>205</v>
      </c>
      <c r="C9" s="14"/>
      <c r="D9" s="14"/>
      <c r="E9" s="20"/>
      <c r="F9" s="24">
        <f>SUM(F10:F12)</f>
        <v>4626000</v>
      </c>
    </row>
    <row r="10" spans="1:8" ht="41.45" customHeight="1" x14ac:dyDescent="0.2">
      <c r="A10" s="3">
        <v>2.1</v>
      </c>
      <c r="B10" s="6" t="s">
        <v>206</v>
      </c>
      <c r="C10" s="3" t="s">
        <v>20</v>
      </c>
      <c r="D10" s="5">
        <v>20</v>
      </c>
      <c r="E10" s="23">
        <v>51000</v>
      </c>
      <c r="F10" s="23">
        <f>D10*E10</f>
        <v>1020000</v>
      </c>
    </row>
    <row r="11" spans="1:8" ht="27" customHeight="1" x14ac:dyDescent="0.2">
      <c r="A11" s="3">
        <v>2.2000000000000002</v>
      </c>
      <c r="B11" s="6" t="s">
        <v>207</v>
      </c>
      <c r="C11" s="3" t="s">
        <v>34</v>
      </c>
      <c r="D11" s="5">
        <v>31</v>
      </c>
      <c r="E11" s="23">
        <v>26000</v>
      </c>
      <c r="F11" s="23">
        <f>D11*E11</f>
        <v>806000</v>
      </c>
    </row>
    <row r="12" spans="1:8" ht="49.9" customHeight="1" x14ac:dyDescent="0.2">
      <c r="A12" s="3">
        <v>2.2999999999999998</v>
      </c>
      <c r="B12" s="6" t="s">
        <v>208</v>
      </c>
      <c r="C12" s="3" t="s">
        <v>20</v>
      </c>
      <c r="D12" s="5">
        <v>20</v>
      </c>
      <c r="E12" s="23">
        <v>140000</v>
      </c>
      <c r="F12" s="23">
        <f>D12*E12</f>
        <v>2800000</v>
      </c>
    </row>
    <row r="13" spans="1:8" ht="13.5" customHeight="1" x14ac:dyDescent="0.2">
      <c r="A13" s="190" t="s">
        <v>90</v>
      </c>
      <c r="B13" s="190"/>
      <c r="C13" s="190"/>
      <c r="D13" s="190"/>
      <c r="E13" s="190"/>
      <c r="F13" s="36">
        <f>SUM(F5)</f>
        <v>4989490</v>
      </c>
      <c r="H13" s="29"/>
    </row>
    <row r="15" spans="1:8" ht="18" customHeight="1" x14ac:dyDescent="0.2">
      <c r="A15" s="190" t="s">
        <v>197</v>
      </c>
      <c r="B15" s="190"/>
      <c r="C15" s="190"/>
      <c r="D15" s="190"/>
      <c r="E15" s="16">
        <v>5</v>
      </c>
      <c r="F15" s="39">
        <f>F13*E15</f>
        <v>24947450</v>
      </c>
    </row>
    <row r="17" spans="1:8" s="28" customFormat="1" x14ac:dyDescent="0.2">
      <c r="A17"/>
      <c r="B17"/>
      <c r="C17" s="41"/>
      <c r="D17" s="41"/>
      <c r="F17" s="40"/>
      <c r="G17"/>
      <c r="H17"/>
    </row>
    <row r="18" spans="1:8" s="28" customFormat="1" x14ac:dyDescent="0.2">
      <c r="A18"/>
      <c r="B18"/>
      <c r="C18" s="185"/>
      <c r="D18" s="185"/>
      <c r="F18" s="40"/>
      <c r="G18"/>
      <c r="H18"/>
    </row>
    <row r="19" spans="1:8" s="28" customFormat="1" x14ac:dyDescent="0.2">
      <c r="A19"/>
      <c r="B19"/>
      <c r="C19" s="41"/>
      <c r="D19" s="41"/>
      <c r="F19" s="40"/>
      <c r="G19"/>
      <c r="H19"/>
    </row>
  </sheetData>
  <mergeCells count="6">
    <mergeCell ref="C18:D18"/>
    <mergeCell ref="A1:F1"/>
    <mergeCell ref="A2:F2"/>
    <mergeCell ref="A5:E5"/>
    <mergeCell ref="A13:E13"/>
    <mergeCell ref="A15:D15"/>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24"/>
  <sheetViews>
    <sheetView tabSelected="1" zoomScaleNormal="100" zoomScaleSheetLayoutView="160" workbookViewId="0">
      <selection activeCell="B27" sqref="B27"/>
    </sheetView>
  </sheetViews>
  <sheetFormatPr baseColWidth="10" defaultColWidth="12" defaultRowHeight="15" x14ac:dyDescent="0.25"/>
  <cols>
    <col min="1" max="1" width="58.1640625" style="69" customWidth="1"/>
    <col min="2" max="2" width="9.1640625" style="69" customWidth="1"/>
    <col min="3" max="3" width="19.83203125" style="69" customWidth="1"/>
    <col min="4" max="4" width="11" style="69" customWidth="1"/>
    <col min="5" max="5" width="19.83203125" style="69" customWidth="1"/>
    <col min="6" max="6" width="12" style="69"/>
    <col min="7" max="7" width="20" style="69" hidden="1" customWidth="1"/>
    <col min="8" max="8" width="19.83203125" style="69" hidden="1" customWidth="1"/>
    <col min="9" max="9" width="21.5" style="69" bestFit="1" customWidth="1"/>
    <col min="10" max="11" width="12" style="69"/>
    <col min="12" max="12" width="22.5" style="69" customWidth="1"/>
    <col min="13" max="16384" width="12" style="69"/>
  </cols>
  <sheetData>
    <row r="1" spans="1:12" ht="23.25" customHeight="1" x14ac:dyDescent="0.25">
      <c r="A1" s="203" t="s">
        <v>281</v>
      </c>
      <c r="B1" s="205"/>
      <c r="C1" s="205"/>
      <c r="D1" s="205"/>
      <c r="E1" s="204"/>
    </row>
    <row r="2" spans="1:12" ht="30.75" customHeight="1" x14ac:dyDescent="0.25">
      <c r="A2" s="209" t="s">
        <v>102</v>
      </c>
      <c r="B2" s="203" t="s">
        <v>274</v>
      </c>
      <c r="C2" s="204"/>
      <c r="D2" s="203" t="s">
        <v>275</v>
      </c>
      <c r="E2" s="204"/>
    </row>
    <row r="3" spans="1:12" ht="30.75" customHeight="1" x14ac:dyDescent="0.25">
      <c r="A3" s="210"/>
      <c r="B3" s="91" t="s">
        <v>104</v>
      </c>
      <c r="C3" s="91" t="s">
        <v>282</v>
      </c>
      <c r="D3" s="91" t="s">
        <v>104</v>
      </c>
      <c r="E3" s="91" t="s">
        <v>282</v>
      </c>
    </row>
    <row r="4" spans="1:12" x14ac:dyDescent="0.25">
      <c r="A4" s="70" t="s">
        <v>184</v>
      </c>
      <c r="B4" s="82">
        <f>'TIPO B'!E59</f>
        <v>85</v>
      </c>
      <c r="C4" s="71">
        <f>'TIPO B'!F59</f>
        <v>1008331444.681</v>
      </c>
      <c r="D4" s="71"/>
      <c r="E4" s="71"/>
      <c r="G4" s="81"/>
    </row>
    <row r="5" spans="1:12" ht="29.25" customHeight="1" x14ac:dyDescent="0.25">
      <c r="A5" s="182" t="s">
        <v>285</v>
      </c>
      <c r="B5" s="83">
        <f>'TIPO C'!E81</f>
        <v>5</v>
      </c>
      <c r="C5" s="71">
        <f>'TIPO C'!F81</f>
        <v>95066111.140000001</v>
      </c>
      <c r="D5" s="71"/>
      <c r="E5" s="71"/>
      <c r="G5" s="81"/>
    </row>
    <row r="6" spans="1:12" ht="30" x14ac:dyDescent="0.25">
      <c r="A6" s="92" t="s">
        <v>198</v>
      </c>
      <c r="B6" s="76"/>
      <c r="C6" s="76"/>
      <c r="D6" s="93">
        <f>'LOCATIVOS COCINAS'!E32</f>
        <v>5</v>
      </c>
      <c r="E6" s="71">
        <f>'LOCATIVOS COCINAS'!F32</f>
        <v>24421373.550000001</v>
      </c>
      <c r="G6" s="81"/>
      <c r="L6" s="80"/>
    </row>
    <row r="7" spans="1:12" ht="30" x14ac:dyDescent="0.25">
      <c r="A7" s="92" t="s">
        <v>199</v>
      </c>
      <c r="B7" s="76"/>
      <c r="C7" s="76"/>
      <c r="D7" s="93">
        <f>'LOCATIVOS PISOS'!E15</f>
        <v>5</v>
      </c>
      <c r="E7" s="71">
        <f>'LOCATIVOS PISOS'!F15</f>
        <v>24947450</v>
      </c>
      <c r="G7" s="81"/>
      <c r="L7" s="80"/>
    </row>
    <row r="8" spans="1:12" x14ac:dyDescent="0.25">
      <c r="A8" s="94" t="s">
        <v>176</v>
      </c>
      <c r="B8" s="95"/>
      <c r="C8" s="96">
        <f>SUM(C4:C7)</f>
        <v>1103397555.8210001</v>
      </c>
      <c r="D8" s="96"/>
      <c r="E8" s="96">
        <f>SUM(E6:E7)</f>
        <v>49368823.549999997</v>
      </c>
      <c r="I8" s="80"/>
      <c r="L8" s="80"/>
    </row>
    <row r="9" spans="1:12" x14ac:dyDescent="0.25">
      <c r="A9" s="70" t="s">
        <v>177</v>
      </c>
      <c r="B9" s="73">
        <v>0.05</v>
      </c>
      <c r="C9" s="72">
        <f>C8*B9</f>
        <v>55169877.791050009</v>
      </c>
      <c r="D9" s="73">
        <v>0.05</v>
      </c>
      <c r="E9" s="72">
        <f>E8*D9</f>
        <v>2468441.1774999998</v>
      </c>
      <c r="I9" s="80"/>
      <c r="L9" s="80"/>
    </row>
    <row r="10" spans="1:12" x14ac:dyDescent="0.25">
      <c r="A10" s="70" t="s">
        <v>178</v>
      </c>
      <c r="B10" s="101">
        <v>0.26719999999999999</v>
      </c>
      <c r="C10" s="72">
        <f>C8*B10</f>
        <v>294827826.91537124</v>
      </c>
      <c r="D10" s="137">
        <v>0.29559999999999997</v>
      </c>
      <c r="E10" s="72">
        <f>E8*D10</f>
        <v>14593424.241379999</v>
      </c>
      <c r="I10" s="80"/>
      <c r="L10" s="80"/>
    </row>
    <row r="11" spans="1:12" x14ac:dyDescent="0.25">
      <c r="A11" s="70" t="s">
        <v>179</v>
      </c>
      <c r="B11" s="73">
        <v>0.05</v>
      </c>
      <c r="C11" s="72">
        <f>C8*B11</f>
        <v>55169877.791050009</v>
      </c>
      <c r="D11" s="73">
        <v>0.05</v>
      </c>
      <c r="E11" s="72">
        <f>E8*D11</f>
        <v>2468441.1774999998</v>
      </c>
      <c r="G11" s="74"/>
      <c r="I11" s="80"/>
      <c r="L11" s="80"/>
    </row>
    <row r="12" spans="1:12" x14ac:dyDescent="0.25">
      <c r="A12" s="75" t="s">
        <v>91</v>
      </c>
      <c r="B12" s="76"/>
      <c r="C12" s="72">
        <f>SUM(C8:C11)</f>
        <v>1508565138.3184712</v>
      </c>
      <c r="D12" s="72"/>
      <c r="E12" s="72">
        <f>SUM(E8:E11)</f>
        <v>68899130.146379992</v>
      </c>
      <c r="G12" s="77"/>
      <c r="I12" s="80"/>
      <c r="L12" s="80"/>
    </row>
    <row r="13" spans="1:12" x14ac:dyDescent="0.25">
      <c r="A13" s="75" t="s">
        <v>284</v>
      </c>
      <c r="B13" s="177"/>
      <c r="C13" s="72"/>
      <c r="D13" s="72"/>
      <c r="E13" s="72">
        <f>C12+E12</f>
        <v>1577464268.4648511</v>
      </c>
      <c r="G13" s="77"/>
      <c r="H13" s="81"/>
      <c r="I13" s="80"/>
      <c r="L13" s="80"/>
    </row>
    <row r="14" spans="1:12" x14ac:dyDescent="0.25">
      <c r="A14" s="70" t="s">
        <v>183</v>
      </c>
      <c r="B14" s="78"/>
      <c r="C14" s="79"/>
      <c r="D14" s="220">
        <v>0.02</v>
      </c>
      <c r="E14" s="221">
        <f>E13*D14</f>
        <v>31549285.369297024</v>
      </c>
      <c r="G14" s="81"/>
      <c r="I14" s="80"/>
      <c r="L14" s="80"/>
    </row>
    <row r="15" spans="1:12" x14ac:dyDescent="0.25">
      <c r="A15" s="70" t="s">
        <v>180</v>
      </c>
      <c r="B15" s="78"/>
      <c r="C15" s="79">
        <f>C14*B15</f>
        <v>0</v>
      </c>
      <c r="D15" s="220">
        <v>0.19</v>
      </c>
      <c r="E15" s="221">
        <f>E14*D15</f>
        <v>5994364.2201664345</v>
      </c>
      <c r="I15" s="80"/>
      <c r="L15" s="80"/>
    </row>
    <row r="16" spans="1:12" x14ac:dyDescent="0.25">
      <c r="A16" s="70" t="s">
        <v>181</v>
      </c>
      <c r="B16" s="70"/>
      <c r="C16" s="79">
        <f>C14+C15</f>
        <v>0</v>
      </c>
      <c r="D16" s="79"/>
      <c r="E16" s="79">
        <f>SUM(E14:E15)</f>
        <v>37543649.589463457</v>
      </c>
      <c r="I16" s="80"/>
      <c r="L16" s="80"/>
    </row>
    <row r="17" spans="1:12" x14ac:dyDescent="0.25">
      <c r="A17" s="97" t="s">
        <v>182</v>
      </c>
      <c r="B17" s="98"/>
      <c r="C17" s="99">
        <f>C12</f>
        <v>1508565138.3184712</v>
      </c>
      <c r="D17" s="99"/>
      <c r="E17" s="99">
        <f>SUM(E12+E16)</f>
        <v>106442779.73584345</v>
      </c>
      <c r="G17" s="80"/>
      <c r="H17" s="80"/>
      <c r="I17" s="80"/>
      <c r="L17" s="80"/>
    </row>
    <row r="18" spans="1:12" x14ac:dyDescent="0.25">
      <c r="L18" s="80"/>
    </row>
    <row r="19" spans="1:12" x14ac:dyDescent="0.25">
      <c r="A19" s="206" t="s">
        <v>280</v>
      </c>
      <c r="B19" s="207"/>
      <c r="C19" s="207"/>
      <c r="D19" s="208"/>
      <c r="E19" s="99">
        <f>C17+E17</f>
        <v>1615007918.0543146</v>
      </c>
      <c r="G19" s="81">
        <v>1532950650</v>
      </c>
      <c r="H19" s="81">
        <f>C17-G19</f>
        <v>-24385511.681528807</v>
      </c>
      <c r="I19" s="80"/>
      <c r="L19" s="80"/>
    </row>
    <row r="21" spans="1:12" x14ac:dyDescent="0.25">
      <c r="A21" s="181"/>
      <c r="E21" s="81"/>
      <c r="G21" s="81">
        <v>1644950650</v>
      </c>
      <c r="H21" s="81">
        <f>G21-E19</f>
        <v>29942731.945685387</v>
      </c>
      <c r="I21" s="81"/>
    </row>
    <row r="22" spans="1:12" x14ac:dyDescent="0.25">
      <c r="C22" s="80"/>
    </row>
    <row r="24" spans="1:12" x14ac:dyDescent="0.25">
      <c r="C24" s="81"/>
    </row>
  </sheetData>
  <mergeCells count="5">
    <mergeCell ref="B2:C2"/>
    <mergeCell ref="D2:E2"/>
    <mergeCell ref="A1:E1"/>
    <mergeCell ref="A19:D19"/>
    <mergeCell ref="A2:A3"/>
  </mergeCells>
  <phoneticPr fontId="19" type="noConversion"/>
  <pageMargins left="0.70866141732283472" right="0.70866141732283472" top="0.74803149606299213" bottom="0.74803149606299213" header="0.31496062992125984" footer="0.31496062992125984"/>
  <pageSetup paperSize="9" scale="83"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5"/>
  <sheetViews>
    <sheetView zoomScale="90" zoomScaleNormal="90" workbookViewId="0">
      <selection activeCell="F57" sqref="F57"/>
    </sheetView>
  </sheetViews>
  <sheetFormatPr baseColWidth="10" defaultColWidth="12" defaultRowHeight="15" x14ac:dyDescent="0.25"/>
  <cols>
    <col min="1" max="1" width="6.83203125" style="138" customWidth="1"/>
    <col min="2" max="2" width="37.6640625" style="138" customWidth="1"/>
    <col min="3" max="3" width="12" style="138"/>
    <col min="4" max="4" width="9.5" style="138" customWidth="1"/>
    <col min="5" max="5" width="8.6640625" style="138" customWidth="1"/>
    <col min="6" max="6" width="17.1640625" style="138" customWidth="1"/>
    <col min="7" max="7" width="16.83203125" style="138" customWidth="1"/>
    <col min="8" max="8" width="17.5" style="138" customWidth="1"/>
    <col min="9" max="9" width="19.33203125" style="138" customWidth="1"/>
    <col min="10" max="10" width="16" style="138" customWidth="1"/>
    <col min="11" max="11" width="12" style="138"/>
    <col min="12" max="12" width="21.5" style="138" customWidth="1"/>
    <col min="13" max="13" width="20.1640625" style="138" customWidth="1"/>
    <col min="14" max="16384" width="12" style="138"/>
  </cols>
  <sheetData>
    <row r="1" spans="1:13" ht="24.75" customHeight="1" x14ac:dyDescent="0.25">
      <c r="A1" s="211" t="s">
        <v>209</v>
      </c>
      <c r="B1" s="212"/>
      <c r="C1" s="212"/>
      <c r="D1" s="212"/>
      <c r="E1" s="212"/>
      <c r="F1" s="212"/>
      <c r="G1" s="212"/>
      <c r="H1" s="212"/>
      <c r="I1" s="212"/>
      <c r="J1" s="213"/>
    </row>
    <row r="2" spans="1:13" ht="24.75" thickBot="1" x14ac:dyDescent="0.3">
      <c r="A2" s="148"/>
      <c r="B2" s="149"/>
      <c r="C2" s="150" t="s">
        <v>210</v>
      </c>
      <c r="D2" s="150" t="s">
        <v>211</v>
      </c>
      <c r="E2" s="150" t="s">
        <v>212</v>
      </c>
      <c r="F2" s="150" t="s">
        <v>213</v>
      </c>
      <c r="G2" s="150" t="s">
        <v>214</v>
      </c>
      <c r="H2" s="150" t="s">
        <v>215</v>
      </c>
      <c r="I2" s="151" t="s">
        <v>216</v>
      </c>
      <c r="J2" s="152" t="s">
        <v>217</v>
      </c>
    </row>
    <row r="3" spans="1:13" ht="15.75" thickBot="1" x14ac:dyDescent="0.3">
      <c r="A3" s="102"/>
      <c r="B3" s="103"/>
      <c r="C3" s="104"/>
      <c r="D3" s="104"/>
      <c r="E3" s="104"/>
      <c r="F3" s="104"/>
      <c r="G3" s="104"/>
      <c r="H3" s="104"/>
      <c r="I3" s="105"/>
      <c r="J3" s="106"/>
    </row>
    <row r="4" spans="1:13" x14ac:dyDescent="0.25">
      <c r="A4" s="107"/>
      <c r="B4" s="214" t="s">
        <v>218</v>
      </c>
      <c r="C4" s="215"/>
      <c r="D4" s="215"/>
      <c r="E4" s="216"/>
      <c r="F4" s="108">
        <f>RESUMEN!C8</f>
        <v>1103397555.8210001</v>
      </c>
      <c r="G4" s="139">
        <f>F4/9</f>
        <v>122599728.42455557</v>
      </c>
      <c r="H4" s="109">
        <f>G4/9</f>
        <v>13622192.047172841</v>
      </c>
      <c r="I4" s="110">
        <f>G4-H4</f>
        <v>108977536.37738273</v>
      </c>
      <c r="J4" s="111"/>
      <c r="L4" s="175"/>
      <c r="M4" s="175"/>
    </row>
    <row r="5" spans="1:13" ht="15.75" thickBot="1" x14ac:dyDescent="0.3">
      <c r="A5" s="107"/>
      <c r="B5" s="217" t="s">
        <v>219</v>
      </c>
      <c r="C5" s="218"/>
      <c r="D5" s="218"/>
      <c r="E5" s="219"/>
      <c r="F5" s="112">
        <f>RESUMEN!C12</f>
        <v>1508565138.3184712</v>
      </c>
      <c r="G5" s="139">
        <f>F5/9</f>
        <v>167618348.70205235</v>
      </c>
      <c r="H5" s="109"/>
      <c r="I5" s="110"/>
      <c r="J5" s="111"/>
      <c r="L5" s="175"/>
      <c r="M5" s="175"/>
    </row>
    <row r="6" spans="1:13" x14ac:dyDescent="0.25">
      <c r="A6" s="107"/>
      <c r="B6" s="113"/>
      <c r="C6" s="114"/>
      <c r="D6" s="114"/>
      <c r="E6" s="115"/>
      <c r="F6" s="116"/>
      <c r="G6" s="115"/>
      <c r="H6" s="115"/>
      <c r="I6" s="110"/>
      <c r="J6" s="111"/>
      <c r="L6" s="175"/>
      <c r="M6" s="175"/>
    </row>
    <row r="7" spans="1:13" ht="24" customHeight="1" x14ac:dyDescent="0.25">
      <c r="A7" s="160" t="s">
        <v>1</v>
      </c>
      <c r="B7" s="161" t="s">
        <v>220</v>
      </c>
      <c r="C7" s="162"/>
      <c r="D7" s="162"/>
      <c r="E7" s="163"/>
      <c r="F7" s="163"/>
      <c r="G7" s="163"/>
      <c r="H7" s="163"/>
      <c r="I7" s="164"/>
      <c r="J7" s="165"/>
      <c r="L7" s="175"/>
      <c r="M7" s="175"/>
    </row>
    <row r="8" spans="1:13" ht="39.75" customHeight="1" x14ac:dyDescent="0.25">
      <c r="A8" s="153" t="s">
        <v>221</v>
      </c>
      <c r="B8" s="154" t="s">
        <v>222</v>
      </c>
      <c r="C8" s="155"/>
      <c r="D8" s="155"/>
      <c r="E8" s="156"/>
      <c r="F8" s="156"/>
      <c r="G8" s="156"/>
      <c r="H8" s="156"/>
      <c r="I8" s="157">
        <f>SUM(I9:I13)</f>
        <v>190887777.15703303</v>
      </c>
      <c r="J8" s="158">
        <f>SUM(J9:J13)</f>
        <v>0.09</v>
      </c>
      <c r="L8" s="175"/>
      <c r="M8" s="175"/>
    </row>
    <row r="9" spans="1:13" ht="20.25" customHeight="1" x14ac:dyDescent="0.25">
      <c r="A9" s="121"/>
      <c r="B9" s="122" t="s">
        <v>277</v>
      </c>
      <c r="C9" s="123" t="s">
        <v>212</v>
      </c>
      <c r="D9" s="123"/>
      <c r="E9" s="124"/>
      <c r="F9" s="124"/>
      <c r="G9" s="140">
        <v>0.123</v>
      </c>
      <c r="H9" s="140"/>
      <c r="I9" s="125">
        <f>F4*G9</f>
        <v>135717899.36598301</v>
      </c>
      <c r="J9" s="141">
        <v>0.04</v>
      </c>
      <c r="L9" s="175"/>
      <c r="M9" s="175"/>
    </row>
    <row r="10" spans="1:13" ht="20.25" customHeight="1" x14ac:dyDescent="0.25">
      <c r="A10" s="121"/>
      <c r="B10" s="122" t="s">
        <v>226</v>
      </c>
      <c r="C10" s="123" t="s">
        <v>212</v>
      </c>
      <c r="D10" s="123"/>
      <c r="E10" s="124"/>
      <c r="F10" s="124"/>
      <c r="G10" s="142">
        <v>0.05</v>
      </c>
      <c r="H10" s="140"/>
      <c r="I10" s="125">
        <f>F4*G10</f>
        <v>55169877.791050009</v>
      </c>
      <c r="J10" s="141">
        <v>0.05</v>
      </c>
      <c r="L10" s="175"/>
      <c r="M10" s="175"/>
    </row>
    <row r="11" spans="1:13" ht="20.25" customHeight="1" x14ac:dyDescent="0.25">
      <c r="A11" s="121"/>
      <c r="B11" s="122"/>
      <c r="C11" s="123"/>
      <c r="D11" s="123"/>
      <c r="E11" s="124"/>
      <c r="F11" s="124"/>
      <c r="G11" s="140"/>
      <c r="H11" s="140"/>
      <c r="I11" s="125"/>
      <c r="J11" s="141"/>
      <c r="L11" s="175"/>
      <c r="M11" s="175"/>
    </row>
    <row r="12" spans="1:13" ht="20.25" customHeight="1" x14ac:dyDescent="0.25">
      <c r="A12" s="121"/>
      <c r="B12" s="122"/>
      <c r="C12" s="123"/>
      <c r="D12" s="123"/>
      <c r="E12" s="124"/>
      <c r="F12" s="124"/>
      <c r="G12" s="142"/>
      <c r="H12" s="140"/>
      <c r="I12" s="125"/>
      <c r="J12" s="141"/>
      <c r="L12" s="175"/>
      <c r="M12" s="175"/>
    </row>
    <row r="13" spans="1:13" ht="20.25" customHeight="1" x14ac:dyDescent="0.25">
      <c r="A13" s="121"/>
      <c r="B13" s="122"/>
      <c r="C13" s="123"/>
      <c r="D13" s="123"/>
      <c r="E13" s="124"/>
      <c r="F13" s="124"/>
      <c r="G13" s="142"/>
      <c r="H13" s="140"/>
      <c r="I13" s="125"/>
      <c r="J13" s="141"/>
      <c r="L13" s="175"/>
      <c r="M13" s="175"/>
    </row>
    <row r="14" spans="1:13" x14ac:dyDescent="0.25">
      <c r="A14" s="121" t="s">
        <v>228</v>
      </c>
      <c r="B14" s="122"/>
      <c r="C14" s="123"/>
      <c r="D14" s="123"/>
      <c r="E14" s="124"/>
      <c r="F14" s="124"/>
      <c r="G14" s="124"/>
      <c r="H14" s="124"/>
      <c r="I14" s="125"/>
      <c r="J14" s="143"/>
      <c r="L14" s="175"/>
      <c r="M14" s="175"/>
    </row>
    <row r="15" spans="1:13" x14ac:dyDescent="0.25">
      <c r="A15" s="153" t="s">
        <v>229</v>
      </c>
      <c r="B15" s="159" t="s">
        <v>230</v>
      </c>
      <c r="C15" s="155"/>
      <c r="D15" s="155"/>
      <c r="E15" s="156"/>
      <c r="F15" s="156"/>
      <c r="G15" s="156"/>
      <c r="H15" s="156"/>
      <c r="I15" s="157">
        <f>SUM(I16:I16)</f>
        <v>8297108.260751592</v>
      </c>
      <c r="J15" s="166">
        <f>J16</f>
        <v>7.5195999999999995E-3</v>
      </c>
      <c r="L15" s="175"/>
      <c r="M15" s="175"/>
    </row>
    <row r="16" spans="1:13" ht="21.75" customHeight="1" x14ac:dyDescent="0.25">
      <c r="A16" s="127" t="s">
        <v>231</v>
      </c>
      <c r="B16" s="122" t="s">
        <v>232</v>
      </c>
      <c r="C16" s="123">
        <v>1</v>
      </c>
      <c r="D16" s="123"/>
      <c r="E16" s="124"/>
      <c r="F16" s="125">
        <f>F5*0.55%</f>
        <v>8297108.260751592</v>
      </c>
      <c r="G16" s="124"/>
      <c r="H16" s="124"/>
      <c r="I16" s="125">
        <f>+F16*C16</f>
        <v>8297108.260751592</v>
      </c>
      <c r="J16" s="141">
        <f>I16/F4</f>
        <v>7.5195999999999995E-3</v>
      </c>
      <c r="L16" s="175"/>
      <c r="M16" s="175"/>
    </row>
    <row r="17" spans="1:13" x14ac:dyDescent="0.25">
      <c r="A17" s="121"/>
      <c r="B17" s="122"/>
      <c r="C17" s="123"/>
      <c r="D17" s="123"/>
      <c r="E17" s="124"/>
      <c r="F17" s="128"/>
      <c r="G17" s="124"/>
      <c r="H17" s="124"/>
      <c r="I17" s="128"/>
      <c r="J17" s="145"/>
      <c r="L17" s="175"/>
      <c r="M17" s="175"/>
    </row>
    <row r="18" spans="1:13" ht="32.25" customHeight="1" x14ac:dyDescent="0.25">
      <c r="A18" s="153" t="s">
        <v>202</v>
      </c>
      <c r="B18" s="159" t="s">
        <v>233</v>
      </c>
      <c r="C18" s="155"/>
      <c r="D18" s="155"/>
      <c r="E18" s="156"/>
      <c r="F18" s="167"/>
      <c r="G18" s="156"/>
      <c r="H18" s="156"/>
      <c r="I18" s="157">
        <f>+SUM(I19:I21)</f>
        <v>87591900</v>
      </c>
      <c r="J18" s="166">
        <f>SUM(J20:J21)</f>
        <v>2.7423497397078524E-2</v>
      </c>
      <c r="L18" s="175"/>
      <c r="M18" s="175"/>
    </row>
    <row r="19" spans="1:13" ht="32.25" customHeight="1" x14ac:dyDescent="0.25">
      <c r="A19" s="168" t="s">
        <v>279</v>
      </c>
      <c r="B19" s="178" t="s">
        <v>278</v>
      </c>
      <c r="C19" s="123" t="s">
        <v>235</v>
      </c>
      <c r="D19" s="123">
        <v>11</v>
      </c>
      <c r="E19" s="179">
        <v>0.6</v>
      </c>
      <c r="F19" s="167">
        <v>6000000</v>
      </c>
      <c r="G19" s="156">
        <v>1</v>
      </c>
      <c r="H19" s="129">
        <v>1.4478</v>
      </c>
      <c r="I19" s="125">
        <f>D19*E19*F19*G19*H19</f>
        <v>57332880</v>
      </c>
      <c r="J19" s="141">
        <f>I19/F4</f>
        <v>5.1960310857622462E-2</v>
      </c>
      <c r="L19" s="175"/>
      <c r="M19" s="175"/>
    </row>
    <row r="20" spans="1:13" ht="24.75" customHeight="1" x14ac:dyDescent="0.25">
      <c r="A20" s="127" t="s">
        <v>234</v>
      </c>
      <c r="B20" s="122" t="s">
        <v>276</v>
      </c>
      <c r="C20" s="123" t="s">
        <v>235</v>
      </c>
      <c r="D20" s="123">
        <v>11</v>
      </c>
      <c r="E20" s="146">
        <v>0.5</v>
      </c>
      <c r="F20" s="125">
        <v>3000000</v>
      </c>
      <c r="G20" s="123">
        <v>1</v>
      </c>
      <c r="H20" s="129">
        <v>1.4478</v>
      </c>
      <c r="I20" s="125">
        <f>D20*E20*F20*G20*H20</f>
        <v>23888700</v>
      </c>
      <c r="J20" s="141">
        <f>I20/F4</f>
        <v>2.1650129524009361E-2</v>
      </c>
      <c r="L20" s="175"/>
      <c r="M20" s="175"/>
    </row>
    <row r="21" spans="1:13" ht="21.75" customHeight="1" x14ac:dyDescent="0.25">
      <c r="A21" s="127" t="s">
        <v>236</v>
      </c>
      <c r="B21" s="122" t="s">
        <v>283</v>
      </c>
      <c r="C21" s="123" t="s">
        <v>235</v>
      </c>
      <c r="D21" s="123">
        <v>11</v>
      </c>
      <c r="E21" s="146">
        <v>0.2</v>
      </c>
      <c r="F21" s="125">
        <v>2000000</v>
      </c>
      <c r="G21" s="123">
        <v>1</v>
      </c>
      <c r="H21" s="129">
        <v>1.4478</v>
      </c>
      <c r="I21" s="125">
        <f t="shared" ref="I21" si="0">+G21*F21*E21*H21*D21</f>
        <v>6370320</v>
      </c>
      <c r="J21" s="141">
        <f>+I21/F4</f>
        <v>5.7733678730691627E-3</v>
      </c>
      <c r="L21" s="175"/>
      <c r="M21" s="175"/>
    </row>
    <row r="22" spans="1:13" x14ac:dyDescent="0.25">
      <c r="A22" s="121"/>
      <c r="B22" s="122"/>
      <c r="C22" s="123"/>
      <c r="D22" s="123"/>
      <c r="E22" s="124"/>
      <c r="F22" s="130"/>
      <c r="G22" s="124"/>
      <c r="H22" s="124"/>
      <c r="I22" s="128"/>
      <c r="J22" s="145"/>
      <c r="L22" s="175"/>
      <c r="M22" s="175"/>
    </row>
    <row r="23" spans="1:13" x14ac:dyDescent="0.25">
      <c r="A23" s="153" t="s">
        <v>237</v>
      </c>
      <c r="B23" s="159" t="s">
        <v>238</v>
      </c>
      <c r="C23" s="155"/>
      <c r="D23" s="155"/>
      <c r="E23" s="156"/>
      <c r="F23" s="167"/>
      <c r="G23" s="156"/>
      <c r="H23" s="156"/>
      <c r="I23" s="157">
        <f>+SUM(I24:I28)</f>
        <v>6000000</v>
      </c>
      <c r="J23" s="166">
        <f>SUM(J24:J28)</f>
        <v>6.3899999999999998E-2</v>
      </c>
      <c r="L23" s="175"/>
      <c r="M23" s="175"/>
    </row>
    <row r="24" spans="1:13" ht="50.25" customHeight="1" x14ac:dyDescent="0.25">
      <c r="A24" s="127" t="s">
        <v>239</v>
      </c>
      <c r="B24" s="131" t="s">
        <v>240</v>
      </c>
      <c r="C24" s="123" t="s">
        <v>241</v>
      </c>
      <c r="D24" s="123"/>
      <c r="E24" s="124"/>
      <c r="F24" s="132">
        <v>800000</v>
      </c>
      <c r="G24" s="123">
        <v>0</v>
      </c>
      <c r="H24" s="123"/>
      <c r="I24" s="133">
        <f>+G24*F24</f>
        <v>0</v>
      </c>
      <c r="J24" s="147">
        <f>+I24/$G$5</f>
        <v>0</v>
      </c>
      <c r="L24" s="175"/>
      <c r="M24" s="175"/>
    </row>
    <row r="25" spans="1:13" ht="46.5" customHeight="1" x14ac:dyDescent="0.25">
      <c r="A25" s="127" t="s">
        <v>242</v>
      </c>
      <c r="B25" s="131" t="s">
        <v>243</v>
      </c>
      <c r="C25" s="123" t="s">
        <v>241</v>
      </c>
      <c r="D25" s="123"/>
      <c r="E25" s="124"/>
      <c r="F25" s="132">
        <v>0</v>
      </c>
      <c r="G25" s="123">
        <v>0</v>
      </c>
      <c r="H25" s="123"/>
      <c r="I25" s="133">
        <f t="shared" ref="I25:I28" si="1">+G25*F25</f>
        <v>0</v>
      </c>
      <c r="J25" s="147">
        <f>+I25/$G$5</f>
        <v>0</v>
      </c>
      <c r="L25" s="175"/>
      <c r="M25" s="175"/>
    </row>
    <row r="26" spans="1:13" ht="29.25" customHeight="1" x14ac:dyDescent="0.25">
      <c r="A26" s="127" t="s">
        <v>244</v>
      </c>
      <c r="B26" s="131" t="s">
        <v>245</v>
      </c>
      <c r="C26" s="123" t="s">
        <v>246</v>
      </c>
      <c r="D26" s="123"/>
      <c r="E26" s="124"/>
      <c r="F26" s="132">
        <v>700000</v>
      </c>
      <c r="G26" s="123">
        <v>0</v>
      </c>
      <c r="H26" s="123"/>
      <c r="I26" s="133">
        <f t="shared" si="1"/>
        <v>0</v>
      </c>
      <c r="J26" s="147">
        <f>+I26/$G$5</f>
        <v>0</v>
      </c>
      <c r="L26" s="175"/>
      <c r="M26" s="175"/>
    </row>
    <row r="27" spans="1:13" ht="38.25" customHeight="1" x14ac:dyDescent="0.25">
      <c r="A27" s="127" t="s">
        <v>247</v>
      </c>
      <c r="B27" s="131" t="s">
        <v>248</v>
      </c>
      <c r="C27" s="123" t="s">
        <v>246</v>
      </c>
      <c r="D27" s="123"/>
      <c r="E27" s="124"/>
      <c r="F27" s="132">
        <v>500000</v>
      </c>
      <c r="G27" s="123">
        <v>1</v>
      </c>
      <c r="H27" s="123"/>
      <c r="I27" s="133">
        <f t="shared" si="1"/>
        <v>500000</v>
      </c>
      <c r="J27" s="147">
        <v>7.9000000000000008E-3</v>
      </c>
      <c r="L27" s="175"/>
      <c r="M27" s="175"/>
    </row>
    <row r="28" spans="1:13" ht="26.25" customHeight="1" x14ac:dyDescent="0.25">
      <c r="A28" s="127" t="s">
        <v>249</v>
      </c>
      <c r="B28" s="131" t="s">
        <v>250</v>
      </c>
      <c r="C28" s="123" t="s">
        <v>251</v>
      </c>
      <c r="D28" s="123"/>
      <c r="E28" s="124"/>
      <c r="F28" s="132">
        <v>500000</v>
      </c>
      <c r="G28" s="123">
        <v>11</v>
      </c>
      <c r="H28" s="123"/>
      <c r="I28" s="132">
        <f t="shared" si="1"/>
        <v>5500000</v>
      </c>
      <c r="J28" s="141">
        <v>5.6000000000000001E-2</v>
      </c>
      <c r="L28" s="175"/>
      <c r="M28" s="175"/>
    </row>
    <row r="29" spans="1:13" x14ac:dyDescent="0.25">
      <c r="A29" s="121"/>
      <c r="B29" s="122"/>
      <c r="C29" s="123"/>
      <c r="D29" s="123"/>
      <c r="E29" s="124"/>
      <c r="F29" s="124"/>
      <c r="G29" s="124"/>
      <c r="H29" s="124"/>
      <c r="I29" s="128"/>
      <c r="J29" s="145"/>
      <c r="L29" s="175"/>
      <c r="M29" s="175"/>
    </row>
    <row r="30" spans="1:13" hidden="1" x14ac:dyDescent="0.25">
      <c r="A30" s="117" t="s">
        <v>252</v>
      </c>
      <c r="B30" s="126" t="s">
        <v>253</v>
      </c>
      <c r="C30" s="118"/>
      <c r="D30" s="118"/>
      <c r="E30" s="119"/>
      <c r="F30" s="119"/>
      <c r="G30" s="119"/>
      <c r="H30" s="119"/>
      <c r="I30" s="120">
        <f>+SUM(I31:I38)</f>
        <v>0</v>
      </c>
      <c r="J30" s="144">
        <f>SUM(J31:J38)</f>
        <v>0</v>
      </c>
      <c r="L30" s="175"/>
      <c r="M30" s="175"/>
    </row>
    <row r="31" spans="1:13" hidden="1" x14ac:dyDescent="0.25">
      <c r="A31" s="127" t="s">
        <v>254</v>
      </c>
      <c r="B31" s="131" t="s">
        <v>255</v>
      </c>
      <c r="C31" s="123" t="s">
        <v>241</v>
      </c>
      <c r="D31" s="123"/>
      <c r="E31" s="146">
        <v>0</v>
      </c>
      <c r="F31" s="134">
        <v>11495000</v>
      </c>
      <c r="G31" s="123">
        <v>4</v>
      </c>
      <c r="H31" s="123">
        <v>1.4478</v>
      </c>
      <c r="I31" s="132">
        <f>+F31*E31*G31*H31</f>
        <v>0</v>
      </c>
      <c r="J31" s="141">
        <v>0</v>
      </c>
      <c r="L31" s="175"/>
      <c r="M31" s="175"/>
    </row>
    <row r="32" spans="1:13" hidden="1" x14ac:dyDescent="0.25">
      <c r="A32" s="127" t="s">
        <v>256</v>
      </c>
      <c r="B32" s="131" t="s">
        <v>257</v>
      </c>
      <c r="C32" s="123" t="s">
        <v>241</v>
      </c>
      <c r="D32" s="123"/>
      <c r="E32" s="146">
        <v>0</v>
      </c>
      <c r="F32" s="134">
        <v>3024000</v>
      </c>
      <c r="G32" s="123">
        <v>4</v>
      </c>
      <c r="H32" s="123">
        <v>1.4478</v>
      </c>
      <c r="I32" s="132">
        <f t="shared" ref="I32:I38" si="2">+F32*E32*G32*H32</f>
        <v>0</v>
      </c>
      <c r="J32" s="141">
        <v>0</v>
      </c>
      <c r="L32" s="175"/>
      <c r="M32" s="175"/>
    </row>
    <row r="33" spans="1:13" hidden="1" x14ac:dyDescent="0.25">
      <c r="A33" s="127" t="s">
        <v>258</v>
      </c>
      <c r="B33" s="131" t="s">
        <v>259</v>
      </c>
      <c r="C33" s="123" t="s">
        <v>241</v>
      </c>
      <c r="D33" s="123"/>
      <c r="E33" s="146">
        <v>0</v>
      </c>
      <c r="F33" s="135">
        <v>2350000</v>
      </c>
      <c r="G33" s="123">
        <v>4</v>
      </c>
      <c r="H33" s="123">
        <v>1.4478</v>
      </c>
      <c r="I33" s="132">
        <f t="shared" si="2"/>
        <v>0</v>
      </c>
      <c r="J33" s="141">
        <v>0</v>
      </c>
      <c r="L33" s="175"/>
      <c r="M33" s="175"/>
    </row>
    <row r="34" spans="1:13" hidden="1" x14ac:dyDescent="0.25">
      <c r="A34" s="127" t="s">
        <v>260</v>
      </c>
      <c r="B34" s="131" t="s">
        <v>261</v>
      </c>
      <c r="C34" s="123" t="s">
        <v>241</v>
      </c>
      <c r="D34" s="123"/>
      <c r="E34" s="146">
        <v>0</v>
      </c>
      <c r="F34" s="134">
        <v>3472000</v>
      </c>
      <c r="G34" s="123">
        <v>4</v>
      </c>
      <c r="H34" s="123">
        <v>1.4478</v>
      </c>
      <c r="I34" s="132">
        <f t="shared" si="2"/>
        <v>0</v>
      </c>
      <c r="J34" s="141">
        <v>0</v>
      </c>
      <c r="L34" s="175"/>
      <c r="M34" s="175"/>
    </row>
    <row r="35" spans="1:13" hidden="1" x14ac:dyDescent="0.25">
      <c r="A35" s="127" t="s">
        <v>262</v>
      </c>
      <c r="B35" s="131" t="s">
        <v>263</v>
      </c>
      <c r="C35" s="123" t="s">
        <v>241</v>
      </c>
      <c r="D35" s="123"/>
      <c r="E35" s="146">
        <v>0</v>
      </c>
      <c r="F35" s="134">
        <v>1924903</v>
      </c>
      <c r="G35" s="123">
        <v>4</v>
      </c>
      <c r="H35" s="123">
        <v>1.4478</v>
      </c>
      <c r="I35" s="132">
        <f t="shared" si="2"/>
        <v>0</v>
      </c>
      <c r="J35" s="141">
        <v>0</v>
      </c>
      <c r="L35" s="175"/>
      <c r="M35" s="175"/>
    </row>
    <row r="36" spans="1:13" hidden="1" x14ac:dyDescent="0.25">
      <c r="A36" s="127" t="s">
        <v>264</v>
      </c>
      <c r="B36" s="131" t="s">
        <v>265</v>
      </c>
      <c r="C36" s="123" t="s">
        <v>241</v>
      </c>
      <c r="D36" s="123"/>
      <c r="E36" s="146">
        <v>0</v>
      </c>
      <c r="F36" s="134">
        <v>4815000</v>
      </c>
      <c r="G36" s="123">
        <v>4</v>
      </c>
      <c r="H36" s="123">
        <v>1.4478</v>
      </c>
      <c r="I36" s="132">
        <f t="shared" si="2"/>
        <v>0</v>
      </c>
      <c r="J36" s="141">
        <v>0</v>
      </c>
      <c r="L36" s="175"/>
      <c r="M36" s="175"/>
    </row>
    <row r="37" spans="1:13" hidden="1" x14ac:dyDescent="0.25">
      <c r="A37" s="127" t="s">
        <v>266</v>
      </c>
      <c r="B37" s="131" t="s">
        <v>267</v>
      </c>
      <c r="C37" s="123" t="s">
        <v>241</v>
      </c>
      <c r="D37" s="123"/>
      <c r="E37" s="146">
        <v>0</v>
      </c>
      <c r="F37" s="134">
        <v>2770000</v>
      </c>
      <c r="G37" s="123">
        <v>4</v>
      </c>
      <c r="H37" s="123">
        <v>1.4478</v>
      </c>
      <c r="I37" s="132">
        <f t="shared" si="2"/>
        <v>0</v>
      </c>
      <c r="J37" s="141">
        <v>0</v>
      </c>
      <c r="L37" s="175"/>
      <c r="M37" s="175"/>
    </row>
    <row r="38" spans="1:13" hidden="1" x14ac:dyDescent="0.25">
      <c r="A38" s="127" t="s">
        <v>268</v>
      </c>
      <c r="B38" s="131" t="s">
        <v>269</v>
      </c>
      <c r="C38" s="123" t="s">
        <v>241</v>
      </c>
      <c r="D38" s="123"/>
      <c r="E38" s="146">
        <v>0</v>
      </c>
      <c r="F38" s="134">
        <v>4370000</v>
      </c>
      <c r="G38" s="123">
        <v>4</v>
      </c>
      <c r="H38" s="123">
        <v>1.4478</v>
      </c>
      <c r="I38" s="132">
        <f t="shared" si="2"/>
        <v>0</v>
      </c>
      <c r="J38" s="141">
        <v>0</v>
      </c>
      <c r="L38" s="175"/>
      <c r="M38" s="175"/>
    </row>
    <row r="39" spans="1:13" hidden="1" x14ac:dyDescent="0.25">
      <c r="A39" s="127"/>
      <c r="B39" s="131"/>
      <c r="C39" s="123"/>
      <c r="D39" s="123"/>
      <c r="E39" s="124"/>
      <c r="F39" s="136"/>
      <c r="G39" s="123"/>
      <c r="H39" s="123"/>
      <c r="I39" s="133"/>
      <c r="J39" s="145"/>
      <c r="L39" s="175"/>
      <c r="M39" s="175"/>
    </row>
    <row r="40" spans="1:13" x14ac:dyDescent="0.25">
      <c r="A40" s="168"/>
      <c r="B40" s="159" t="s">
        <v>270</v>
      </c>
      <c r="C40" s="155"/>
      <c r="D40" s="155"/>
      <c r="E40" s="156"/>
      <c r="F40" s="156"/>
      <c r="G40" s="156"/>
      <c r="H40" s="156"/>
      <c r="I40" s="157">
        <f>ROUND(+I23+I18+I15+I8+I30,0)</f>
        <v>292776785</v>
      </c>
      <c r="J40" s="166">
        <f>+I40/$F$4</f>
        <v>0.26534115782244494</v>
      </c>
      <c r="L40" s="175"/>
      <c r="M40" s="175"/>
    </row>
    <row r="41" spans="1:13" x14ac:dyDescent="0.25">
      <c r="A41" s="121"/>
      <c r="B41" s="122"/>
      <c r="C41" s="123"/>
      <c r="D41" s="123"/>
      <c r="E41" s="124"/>
      <c r="F41" s="124"/>
      <c r="G41" s="124"/>
      <c r="H41" s="124"/>
      <c r="I41" s="128"/>
      <c r="J41" s="147"/>
      <c r="L41" s="175"/>
      <c r="M41" s="175"/>
    </row>
    <row r="42" spans="1:13" x14ac:dyDescent="0.25">
      <c r="A42" s="168"/>
      <c r="B42" s="159" t="s">
        <v>179</v>
      </c>
      <c r="C42" s="155" t="s">
        <v>212</v>
      </c>
      <c r="D42" s="155"/>
      <c r="E42" s="156"/>
      <c r="F42" s="156"/>
      <c r="G42" s="169">
        <v>0.05</v>
      </c>
      <c r="H42" s="169"/>
      <c r="I42" s="157">
        <f>ROUND(+G42*F4,0)</f>
        <v>55169878</v>
      </c>
      <c r="J42" s="166">
        <f>+I42/$F$4</f>
        <v>5.0000000189369641E-2</v>
      </c>
      <c r="L42" s="175"/>
      <c r="M42" s="175"/>
    </row>
    <row r="43" spans="1:13" x14ac:dyDescent="0.25">
      <c r="A43" s="121"/>
      <c r="B43" s="122" t="s">
        <v>228</v>
      </c>
      <c r="C43" s="123"/>
      <c r="D43" s="123"/>
      <c r="E43" s="124"/>
      <c r="F43" s="124"/>
      <c r="G43" s="124"/>
      <c r="H43" s="124"/>
      <c r="I43" s="128"/>
      <c r="J43" s="173"/>
      <c r="L43" s="175"/>
      <c r="M43" s="175"/>
    </row>
    <row r="44" spans="1:13" ht="15.75" thickBot="1" x14ac:dyDescent="0.3">
      <c r="A44" s="170"/>
      <c r="B44" s="149" t="s">
        <v>271</v>
      </c>
      <c r="C44" s="150"/>
      <c r="D44" s="150"/>
      <c r="E44" s="171"/>
      <c r="F44" s="171"/>
      <c r="G44" s="171"/>
      <c r="H44" s="171"/>
      <c r="I44" s="172">
        <f>+I40+I42</f>
        <v>347946663</v>
      </c>
      <c r="J44" s="174">
        <f>+I44/F4</f>
        <v>0.31534115801181462</v>
      </c>
      <c r="L44" s="175"/>
      <c r="M44" s="176"/>
    </row>
    <row r="45" spans="1:13" x14ac:dyDescent="0.25">
      <c r="M45" s="180"/>
    </row>
  </sheetData>
  <mergeCells count="3">
    <mergeCell ref="A1:J1"/>
    <mergeCell ref="B4:E4"/>
    <mergeCell ref="B5:E5"/>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3"/>
  <sheetViews>
    <sheetView topLeftCell="A10" zoomScale="90" zoomScaleNormal="90" workbookViewId="0">
      <selection activeCell="J45" sqref="J45"/>
    </sheetView>
  </sheetViews>
  <sheetFormatPr baseColWidth="10" defaultColWidth="12" defaultRowHeight="15" x14ac:dyDescent="0.25"/>
  <cols>
    <col min="1" max="1" width="6.83203125" style="138" customWidth="1"/>
    <col min="2" max="2" width="37.6640625" style="138" customWidth="1"/>
    <col min="3" max="3" width="12" style="138"/>
    <col min="4" max="4" width="9.5" style="138" customWidth="1"/>
    <col min="5" max="5" width="8.6640625" style="138" customWidth="1"/>
    <col min="6" max="6" width="17.1640625" style="138" customWidth="1"/>
    <col min="7" max="7" width="16.83203125" style="138" customWidth="1"/>
    <col min="8" max="8" width="17.5" style="138" customWidth="1"/>
    <col min="9" max="9" width="19.33203125" style="138" customWidth="1"/>
    <col min="10" max="10" width="16" style="138" customWidth="1"/>
    <col min="11" max="11" width="12" style="138"/>
    <col min="12" max="12" width="21.5" style="138" customWidth="1"/>
    <col min="13" max="13" width="20.1640625" style="138" customWidth="1"/>
    <col min="14" max="16384" width="12" style="138"/>
  </cols>
  <sheetData>
    <row r="1" spans="1:13" ht="24.75" customHeight="1" x14ac:dyDescent="0.25">
      <c r="A1" s="211" t="s">
        <v>209</v>
      </c>
      <c r="B1" s="212"/>
      <c r="C1" s="212"/>
      <c r="D1" s="212"/>
      <c r="E1" s="212"/>
      <c r="F1" s="212"/>
      <c r="G1" s="212"/>
      <c r="H1" s="212"/>
      <c r="I1" s="212"/>
      <c r="J1" s="213"/>
    </row>
    <row r="2" spans="1:13" ht="24.75" thickBot="1" x14ac:dyDescent="0.3">
      <c r="A2" s="148"/>
      <c r="B2" s="149"/>
      <c r="C2" s="150" t="s">
        <v>210</v>
      </c>
      <c r="D2" s="150" t="s">
        <v>211</v>
      </c>
      <c r="E2" s="150" t="s">
        <v>212</v>
      </c>
      <c r="F2" s="150" t="s">
        <v>213</v>
      </c>
      <c r="G2" s="150" t="s">
        <v>214</v>
      </c>
      <c r="H2" s="150" t="s">
        <v>215</v>
      </c>
      <c r="I2" s="151" t="s">
        <v>216</v>
      </c>
      <c r="J2" s="152" t="s">
        <v>217</v>
      </c>
    </row>
    <row r="3" spans="1:13" ht="15.75" thickBot="1" x14ac:dyDescent="0.3">
      <c r="A3" s="102"/>
      <c r="B3" s="103"/>
      <c r="C3" s="104"/>
      <c r="D3" s="104"/>
      <c r="E3" s="104"/>
      <c r="F3" s="104"/>
      <c r="G3" s="104"/>
      <c r="H3" s="104"/>
      <c r="I3" s="105"/>
      <c r="J3" s="106"/>
    </row>
    <row r="4" spans="1:13" x14ac:dyDescent="0.25">
      <c r="A4" s="107"/>
      <c r="B4" s="214" t="s">
        <v>218</v>
      </c>
      <c r="C4" s="215"/>
      <c r="D4" s="215"/>
      <c r="E4" s="216"/>
      <c r="F4" s="108">
        <f>RESUMEN!E8</f>
        <v>49368823.549999997</v>
      </c>
      <c r="G4" s="139">
        <f>F4/9</f>
        <v>5485424.8388888882</v>
      </c>
      <c r="H4" s="109">
        <f>G4/9</f>
        <v>609491.64876543207</v>
      </c>
      <c r="I4" s="110">
        <f>G4-H4</f>
        <v>4875933.1901234565</v>
      </c>
      <c r="J4" s="111"/>
      <c r="L4" s="175"/>
      <c r="M4" s="175"/>
    </row>
    <row r="5" spans="1:13" ht="15.75" thickBot="1" x14ac:dyDescent="0.3">
      <c r="A5" s="107"/>
      <c r="B5" s="217" t="s">
        <v>219</v>
      </c>
      <c r="C5" s="218"/>
      <c r="D5" s="218"/>
      <c r="E5" s="219"/>
      <c r="F5" s="112">
        <f>RESUMEN!E12</f>
        <v>68899130.146379992</v>
      </c>
      <c r="G5" s="139">
        <f>F5/9</f>
        <v>7655458.9051533323</v>
      </c>
      <c r="H5" s="109"/>
      <c r="I5" s="110"/>
      <c r="J5" s="111"/>
      <c r="L5" s="175"/>
      <c r="M5" s="175"/>
    </row>
    <row r="6" spans="1:13" x14ac:dyDescent="0.25">
      <c r="A6" s="107"/>
      <c r="B6" s="113"/>
      <c r="C6" s="114"/>
      <c r="D6" s="114"/>
      <c r="E6" s="115"/>
      <c r="F6" s="116"/>
      <c r="G6" s="115"/>
      <c r="H6" s="115"/>
      <c r="I6" s="110"/>
      <c r="J6" s="111"/>
      <c r="L6" s="175"/>
      <c r="M6" s="175"/>
    </row>
    <row r="7" spans="1:13" ht="24" customHeight="1" x14ac:dyDescent="0.25">
      <c r="A7" s="160" t="s">
        <v>1</v>
      </c>
      <c r="B7" s="161" t="s">
        <v>220</v>
      </c>
      <c r="C7" s="162"/>
      <c r="D7" s="162"/>
      <c r="E7" s="163"/>
      <c r="F7" s="163"/>
      <c r="G7" s="163"/>
      <c r="H7" s="163"/>
      <c r="I7" s="164"/>
      <c r="J7" s="165"/>
      <c r="L7" s="175"/>
      <c r="M7" s="175"/>
    </row>
    <row r="8" spans="1:13" ht="39.75" customHeight="1" x14ac:dyDescent="0.25">
      <c r="A8" s="153" t="s">
        <v>221</v>
      </c>
      <c r="B8" s="154" t="s">
        <v>222</v>
      </c>
      <c r="C8" s="155"/>
      <c r="D8" s="155"/>
      <c r="E8" s="156"/>
      <c r="F8" s="156"/>
      <c r="G8" s="156"/>
      <c r="H8" s="156"/>
      <c r="I8" s="157">
        <f>SUM(I9:I13)</f>
        <v>7158479.4147499995</v>
      </c>
      <c r="J8" s="158">
        <f>SUM(J9:J13)</f>
        <v>0.14499999999999999</v>
      </c>
      <c r="L8" s="175"/>
      <c r="M8" s="175"/>
    </row>
    <row r="9" spans="1:13" ht="20.25" customHeight="1" x14ac:dyDescent="0.25">
      <c r="A9" s="121"/>
      <c r="B9" s="122" t="s">
        <v>223</v>
      </c>
      <c r="C9" s="123" t="s">
        <v>212</v>
      </c>
      <c r="D9" s="123"/>
      <c r="E9" s="124"/>
      <c r="F9" s="124"/>
      <c r="G9" s="140">
        <v>0.04</v>
      </c>
      <c r="H9" s="140"/>
      <c r="I9" s="125">
        <f>F4*G9</f>
        <v>1974752.9419999998</v>
      </c>
      <c r="J9" s="141">
        <v>0.04</v>
      </c>
      <c r="L9" s="175"/>
      <c r="M9" s="175"/>
    </row>
    <row r="10" spans="1:13" ht="20.25" customHeight="1" x14ac:dyDescent="0.25">
      <c r="A10" s="121"/>
      <c r="B10" s="122" t="s">
        <v>224</v>
      </c>
      <c r="C10" s="123" t="s">
        <v>212</v>
      </c>
      <c r="D10" s="123"/>
      <c r="E10" s="124"/>
      <c r="F10" s="124"/>
      <c r="G10" s="140">
        <v>0.02</v>
      </c>
      <c r="H10" s="140"/>
      <c r="I10" s="125">
        <f>F4*G10</f>
        <v>987376.4709999999</v>
      </c>
      <c r="J10" s="141">
        <v>0.02</v>
      </c>
      <c r="L10" s="175"/>
      <c r="M10" s="175"/>
    </row>
    <row r="11" spans="1:13" ht="20.25" customHeight="1" x14ac:dyDescent="0.25">
      <c r="A11" s="121"/>
      <c r="B11" s="122" t="s">
        <v>225</v>
      </c>
      <c r="C11" s="123" t="s">
        <v>212</v>
      </c>
      <c r="D11" s="123"/>
      <c r="E11" s="124"/>
      <c r="F11" s="124"/>
      <c r="G11" s="140">
        <v>1.4999999999999999E-2</v>
      </c>
      <c r="H11" s="140"/>
      <c r="I11" s="125">
        <f>F4*G11</f>
        <v>740532.35324999993</v>
      </c>
      <c r="J11" s="141">
        <v>1.4999999999999999E-2</v>
      </c>
      <c r="L11" s="175"/>
      <c r="M11" s="175"/>
    </row>
    <row r="12" spans="1:13" ht="20.25" customHeight="1" x14ac:dyDescent="0.25">
      <c r="A12" s="121"/>
      <c r="B12" s="122" t="s">
        <v>226</v>
      </c>
      <c r="C12" s="123" t="s">
        <v>212</v>
      </c>
      <c r="D12" s="123"/>
      <c r="E12" s="124"/>
      <c r="F12" s="124"/>
      <c r="G12" s="142">
        <v>0.05</v>
      </c>
      <c r="H12" s="140"/>
      <c r="I12" s="125">
        <f>F4*G12</f>
        <v>2468441.1774999998</v>
      </c>
      <c r="J12" s="141">
        <v>0.05</v>
      </c>
      <c r="L12" s="175"/>
      <c r="M12" s="175"/>
    </row>
    <row r="13" spans="1:13" ht="20.25" customHeight="1" x14ac:dyDescent="0.25">
      <c r="A13" s="121"/>
      <c r="B13" s="122" t="s">
        <v>227</v>
      </c>
      <c r="C13" s="123" t="s">
        <v>212</v>
      </c>
      <c r="D13" s="123"/>
      <c r="E13" s="124"/>
      <c r="F13" s="124"/>
      <c r="G13" s="142">
        <v>0.02</v>
      </c>
      <c r="H13" s="140"/>
      <c r="I13" s="125">
        <f>F4*G13</f>
        <v>987376.4709999999</v>
      </c>
      <c r="J13" s="141">
        <v>0.02</v>
      </c>
      <c r="L13" s="175"/>
      <c r="M13" s="175"/>
    </row>
    <row r="14" spans="1:13" x14ac:dyDescent="0.25">
      <c r="A14" s="121" t="s">
        <v>228</v>
      </c>
      <c r="B14" s="122"/>
      <c r="C14" s="123"/>
      <c r="D14" s="123"/>
      <c r="E14" s="124"/>
      <c r="F14" s="124"/>
      <c r="G14" s="124"/>
      <c r="H14" s="124"/>
      <c r="I14" s="125"/>
      <c r="J14" s="143"/>
      <c r="L14" s="175"/>
      <c r="M14" s="175"/>
    </row>
    <row r="15" spans="1:13" x14ac:dyDescent="0.25">
      <c r="A15" s="153" t="s">
        <v>229</v>
      </c>
      <c r="B15" s="159" t="s">
        <v>230</v>
      </c>
      <c r="C15" s="155"/>
      <c r="D15" s="155"/>
      <c r="E15" s="156"/>
      <c r="F15" s="156"/>
      <c r="G15" s="156"/>
      <c r="H15" s="156"/>
      <c r="I15" s="157">
        <f>SUM(I16:I16)</f>
        <v>378945.21580508997</v>
      </c>
      <c r="J15" s="166">
        <f>J16</f>
        <v>7.6758E-3</v>
      </c>
      <c r="L15" s="175"/>
      <c r="M15" s="175"/>
    </row>
    <row r="16" spans="1:13" ht="21.75" customHeight="1" x14ac:dyDescent="0.25">
      <c r="A16" s="127" t="s">
        <v>231</v>
      </c>
      <c r="B16" s="122" t="s">
        <v>232</v>
      </c>
      <c r="C16" s="123">
        <v>1</v>
      </c>
      <c r="D16" s="123"/>
      <c r="E16" s="124"/>
      <c r="F16" s="125">
        <f>F5*0.55%</f>
        <v>378945.21580508997</v>
      </c>
      <c r="G16" s="124"/>
      <c r="H16" s="124"/>
      <c r="I16" s="125">
        <f>+F16*C16</f>
        <v>378945.21580508997</v>
      </c>
      <c r="J16" s="141">
        <f>I16/F4</f>
        <v>7.6758E-3</v>
      </c>
      <c r="L16" s="175"/>
      <c r="M16" s="175"/>
    </row>
    <row r="17" spans="1:13" x14ac:dyDescent="0.25">
      <c r="A17" s="121"/>
      <c r="B17" s="122"/>
      <c r="C17" s="123"/>
      <c r="D17" s="123"/>
      <c r="E17" s="124"/>
      <c r="F17" s="128"/>
      <c r="G17" s="124"/>
      <c r="H17" s="124"/>
      <c r="I17" s="128"/>
      <c r="J17" s="145"/>
      <c r="L17" s="175"/>
      <c r="M17" s="175"/>
    </row>
    <row r="18" spans="1:13" ht="32.25" customHeight="1" x14ac:dyDescent="0.25">
      <c r="A18" s="153" t="s">
        <v>202</v>
      </c>
      <c r="B18" s="159" t="s">
        <v>233</v>
      </c>
      <c r="C18" s="155"/>
      <c r="D18" s="155"/>
      <c r="E18" s="156"/>
      <c r="F18" s="167"/>
      <c r="G18" s="156"/>
      <c r="H18" s="156"/>
      <c r="I18" s="157">
        <f>+SUM(I19:I20)</f>
        <v>5501640</v>
      </c>
      <c r="J18" s="166">
        <f>SUM(J19:J20)</f>
        <v>0.11143956052402226</v>
      </c>
      <c r="L18" s="175"/>
      <c r="M18" s="175"/>
    </row>
    <row r="19" spans="1:13" ht="24.75" customHeight="1" x14ac:dyDescent="0.25">
      <c r="A19" s="127" t="s">
        <v>234</v>
      </c>
      <c r="B19" s="122" t="s">
        <v>276</v>
      </c>
      <c r="C19" s="123" t="s">
        <v>235</v>
      </c>
      <c r="D19" s="123">
        <v>2</v>
      </c>
      <c r="E19" s="146">
        <v>0.5</v>
      </c>
      <c r="F19" s="125">
        <v>3000000</v>
      </c>
      <c r="G19" s="123">
        <v>1</v>
      </c>
      <c r="H19" s="129">
        <v>1.4478</v>
      </c>
      <c r="I19" s="125">
        <f>D19*E19*F19*G19*H19</f>
        <v>4343400</v>
      </c>
      <c r="J19" s="141">
        <f>I19/F4</f>
        <v>8.7978600413701785E-2</v>
      </c>
      <c r="L19" s="175"/>
      <c r="M19" s="175"/>
    </row>
    <row r="20" spans="1:13" ht="21.75" customHeight="1" x14ac:dyDescent="0.25">
      <c r="A20" s="127" t="s">
        <v>236</v>
      </c>
      <c r="B20" s="122" t="s">
        <v>283</v>
      </c>
      <c r="C20" s="123" t="s">
        <v>235</v>
      </c>
      <c r="D20" s="123">
        <v>2</v>
      </c>
      <c r="E20" s="146">
        <v>0.2</v>
      </c>
      <c r="F20" s="125">
        <v>2000000</v>
      </c>
      <c r="G20" s="123">
        <v>1</v>
      </c>
      <c r="H20" s="129">
        <v>1.4478</v>
      </c>
      <c r="I20" s="125">
        <f t="shared" ref="I20" si="0">+G20*F20*E20*H20*D20</f>
        <v>1158240</v>
      </c>
      <c r="J20" s="141">
        <f>+I20/F4</f>
        <v>2.3460960110320474E-2</v>
      </c>
      <c r="L20" s="175"/>
      <c r="M20" s="175"/>
    </row>
    <row r="21" spans="1:13" x14ac:dyDescent="0.25">
      <c r="A21" s="121"/>
      <c r="B21" s="122"/>
      <c r="C21" s="123"/>
      <c r="D21" s="123"/>
      <c r="E21" s="124"/>
      <c r="F21" s="130"/>
      <c r="G21" s="124"/>
      <c r="H21" s="124"/>
      <c r="I21" s="128"/>
      <c r="J21" s="145"/>
      <c r="L21" s="175"/>
      <c r="M21" s="175"/>
    </row>
    <row r="22" spans="1:13" x14ac:dyDescent="0.25">
      <c r="A22" s="153" t="s">
        <v>237</v>
      </c>
      <c r="B22" s="159" t="s">
        <v>238</v>
      </c>
      <c r="C22" s="155"/>
      <c r="D22" s="155"/>
      <c r="E22" s="156"/>
      <c r="F22" s="167"/>
      <c r="G22" s="156"/>
      <c r="H22" s="156"/>
      <c r="I22" s="157">
        <f>+SUM(I23:I27)</f>
        <v>2280000</v>
      </c>
      <c r="J22" s="166">
        <f>SUM(J23:J27)</f>
        <v>6.3899999999999998E-2</v>
      </c>
      <c r="L22" s="175"/>
      <c r="M22" s="175"/>
    </row>
    <row r="23" spans="1:13" ht="50.25" customHeight="1" x14ac:dyDescent="0.25">
      <c r="A23" s="127" t="s">
        <v>239</v>
      </c>
      <c r="B23" s="131" t="s">
        <v>240</v>
      </c>
      <c r="C23" s="123" t="s">
        <v>241</v>
      </c>
      <c r="D23" s="123"/>
      <c r="E23" s="124"/>
      <c r="F23" s="132">
        <v>800000</v>
      </c>
      <c r="G23" s="123">
        <v>0</v>
      </c>
      <c r="H23" s="123"/>
      <c r="I23" s="133">
        <f>+G23*F23</f>
        <v>0</v>
      </c>
      <c r="J23" s="147">
        <f>+I23/$G$5</f>
        <v>0</v>
      </c>
      <c r="L23" s="175"/>
      <c r="M23" s="175"/>
    </row>
    <row r="24" spans="1:13" ht="46.5" customHeight="1" x14ac:dyDescent="0.25">
      <c r="A24" s="127" t="s">
        <v>242</v>
      </c>
      <c r="B24" s="131" t="s">
        <v>243</v>
      </c>
      <c r="C24" s="123" t="s">
        <v>241</v>
      </c>
      <c r="D24" s="123"/>
      <c r="E24" s="124"/>
      <c r="F24" s="132">
        <v>0</v>
      </c>
      <c r="G24" s="123">
        <v>0</v>
      </c>
      <c r="H24" s="123"/>
      <c r="I24" s="133">
        <f t="shared" ref="I24:I27" si="1">+G24*F24</f>
        <v>0</v>
      </c>
      <c r="J24" s="147">
        <f>+I24/$G$5</f>
        <v>0</v>
      </c>
      <c r="L24" s="175"/>
      <c r="M24" s="175"/>
    </row>
    <row r="25" spans="1:13" ht="29.25" customHeight="1" x14ac:dyDescent="0.25">
      <c r="A25" s="127" t="s">
        <v>244</v>
      </c>
      <c r="B25" s="131" t="s">
        <v>245</v>
      </c>
      <c r="C25" s="123" t="s">
        <v>246</v>
      </c>
      <c r="D25" s="123"/>
      <c r="E25" s="124"/>
      <c r="F25" s="132">
        <v>700000</v>
      </c>
      <c r="G25" s="123">
        <v>0</v>
      </c>
      <c r="H25" s="123"/>
      <c r="I25" s="133">
        <f t="shared" si="1"/>
        <v>0</v>
      </c>
      <c r="J25" s="147">
        <f>+I25/$G$5</f>
        <v>0</v>
      </c>
      <c r="L25" s="175"/>
      <c r="M25" s="175"/>
    </row>
    <row r="26" spans="1:13" ht="38.25" customHeight="1" x14ac:dyDescent="0.25">
      <c r="A26" s="127" t="s">
        <v>247</v>
      </c>
      <c r="B26" s="131" t="s">
        <v>248</v>
      </c>
      <c r="C26" s="123" t="s">
        <v>246</v>
      </c>
      <c r="D26" s="123"/>
      <c r="E26" s="124"/>
      <c r="F26" s="132">
        <v>500000</v>
      </c>
      <c r="G26" s="123">
        <v>1</v>
      </c>
      <c r="H26" s="123"/>
      <c r="I26" s="133">
        <f t="shared" si="1"/>
        <v>500000</v>
      </c>
      <c r="J26" s="147">
        <v>7.9000000000000008E-3</v>
      </c>
      <c r="L26" s="175"/>
      <c r="M26" s="175"/>
    </row>
    <row r="27" spans="1:13" ht="26.25" customHeight="1" x14ac:dyDescent="0.25">
      <c r="A27" s="127" t="s">
        <v>249</v>
      </c>
      <c r="B27" s="131" t="s">
        <v>250</v>
      </c>
      <c r="C27" s="123" t="s">
        <v>251</v>
      </c>
      <c r="D27" s="123"/>
      <c r="E27" s="124"/>
      <c r="F27" s="132">
        <v>890000</v>
      </c>
      <c r="G27" s="123">
        <v>2</v>
      </c>
      <c r="H27" s="123"/>
      <c r="I27" s="132">
        <f t="shared" si="1"/>
        <v>1780000</v>
      </c>
      <c r="J27" s="141">
        <v>5.6000000000000001E-2</v>
      </c>
      <c r="L27" s="175"/>
      <c r="M27" s="175"/>
    </row>
    <row r="28" spans="1:13" x14ac:dyDescent="0.25">
      <c r="A28" s="121"/>
      <c r="B28" s="122"/>
      <c r="C28" s="123"/>
      <c r="D28" s="123"/>
      <c r="E28" s="124"/>
      <c r="F28" s="124"/>
      <c r="G28" s="124"/>
      <c r="H28" s="124"/>
      <c r="I28" s="128"/>
      <c r="J28" s="145"/>
      <c r="L28" s="175"/>
      <c r="M28" s="175"/>
    </row>
    <row r="29" spans="1:13" hidden="1" x14ac:dyDescent="0.25">
      <c r="A29" s="117" t="s">
        <v>252</v>
      </c>
      <c r="B29" s="126" t="s">
        <v>253</v>
      </c>
      <c r="C29" s="118"/>
      <c r="D29" s="118"/>
      <c r="E29" s="119"/>
      <c r="F29" s="119"/>
      <c r="G29" s="119"/>
      <c r="H29" s="119"/>
      <c r="I29" s="120">
        <f>+SUM(I30:I37)</f>
        <v>0</v>
      </c>
      <c r="J29" s="144">
        <f>SUM(J30:J37)</f>
        <v>0</v>
      </c>
      <c r="L29" s="175"/>
      <c r="M29" s="175"/>
    </row>
    <row r="30" spans="1:13" hidden="1" x14ac:dyDescent="0.25">
      <c r="A30" s="127" t="s">
        <v>254</v>
      </c>
      <c r="B30" s="131" t="s">
        <v>255</v>
      </c>
      <c r="C30" s="123" t="s">
        <v>241</v>
      </c>
      <c r="D30" s="123"/>
      <c r="E30" s="146">
        <v>0</v>
      </c>
      <c r="F30" s="134">
        <v>11495000</v>
      </c>
      <c r="G30" s="123">
        <v>4</v>
      </c>
      <c r="H30" s="123">
        <v>1.4478</v>
      </c>
      <c r="I30" s="132">
        <f>+F30*E30*G30*H30</f>
        <v>0</v>
      </c>
      <c r="J30" s="141">
        <v>0</v>
      </c>
      <c r="L30" s="175"/>
      <c r="M30" s="175"/>
    </row>
    <row r="31" spans="1:13" hidden="1" x14ac:dyDescent="0.25">
      <c r="A31" s="127" t="s">
        <v>256</v>
      </c>
      <c r="B31" s="131" t="s">
        <v>257</v>
      </c>
      <c r="C31" s="123" t="s">
        <v>241</v>
      </c>
      <c r="D31" s="123"/>
      <c r="E31" s="146">
        <v>0</v>
      </c>
      <c r="F31" s="134">
        <v>3024000</v>
      </c>
      <c r="G31" s="123">
        <v>4</v>
      </c>
      <c r="H31" s="123">
        <v>1.4478</v>
      </c>
      <c r="I31" s="132">
        <f t="shared" ref="I31:I37" si="2">+F31*E31*G31*H31</f>
        <v>0</v>
      </c>
      <c r="J31" s="141">
        <v>0</v>
      </c>
      <c r="L31" s="175"/>
      <c r="M31" s="175"/>
    </row>
    <row r="32" spans="1:13" hidden="1" x14ac:dyDescent="0.25">
      <c r="A32" s="127" t="s">
        <v>258</v>
      </c>
      <c r="B32" s="131" t="s">
        <v>259</v>
      </c>
      <c r="C32" s="123" t="s">
        <v>241</v>
      </c>
      <c r="D32" s="123"/>
      <c r="E32" s="146">
        <v>0</v>
      </c>
      <c r="F32" s="135">
        <v>2350000</v>
      </c>
      <c r="G32" s="123">
        <v>4</v>
      </c>
      <c r="H32" s="123">
        <v>1.4478</v>
      </c>
      <c r="I32" s="132">
        <f t="shared" si="2"/>
        <v>0</v>
      </c>
      <c r="J32" s="141">
        <v>0</v>
      </c>
      <c r="L32" s="175"/>
      <c r="M32" s="175"/>
    </row>
    <row r="33" spans="1:13" hidden="1" x14ac:dyDescent="0.25">
      <c r="A33" s="127" t="s">
        <v>260</v>
      </c>
      <c r="B33" s="131" t="s">
        <v>261</v>
      </c>
      <c r="C33" s="123" t="s">
        <v>241</v>
      </c>
      <c r="D33" s="123"/>
      <c r="E33" s="146">
        <v>0</v>
      </c>
      <c r="F33" s="134">
        <v>3472000</v>
      </c>
      <c r="G33" s="123">
        <v>4</v>
      </c>
      <c r="H33" s="123">
        <v>1.4478</v>
      </c>
      <c r="I33" s="132">
        <f t="shared" si="2"/>
        <v>0</v>
      </c>
      <c r="J33" s="141">
        <v>0</v>
      </c>
      <c r="L33" s="175"/>
      <c r="M33" s="175"/>
    </row>
    <row r="34" spans="1:13" hidden="1" x14ac:dyDescent="0.25">
      <c r="A34" s="127" t="s">
        <v>262</v>
      </c>
      <c r="B34" s="131" t="s">
        <v>263</v>
      </c>
      <c r="C34" s="123" t="s">
        <v>241</v>
      </c>
      <c r="D34" s="123"/>
      <c r="E34" s="146">
        <v>0</v>
      </c>
      <c r="F34" s="134">
        <v>1924903</v>
      </c>
      <c r="G34" s="123">
        <v>4</v>
      </c>
      <c r="H34" s="123">
        <v>1.4478</v>
      </c>
      <c r="I34" s="132">
        <f t="shared" si="2"/>
        <v>0</v>
      </c>
      <c r="J34" s="141">
        <v>0</v>
      </c>
      <c r="L34" s="175"/>
      <c r="M34" s="175"/>
    </row>
    <row r="35" spans="1:13" hidden="1" x14ac:dyDescent="0.25">
      <c r="A35" s="127" t="s">
        <v>264</v>
      </c>
      <c r="B35" s="131" t="s">
        <v>265</v>
      </c>
      <c r="C35" s="123" t="s">
        <v>241</v>
      </c>
      <c r="D35" s="123"/>
      <c r="E35" s="146">
        <v>0</v>
      </c>
      <c r="F35" s="134">
        <v>4815000</v>
      </c>
      <c r="G35" s="123">
        <v>4</v>
      </c>
      <c r="H35" s="123">
        <v>1.4478</v>
      </c>
      <c r="I35" s="132">
        <f t="shared" si="2"/>
        <v>0</v>
      </c>
      <c r="J35" s="141">
        <v>0</v>
      </c>
      <c r="L35" s="175"/>
      <c r="M35" s="175"/>
    </row>
    <row r="36" spans="1:13" hidden="1" x14ac:dyDescent="0.25">
      <c r="A36" s="127" t="s">
        <v>266</v>
      </c>
      <c r="B36" s="131" t="s">
        <v>267</v>
      </c>
      <c r="C36" s="123" t="s">
        <v>241</v>
      </c>
      <c r="D36" s="123"/>
      <c r="E36" s="146">
        <v>0</v>
      </c>
      <c r="F36" s="134">
        <v>2770000</v>
      </c>
      <c r="G36" s="123">
        <v>4</v>
      </c>
      <c r="H36" s="123">
        <v>1.4478</v>
      </c>
      <c r="I36" s="132">
        <f t="shared" si="2"/>
        <v>0</v>
      </c>
      <c r="J36" s="141">
        <v>0</v>
      </c>
      <c r="L36" s="175"/>
      <c r="M36" s="175"/>
    </row>
    <row r="37" spans="1:13" hidden="1" x14ac:dyDescent="0.25">
      <c r="A37" s="127" t="s">
        <v>268</v>
      </c>
      <c r="B37" s="131" t="s">
        <v>269</v>
      </c>
      <c r="C37" s="123" t="s">
        <v>241</v>
      </c>
      <c r="D37" s="123"/>
      <c r="E37" s="146">
        <v>0</v>
      </c>
      <c r="F37" s="134">
        <v>4370000</v>
      </c>
      <c r="G37" s="123">
        <v>4</v>
      </c>
      <c r="H37" s="123">
        <v>1.4478</v>
      </c>
      <c r="I37" s="132">
        <f t="shared" si="2"/>
        <v>0</v>
      </c>
      <c r="J37" s="141">
        <v>0</v>
      </c>
      <c r="L37" s="175"/>
      <c r="M37" s="175"/>
    </row>
    <row r="38" spans="1:13" hidden="1" x14ac:dyDescent="0.25">
      <c r="A38" s="127"/>
      <c r="B38" s="131"/>
      <c r="C38" s="123"/>
      <c r="D38" s="123"/>
      <c r="E38" s="124"/>
      <c r="F38" s="136"/>
      <c r="G38" s="123"/>
      <c r="H38" s="123"/>
      <c r="I38" s="133"/>
      <c r="J38" s="145"/>
      <c r="L38" s="175"/>
      <c r="M38" s="175"/>
    </row>
    <row r="39" spans="1:13" x14ac:dyDescent="0.25">
      <c r="A39" s="168"/>
      <c r="B39" s="159" t="s">
        <v>270</v>
      </c>
      <c r="C39" s="155"/>
      <c r="D39" s="155"/>
      <c r="E39" s="156"/>
      <c r="F39" s="156"/>
      <c r="G39" s="156"/>
      <c r="H39" s="156"/>
      <c r="I39" s="157">
        <f>ROUND(+I22+I18+I15+I8+I29,0)</f>
        <v>15319065</v>
      </c>
      <c r="J39" s="166">
        <f>+I39/$F$4</f>
        <v>0.31029836035053748</v>
      </c>
      <c r="L39" s="175"/>
      <c r="M39" s="175"/>
    </row>
    <row r="40" spans="1:13" x14ac:dyDescent="0.25">
      <c r="A40" s="121"/>
      <c r="B40" s="122"/>
      <c r="C40" s="123"/>
      <c r="D40" s="123"/>
      <c r="E40" s="124"/>
      <c r="F40" s="124"/>
      <c r="G40" s="124"/>
      <c r="H40" s="124"/>
      <c r="I40" s="128"/>
      <c r="J40" s="147"/>
      <c r="L40" s="175"/>
      <c r="M40" s="175"/>
    </row>
    <row r="41" spans="1:13" x14ac:dyDescent="0.25">
      <c r="A41" s="168"/>
      <c r="B41" s="159" t="s">
        <v>179</v>
      </c>
      <c r="C41" s="155" t="s">
        <v>212</v>
      </c>
      <c r="D41" s="155"/>
      <c r="E41" s="156"/>
      <c r="F41" s="156"/>
      <c r="G41" s="169">
        <v>0.05</v>
      </c>
      <c r="H41" s="169"/>
      <c r="I41" s="157">
        <f>ROUND(+G41*F4,0)</f>
        <v>2468441</v>
      </c>
      <c r="J41" s="166">
        <f>+I41/$F$4</f>
        <v>4.9999996404613535E-2</v>
      </c>
      <c r="L41" s="175"/>
      <c r="M41" s="175"/>
    </row>
    <row r="42" spans="1:13" x14ac:dyDescent="0.25">
      <c r="A42" s="121"/>
      <c r="B42" s="122" t="s">
        <v>228</v>
      </c>
      <c r="C42" s="123"/>
      <c r="D42" s="123"/>
      <c r="E42" s="124"/>
      <c r="F42" s="124"/>
      <c r="G42" s="124"/>
      <c r="H42" s="124"/>
      <c r="I42" s="128"/>
      <c r="J42" s="173"/>
      <c r="L42" s="175"/>
      <c r="M42" s="175"/>
    </row>
    <row r="43" spans="1:13" ht="15.75" thickBot="1" x14ac:dyDescent="0.3">
      <c r="A43" s="170"/>
      <c r="B43" s="149" t="s">
        <v>271</v>
      </c>
      <c r="C43" s="150"/>
      <c r="D43" s="150"/>
      <c r="E43" s="171"/>
      <c r="F43" s="171"/>
      <c r="G43" s="171"/>
      <c r="H43" s="171"/>
      <c r="I43" s="172">
        <f>+I39+I41</f>
        <v>17787506</v>
      </c>
      <c r="J43" s="174">
        <f>+I43/F4</f>
        <v>0.36029835675515104</v>
      </c>
      <c r="L43" s="175"/>
      <c r="M43" s="176"/>
    </row>
  </sheetData>
  <mergeCells count="3">
    <mergeCell ref="A1:J1"/>
    <mergeCell ref="B4:E4"/>
    <mergeCell ref="B5:E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TIPO B</vt:lpstr>
      <vt:lpstr>TIPO C</vt:lpstr>
      <vt:lpstr>LOCATIVOS COCINAS</vt:lpstr>
      <vt:lpstr>LOCATIVOS PISOS</vt:lpstr>
      <vt:lpstr>RESUMEN</vt:lpstr>
      <vt:lpstr>DISCRIMINACION AU DPTO</vt:lpstr>
      <vt:lpstr>DISCRIMINACION AU MPIO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Presupuesto General MVR La Union V3</dc:title>
  <dc:creator>VIVA</dc:creator>
  <cp:lastModifiedBy>Dir. Vivienda</cp:lastModifiedBy>
  <cp:lastPrinted>2026-04-07T19:36:51Z</cp:lastPrinted>
  <dcterms:created xsi:type="dcterms:W3CDTF">2026-01-29T16:39:44Z</dcterms:created>
  <dcterms:modified xsi:type="dcterms:W3CDTF">2026-04-20T20:59:14Z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reated">
    <vt:filetime>2026-01-22T00:00:00Z</vt:filetime>
  </property>
  <property fmtid="{D5CDD505-2E9C-101B-9397-08002B2CF9AE}" pid="3" name="Creator">
    <vt:lpwstr>Microsoft® Excel® para Microsoft 365</vt:lpwstr>
  </property>
  <property fmtid="{D5CDD505-2E9C-101B-9397-08002B2CF9AE}" pid="4" name="LastSaved">
    <vt:filetime>2026-01-29T00:00:00Z</vt:filetime>
  </property>
  <property fmtid="{D5CDD505-2E9C-101B-9397-08002B2CF9AE}" pid="5" name="Producer">
    <vt:lpwstr>Microsoft® Excel® para Microsoft 365</vt:lpwstr>
  </property>
</Properties>
</file>