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ndres david\OneDrive\Escritorio\"/>
    </mc:Choice>
  </mc:AlternateContent>
  <xr:revisionPtr revIDLastSave="0" documentId="8_{9D6F8F91-62D7-477A-8FAB-804DBBF86436}" xr6:coauthVersionLast="47" xr6:coauthVersionMax="47" xr10:uidLastSave="{00000000-0000-0000-0000-000000000000}"/>
  <bookViews>
    <workbookView xWindow="-120" yWindow="-120" windowWidth="20730" windowHeight="11040" tabRatio="785" xr2:uid="{00000000-000D-0000-FFFF-FFFF00000000}"/>
  </bookViews>
  <sheets>
    <sheet name="COTIZACIONES VOZ Y DATOS" sheetId="4" r:id="rId1"/>
  </sheets>
  <definedNames>
    <definedName name="H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3" i="4" l="1"/>
  <c r="T14" i="4"/>
  <c r="T15" i="4"/>
  <c r="T16" i="4"/>
  <c r="T17" i="4"/>
  <c r="T12" i="4"/>
  <c r="V16" i="4" l="1"/>
  <c r="V14" i="4"/>
  <c r="V13" i="4"/>
  <c r="W13" i="4" s="1"/>
  <c r="X13" i="4" s="1"/>
  <c r="V12" i="4"/>
  <c r="W12" i="4" s="1"/>
  <c r="X12" i="4" s="1"/>
  <c r="S13" i="4"/>
  <c r="S14" i="4"/>
  <c r="S15" i="4"/>
  <c r="S16" i="4"/>
  <c r="P16" i="4" s="1"/>
  <c r="S17" i="4"/>
  <c r="S12" i="4"/>
  <c r="P12" i="4" s="1"/>
  <c r="R13" i="4"/>
  <c r="R14" i="4"/>
  <c r="R15" i="4"/>
  <c r="R16" i="4"/>
  <c r="R17" i="4"/>
  <c r="R12" i="4"/>
  <c r="Q13" i="4"/>
  <c r="Q14" i="4"/>
  <c r="Q15" i="4"/>
  <c r="Q16" i="4"/>
  <c r="Q17" i="4"/>
  <c r="Q12" i="4"/>
  <c r="P13" i="4"/>
  <c r="P14" i="4"/>
  <c r="P15" i="4"/>
  <c r="P17" i="4"/>
  <c r="O13" i="4"/>
  <c r="O14" i="4"/>
  <c r="O15" i="4"/>
  <c r="O16" i="4"/>
  <c r="O17" i="4"/>
  <c r="O12" i="4"/>
  <c r="N13" i="4"/>
  <c r="N14" i="4"/>
  <c r="N15" i="4"/>
  <c r="N16" i="4"/>
  <c r="N17" i="4"/>
  <c r="N12" i="4"/>
  <c r="M13" i="4"/>
  <c r="M14" i="4"/>
  <c r="M15" i="4"/>
  <c r="M16" i="4"/>
  <c r="M17" i="4"/>
  <c r="M12" i="4"/>
  <c r="J17" i="4"/>
  <c r="J16" i="4"/>
  <c r="K16" i="4" s="1"/>
  <c r="L16" i="4" s="1"/>
  <c r="J15" i="4"/>
  <c r="K15" i="4" s="1"/>
  <c r="L15" i="4" s="1"/>
  <c r="J14" i="4"/>
  <c r="J13" i="4"/>
  <c r="J12" i="4"/>
  <c r="K12" i="4" s="1"/>
  <c r="L12" i="4" s="1"/>
  <c r="W16" i="4" l="1"/>
  <c r="X16" i="4" s="1"/>
  <c r="W14" i="4"/>
  <c r="X14" i="4" s="1"/>
  <c r="K14" i="4"/>
  <c r="L14" i="4" s="1"/>
  <c r="K17" i="4"/>
  <c r="L17" i="4" s="1"/>
  <c r="K13" i="4"/>
  <c r="L13" i="4" s="1"/>
  <c r="F13" i="4"/>
  <c r="F14" i="4"/>
  <c r="F17" i="4"/>
  <c r="F12" i="4"/>
  <c r="E13" i="4"/>
  <c r="G13" i="4" s="1"/>
  <c r="E14" i="4"/>
  <c r="G14" i="4" s="1"/>
  <c r="E15" i="4"/>
  <c r="F15" i="4" s="1"/>
  <c r="E16" i="4"/>
  <c r="F16" i="4" s="1"/>
  <c r="E17" i="4"/>
  <c r="G17" i="4" s="1"/>
  <c r="E12" i="4"/>
  <c r="G12" i="4" s="1"/>
  <c r="G18" i="4" l="1"/>
  <c r="G15" i="4"/>
  <c r="G16" i="4"/>
  <c r="V17" i="4" l="1"/>
  <c r="W17" i="4" s="1"/>
  <c r="X17" i="4" s="1"/>
  <c r="V15" i="4" l="1"/>
  <c r="W15" i="4" s="1"/>
  <c r="X15" i="4" s="1"/>
  <c r="X18" i="4" s="1"/>
</calcChain>
</file>

<file path=xl/sharedStrings.xml><?xml version="1.0" encoding="utf-8"?>
<sst xmlns="http://schemas.openxmlformats.org/spreadsheetml/2006/main" count="47" uniqueCount="32">
  <si>
    <t>ALCALDÍA DE SANTIAGO DE CALI</t>
  </si>
  <si>
    <t xml:space="preserve">SECRETARÍA DE SEGURIDAD Y JUSTICIA </t>
  </si>
  <si>
    <t>ANALISIS DE COTIZACIÓN</t>
  </si>
  <si>
    <t>CONCEPTO</t>
  </si>
  <si>
    <t xml:space="preserve">ANALISIS DE PRECIOS </t>
  </si>
  <si>
    <t>PRECIOS DE REFERENCIA</t>
  </si>
  <si>
    <t>TIPO DE ADQUISICION</t>
  </si>
  <si>
    <t>VALOR UNITARIO</t>
  </si>
  <si>
    <t>VALOR TOTAL</t>
  </si>
  <si>
    <t>IVA</t>
  </si>
  <si>
    <t xml:space="preserve">VALOR TOTALCON IVA </t>
  </si>
  <si>
    <t>MENOR VALOR UNITARIO</t>
  </si>
  <si>
    <t>MAYOR VALOR UNITARIO</t>
  </si>
  <si>
    <t>DESVACION ESTANDAR</t>
  </si>
  <si>
    <t>% DISPERSIÓN</t>
  </si>
  <si>
    <t xml:space="preserve">Media geometrica </t>
  </si>
  <si>
    <t>Media armonica</t>
  </si>
  <si>
    <t>Promedio</t>
  </si>
  <si>
    <t>Medida de Tendencia</t>
  </si>
  <si>
    <t xml:space="preserve">TOTAL </t>
  </si>
  <si>
    <t>MEDIA ARMONICA</t>
  </si>
  <si>
    <t xml:space="preserve">CANTIDAD </t>
  </si>
  <si>
    <t>CANTIDAD</t>
  </si>
  <si>
    <t>POP</t>
  </si>
  <si>
    <t>Atocha Ltda NIT: 805020912-8</t>
  </si>
  <si>
    <t>Roll Up Personalizado full color de 100 x 200 cm, temática convivencia, acceso a la justicia y prevención de violencias y conflictividades.</t>
  </si>
  <si>
    <t>Plegables tamaño carta doblados en
tres cuerpos e impresos a full color por ambos lados para trabajar por territorios, Personalizado temática convivencia, acceso a la justicia y prevención de violencias yconflictividades.</t>
  </si>
  <si>
    <t>Inflable publicitario de materiales
resistentes y duraderos,
impreso full color, maletín para
transporte y cordeles de anclaje, de 4m personalizado.</t>
  </si>
  <si>
    <t>Manillas Personalizadas temática
convivencia, acceso a la justicia
y prevención de violencias y
conflictividades. Material: Tela con estampado sublimado.</t>
  </si>
  <si>
    <t>Suvenir antiestres, material PU
tamaño: 7,3x6,7cm con una marca de logo a una tinta para una cara.</t>
  </si>
  <si>
    <t>Libreta argollada y bolígrafo de cartón 80hojas. Medidas: 18cm x14cm, Temática
convivencia, acceso a la justicia y prevención de violencias y conflictividades.</t>
  </si>
  <si>
    <t>CRG COMUNICACIONES  NIT: 1107036869-8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</si>
</sst>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&quot;$&quot;* #,##0.00_-;\-&quot;$&quot;* #,##0.00_-;_-&quot;$&quot;* &quot;-&quot;??_-;_-@_-"/>
    <numFmt numFmtId="165" formatCode="_-&quot;$&quot;\ * #,##0.00_-;\-&quot;$&quot;\ * #,##0.00_-;_-&quot;$&quot;\ * &quot;-&quot;??_-;_-@_-"/>
    <numFmt numFmtId="166" formatCode="_(&quot;$&quot;\ * #,##0_);_(&quot;$&quot;\ * \(#,##0\);_(&quot;$&quot;\ * &quot;-&quot;??_);_(@_)"/>
    <numFmt numFmtId="167" formatCode="_-&quot;$&quot;\ * #,##0_-;\-&quot;$&quot;\ * #,##0_-;_-&quot;$&quot;\ * &quot;-&quot;??_-;_-@_-"/>
  </numFmts>
  <fonts count="1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8"/>
      <name val="Arial Narrow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0" fontId="4" fillId="0" borderId="0"/>
    <xf numFmtId="165" fontId="5" fillId="0" borderId="0" applyFont="0" applyFill="0" applyBorder="0" applyAlignment="0" applyProtection="0"/>
    <xf numFmtId="0" fontId="7" fillId="0" borderId="0" applyBorder="0"/>
  </cellStyleXfs>
  <cellXfs count="42">
    <xf numFmtId="0" fontId="0" fillId="0" borderId="0" xfId="0"/>
    <xf numFmtId="0" fontId="0" fillId="2" borderId="0" xfId="0" applyFill="1"/>
    <xf numFmtId="0" fontId="4" fillId="2" borderId="0" xfId="4" applyFill="1"/>
    <xf numFmtId="0" fontId="1" fillId="2" borderId="0" xfId="3" applyFill="1"/>
    <xf numFmtId="0" fontId="6" fillId="2" borderId="0" xfId="4" applyFont="1" applyFill="1" applyAlignment="1">
      <alignment horizontal="center" vertical="center"/>
    </xf>
    <xf numFmtId="166" fontId="9" fillId="2" borderId="0" xfId="3" applyNumberFormat="1" applyFont="1" applyFill="1"/>
    <xf numFmtId="0" fontId="9" fillId="2" borderId="0" xfId="3" applyFont="1" applyFill="1"/>
    <xf numFmtId="0" fontId="10" fillId="2" borderId="1" xfId="6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6" fontId="12" fillId="2" borderId="1" xfId="4" applyNumberFormat="1" applyFont="1" applyFill="1" applyBorder="1" applyAlignment="1">
      <alignment horizontal="center" vertical="center" wrapText="1"/>
    </xf>
    <xf numFmtId="0" fontId="12" fillId="2" borderId="1" xfId="4" applyFont="1" applyFill="1" applyBorder="1" applyAlignment="1">
      <alignment horizontal="center" vertical="center" wrapText="1"/>
    </xf>
    <xf numFmtId="167" fontId="12" fillId="2" borderId="1" xfId="2" applyNumberFormat="1" applyFont="1" applyFill="1" applyBorder="1" applyAlignment="1">
      <alignment horizontal="center" vertical="center" wrapText="1"/>
    </xf>
    <xf numFmtId="0" fontId="12" fillId="2" borderId="0" xfId="3" applyFont="1" applyFill="1"/>
    <xf numFmtId="0" fontId="13" fillId="2" borderId="0" xfId="0" applyFont="1" applyFill="1"/>
    <xf numFmtId="0" fontId="12" fillId="2" borderId="0" xfId="0" applyFont="1" applyFill="1"/>
    <xf numFmtId="166" fontId="0" fillId="2" borderId="0" xfId="0" applyNumberFormat="1" applyFill="1"/>
    <xf numFmtId="10" fontId="0" fillId="2" borderId="0" xfId="1" applyNumberFormat="1" applyFont="1" applyFill="1"/>
    <xf numFmtId="166" fontId="10" fillId="2" borderId="1" xfId="6" applyNumberFormat="1" applyFont="1" applyFill="1" applyBorder="1" applyAlignment="1">
      <alignment horizontal="center" vertical="center" wrapText="1"/>
    </xf>
    <xf numFmtId="10" fontId="0" fillId="2" borderId="0" xfId="0" applyNumberFormat="1" applyFill="1"/>
    <xf numFmtId="164" fontId="0" fillId="2" borderId="0" xfId="0" applyNumberFormat="1" applyFill="1"/>
    <xf numFmtId="0" fontId="14" fillId="0" borderId="1" xfId="2" applyNumberFormat="1" applyFont="1" applyBorder="1" applyAlignment="1">
      <alignment vertical="center" wrapText="1"/>
    </xf>
    <xf numFmtId="165" fontId="12" fillId="2" borderId="1" xfId="2" applyFont="1" applyFill="1" applyBorder="1" applyAlignment="1">
      <alignment horizontal="center" vertical="center" wrapText="1"/>
    </xf>
    <xf numFmtId="165" fontId="11" fillId="2" borderId="4" xfId="0" applyNumberFormat="1" applyFont="1" applyFill="1" applyBorder="1" applyAlignment="1">
      <alignment horizontal="center"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9" fontId="11" fillId="2" borderId="1" xfId="1" applyFont="1" applyFill="1" applyBorder="1" applyAlignment="1">
      <alignment horizontal="center" vertical="center" wrapText="1"/>
    </xf>
    <xf numFmtId="165" fontId="11" fillId="2" borderId="1" xfId="2" applyFont="1" applyFill="1" applyBorder="1" applyAlignment="1">
      <alignment horizontal="center" vertical="center" wrapText="1"/>
    </xf>
    <xf numFmtId="165" fontId="10" fillId="2" borderId="1" xfId="6" applyNumberFormat="1" applyFont="1" applyFill="1" applyBorder="1" applyAlignment="1">
      <alignment horizontal="center" vertical="center" wrapText="1"/>
    </xf>
    <xf numFmtId="0" fontId="10" fillId="3" borderId="1" xfId="6" applyFont="1" applyFill="1" applyBorder="1" applyAlignment="1">
      <alignment horizontal="center" vertical="center" wrapText="1"/>
    </xf>
    <xf numFmtId="0" fontId="10" fillId="2" borderId="2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/>
    </xf>
    <xf numFmtId="0" fontId="10" fillId="2" borderId="4" xfId="6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/>
    </xf>
    <xf numFmtId="0" fontId="10" fillId="2" borderId="1" xfId="6" applyFont="1" applyFill="1" applyBorder="1" applyAlignment="1">
      <alignment horizontal="center" vertical="center"/>
    </xf>
    <xf numFmtId="166" fontId="10" fillId="2" borderId="1" xfId="6" applyNumberFormat="1" applyFont="1" applyFill="1" applyBorder="1" applyAlignment="1">
      <alignment horizontal="center" vertical="center" wrapText="1"/>
    </xf>
    <xf numFmtId="0" fontId="10" fillId="4" borderId="1" xfId="6" applyFont="1" applyFill="1" applyBorder="1" applyAlignment="1">
      <alignment horizontal="center" vertical="center" wrapText="1"/>
    </xf>
    <xf numFmtId="0" fontId="6" fillId="2" borderId="0" xfId="4" applyFont="1" applyFill="1" applyAlignment="1">
      <alignment horizontal="center" vertical="center"/>
    </xf>
    <xf numFmtId="0" fontId="6" fillId="2" borderId="1" xfId="4" applyFont="1" applyFill="1" applyBorder="1" applyAlignment="1">
      <alignment horizontal="center" vertical="center" wrapText="1"/>
    </xf>
    <xf numFmtId="0" fontId="8" fillId="2" borderId="1" xfId="6" applyFont="1" applyFill="1" applyBorder="1" applyAlignment="1" applyProtection="1">
      <alignment horizontal="center" vertical="center" wrapText="1"/>
      <protection hidden="1"/>
    </xf>
  </cellXfs>
  <cellStyles count="7">
    <cellStyle name="Moneda" xfId="2" builtinId="4"/>
    <cellStyle name="Moneda 2" xfId="5" xr:uid="{88CA5905-3CFF-499E-81BE-7D41DF2A5297}"/>
    <cellStyle name="Normal" xfId="0" builtinId="0"/>
    <cellStyle name="Normal 2" xfId="3" xr:uid="{25EF72FD-943D-4097-9190-10BCF118FC18}"/>
    <cellStyle name="Normal 2 2" xfId="4" xr:uid="{E0173DAA-0868-4ED3-9DC0-8C0119B7A8F1}"/>
    <cellStyle name="Normal 2 2 2" xfId="6" xr:uid="{69F1B033-01FE-487C-865B-6D5F031CFE61}"/>
    <cellStyle name="Porcentaje" xfId="1" builtinId="5"/>
  </cellStyles>
  <dxfs count="15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7" defaultTableStyle="TableStyleMedium2" defaultPivotStyle="PivotStyleLight16">
    <tableStyle name="ETAPA 5 - TEATRINO-style" pivot="0" count="2" xr9:uid="{00000000-0011-0000-FFFF-FFFF00000000}">
      <tableStyleElement type="firstRowStripe" dxfId="14"/>
      <tableStyleElement type="secondRowStripe" dxfId="13"/>
    </tableStyle>
    <tableStyle name="ETAPA 5 - TEATRINO-style 2" pivot="0" count="3" xr9:uid="{00000000-0011-0000-FFFF-FFFF01000000}">
      <tableStyleElement type="headerRow" dxfId="12"/>
      <tableStyleElement type="firstRowStripe" dxfId="11"/>
      <tableStyleElement type="secondRowStripe" dxfId="10"/>
    </tableStyle>
    <tableStyle name="ETAPA 5 - TEATRINO-style 3" pivot="0" count="2" xr9:uid="{00000000-0011-0000-FFFF-FFFF02000000}">
      <tableStyleElement type="firstRowStripe" dxfId="9"/>
      <tableStyleElement type="secondRowStripe" dxfId="8"/>
    </tableStyle>
    <tableStyle name="ETAPA 5 - TEATRINO-style 4" pivot="0" count="2" xr9:uid="{00000000-0011-0000-FFFF-FFFF03000000}">
      <tableStyleElement type="firstRowStripe" dxfId="7"/>
      <tableStyleElement type="secondRowStripe" dxfId="6"/>
    </tableStyle>
    <tableStyle name="ETAPA 5 - TEATRINO-style 5" pivot="0" count="2" xr9:uid="{00000000-0011-0000-FFFF-FFFF04000000}">
      <tableStyleElement type="firstRowStripe" dxfId="5"/>
      <tableStyleElement type="secondRowStripe" dxfId="4"/>
    </tableStyle>
    <tableStyle name="PRESUPUESTO SILOE-style" pivot="0" count="2" xr9:uid="{588F2123-3F62-45B1-85D7-F9948211614C}">
      <tableStyleElement type="firstRowStripe" dxfId="3"/>
      <tableStyleElement type="secondRowStripe" dxfId="2"/>
    </tableStyle>
    <tableStyle name="PRESUPUESTO SILOE-style 2" pivot="0" count="2" xr9:uid="{3585EE6D-29B9-45F3-984D-11381B681A43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108062</xdr:colOff>
      <xdr:row>0</xdr:row>
      <xdr:rowOff>170015</xdr:rowOff>
    </xdr:from>
    <xdr:to>
      <xdr:col>1</xdr:col>
      <xdr:colOff>1130137</xdr:colOff>
      <xdr:row>4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DF30F5-25E0-4103-9A14-E3D720ED990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70062" y="170015"/>
          <a:ext cx="1022075" cy="76343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6603F-ACC0-4F08-9618-0991669DB496}">
  <dimension ref="A1:AM64"/>
  <sheetViews>
    <sheetView tabSelected="1" topLeftCell="J1" workbookViewId="0">
      <selection activeCell="T12" sqref="T12"/>
    </sheetView>
  </sheetViews>
  <sheetFormatPr baseColWidth="10" defaultRowHeight="15"/>
  <cols>
    <col min="2" max="2" width="28.5703125" bestFit="1" customWidth="1"/>
    <col min="3" max="3" width="15.85546875" customWidth="1"/>
    <col min="4" max="4" width="11.42578125" customWidth="1"/>
    <col min="5" max="5" width="12.140625" bestFit="1" customWidth="1"/>
    <col min="6" max="9" width="11.42578125" customWidth="1"/>
    <col min="10" max="10" width="12.140625" bestFit="1" customWidth="1"/>
    <col min="11" max="12" width="11.42578125" customWidth="1"/>
    <col min="13" max="14" width="12.140625" bestFit="1" customWidth="1"/>
    <col min="15" max="15" width="14.140625" customWidth="1"/>
    <col min="16" max="16" width="11.42578125" customWidth="1"/>
    <col min="17" max="17" width="14.140625" customWidth="1"/>
    <col min="18" max="19" width="13.28515625" customWidth="1"/>
    <col min="20" max="20" width="12.140625" bestFit="1" customWidth="1"/>
  </cols>
  <sheetData>
    <row r="1" spans="1:3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>
      <c r="A3" s="1"/>
      <c r="B3" s="39" t="s">
        <v>0</v>
      </c>
      <c r="C3" s="39"/>
      <c r="D3" s="39"/>
      <c r="E3" s="39"/>
      <c r="F3" s="39"/>
      <c r="G3" s="39"/>
      <c r="H3" s="4"/>
      <c r="I3" s="4"/>
      <c r="J3" s="4"/>
      <c r="K3" s="4"/>
      <c r="L3" s="4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>
      <c r="A4" s="1"/>
      <c r="B4" s="39" t="s">
        <v>1</v>
      </c>
      <c r="C4" s="39"/>
      <c r="D4" s="39"/>
      <c r="E4" s="39"/>
      <c r="F4" s="39"/>
      <c r="G4" s="39"/>
      <c r="H4" s="4"/>
      <c r="I4" s="4"/>
      <c r="J4" s="4"/>
      <c r="K4" s="4"/>
      <c r="L4" s="4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>
      <c r="A5" s="1"/>
      <c r="B5" s="39"/>
      <c r="C5" s="39"/>
      <c r="D5" s="39"/>
      <c r="E5" s="39"/>
      <c r="F5" s="39"/>
      <c r="G5" s="39"/>
      <c r="H5" s="4"/>
      <c r="I5" s="4"/>
      <c r="J5" s="4"/>
      <c r="K5" s="4"/>
      <c r="L5" s="4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>
      <c r="A7" s="1"/>
      <c r="B7" s="40" t="s">
        <v>2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>
      <c r="A8" s="1"/>
      <c r="B8" s="41" t="s">
        <v>23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5"/>
      <c r="N8" s="5"/>
      <c r="O8" s="5"/>
      <c r="P8" s="3"/>
      <c r="Q8" s="3"/>
      <c r="R8" s="3"/>
      <c r="S8" s="3"/>
      <c r="T8" s="3"/>
      <c r="U8" s="3"/>
      <c r="V8" s="3"/>
      <c r="W8" s="3"/>
      <c r="X8" s="3"/>
      <c r="Y8" s="3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>
      <c r="A9" s="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>
      <c r="A10" s="1"/>
      <c r="B10" s="7" t="s">
        <v>3</v>
      </c>
      <c r="C10" s="28" t="s">
        <v>24</v>
      </c>
      <c r="D10" s="28"/>
      <c r="E10" s="28"/>
      <c r="F10" s="28"/>
      <c r="G10" s="28"/>
      <c r="H10" s="38" t="s">
        <v>31</v>
      </c>
      <c r="I10" s="38"/>
      <c r="J10" s="38"/>
      <c r="K10" s="38"/>
      <c r="L10" s="38"/>
      <c r="M10" s="32" t="s">
        <v>4</v>
      </c>
      <c r="N10" s="33"/>
      <c r="O10" s="33"/>
      <c r="P10" s="33"/>
      <c r="Q10" s="33"/>
      <c r="R10" s="33"/>
      <c r="S10" s="34"/>
      <c r="T10" s="35" t="s">
        <v>5</v>
      </c>
      <c r="U10" s="35"/>
      <c r="V10" s="35"/>
      <c r="W10" s="35"/>
      <c r="X10" s="35"/>
      <c r="Y10" s="35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3.75">
      <c r="A11" s="1"/>
      <c r="B11" s="7" t="s">
        <v>6</v>
      </c>
      <c r="C11" s="7" t="s">
        <v>7</v>
      </c>
      <c r="D11" s="7" t="s">
        <v>22</v>
      </c>
      <c r="E11" s="7" t="s">
        <v>8</v>
      </c>
      <c r="F11" s="7" t="s">
        <v>9</v>
      </c>
      <c r="G11" s="7" t="s">
        <v>10</v>
      </c>
      <c r="H11" s="7" t="s">
        <v>7</v>
      </c>
      <c r="I11" s="7" t="s">
        <v>21</v>
      </c>
      <c r="J11" s="7" t="s">
        <v>8</v>
      </c>
      <c r="K11" s="7" t="s">
        <v>9</v>
      </c>
      <c r="L11" s="7" t="s">
        <v>10</v>
      </c>
      <c r="M11" s="8" t="s">
        <v>11</v>
      </c>
      <c r="N11" s="9" t="s">
        <v>12</v>
      </c>
      <c r="O11" s="9" t="s">
        <v>13</v>
      </c>
      <c r="P11" s="9" t="s">
        <v>14</v>
      </c>
      <c r="Q11" s="9" t="s">
        <v>15</v>
      </c>
      <c r="R11" s="9" t="s">
        <v>16</v>
      </c>
      <c r="S11" s="9" t="s">
        <v>17</v>
      </c>
      <c r="T11" s="7" t="s">
        <v>7</v>
      </c>
      <c r="U11" s="7" t="s">
        <v>22</v>
      </c>
      <c r="V11" s="7" t="s">
        <v>8</v>
      </c>
      <c r="W11" s="7" t="s">
        <v>9</v>
      </c>
      <c r="X11" s="7" t="s">
        <v>10</v>
      </c>
      <c r="Y11" s="7" t="s">
        <v>18</v>
      </c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51">
      <c r="A12" s="1"/>
      <c r="B12" s="21" t="s">
        <v>25</v>
      </c>
      <c r="C12" s="22">
        <v>253000</v>
      </c>
      <c r="D12" s="11">
        <v>1</v>
      </c>
      <c r="E12" s="22">
        <f>C12*D12</f>
        <v>253000</v>
      </c>
      <c r="F12" s="12">
        <f>E12*19%</f>
        <v>48070</v>
      </c>
      <c r="G12" s="12">
        <f>E12+F12</f>
        <v>301070</v>
      </c>
      <c r="H12" s="10">
        <v>225000</v>
      </c>
      <c r="I12" s="11">
        <v>1</v>
      </c>
      <c r="J12" s="22">
        <f>H12*I12</f>
        <v>225000</v>
      </c>
      <c r="K12" s="12">
        <f>J12*19%</f>
        <v>42750</v>
      </c>
      <c r="L12" s="12">
        <f>J12+K12</f>
        <v>267750</v>
      </c>
      <c r="M12" s="23">
        <f>MIN(C12,H12)</f>
        <v>225000</v>
      </c>
      <c r="N12" s="24">
        <f>MAX(C12,H12)</f>
        <v>253000</v>
      </c>
      <c r="O12" s="9">
        <f>_xlfn.STDEV.P(C12,H12)</f>
        <v>14000</v>
      </c>
      <c r="P12" s="25">
        <f>O12/S12</f>
        <v>5.8577405857740586E-2</v>
      </c>
      <c r="Q12" s="26">
        <f>GEOMEAN(H12,C12)</f>
        <v>238589.605808803</v>
      </c>
      <c r="R12" s="26">
        <f>HARMEAN(C12,H12)</f>
        <v>238179.91631799165</v>
      </c>
      <c r="S12" s="24">
        <f>AVERAGE(C12,H12)</f>
        <v>239000</v>
      </c>
      <c r="T12" s="27">
        <f>ROUND(R12,0)</f>
        <v>238180</v>
      </c>
      <c r="U12" s="11">
        <v>10</v>
      </c>
      <c r="V12" s="10">
        <f t="shared" ref="V12:V14" si="0">+U12*T12</f>
        <v>2381800</v>
      </c>
      <c r="W12" s="12">
        <f t="shared" ref="W12:W14" si="1">+V12*19%</f>
        <v>452542</v>
      </c>
      <c r="X12" s="10">
        <f t="shared" ref="X12:X14" si="2">+V12+W12</f>
        <v>2834342</v>
      </c>
      <c r="Y12" s="7" t="s">
        <v>20</v>
      </c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76.5">
      <c r="A13" s="1"/>
      <c r="B13" s="21" t="s">
        <v>26</v>
      </c>
      <c r="C13" s="22">
        <v>950</v>
      </c>
      <c r="D13" s="11">
        <v>1</v>
      </c>
      <c r="E13" s="22">
        <f t="shared" ref="E13:E17" si="3">C13*D13</f>
        <v>950</v>
      </c>
      <c r="F13" s="12">
        <f t="shared" ref="F13:F17" si="4">E13*19%</f>
        <v>180.5</v>
      </c>
      <c r="G13" s="12">
        <f t="shared" ref="G13:G17" si="5">E13+F13</f>
        <v>1130.5</v>
      </c>
      <c r="H13" s="10">
        <v>920</v>
      </c>
      <c r="I13" s="11">
        <v>1</v>
      </c>
      <c r="J13" s="22">
        <f t="shared" ref="J13:J17" si="6">H13*I13</f>
        <v>920</v>
      </c>
      <c r="K13" s="12">
        <f t="shared" ref="K13:K17" si="7">J13*19%</f>
        <v>174.8</v>
      </c>
      <c r="L13" s="12">
        <f t="shared" ref="L13:L17" si="8">J13+K13</f>
        <v>1094.8</v>
      </c>
      <c r="M13" s="23">
        <f t="shared" ref="M13:M17" si="9">MIN(C13,H13)</f>
        <v>920</v>
      </c>
      <c r="N13" s="24">
        <f t="shared" ref="N13:N17" si="10">MAX(C13,H13)</f>
        <v>950</v>
      </c>
      <c r="O13" s="9">
        <f t="shared" ref="O13:O17" si="11">_xlfn.STDEV.P(C13,H13)</f>
        <v>15</v>
      </c>
      <c r="P13" s="25">
        <f t="shared" ref="P13:P17" si="12">O13/S13</f>
        <v>1.6042780748663103E-2</v>
      </c>
      <c r="Q13" s="26">
        <f t="shared" ref="Q13:Q17" si="13">GEOMEAN(H13,C13)</f>
        <v>934.87967140161948</v>
      </c>
      <c r="R13" s="26">
        <f t="shared" ref="R13:R17" si="14">HARMEAN(C13,H13)</f>
        <v>934.75935828877016</v>
      </c>
      <c r="S13" s="24">
        <f t="shared" ref="S13:S17" si="15">AVERAGE(C13,H13)</f>
        <v>935</v>
      </c>
      <c r="T13" s="27">
        <f t="shared" ref="T13:T17" si="16">ROUND(R13,0)</f>
        <v>935</v>
      </c>
      <c r="U13" s="11">
        <v>52000</v>
      </c>
      <c r="V13" s="10">
        <f t="shared" si="0"/>
        <v>48620000</v>
      </c>
      <c r="W13" s="12">
        <f t="shared" si="1"/>
        <v>9237800</v>
      </c>
      <c r="X13" s="10">
        <f t="shared" si="2"/>
        <v>57857800</v>
      </c>
      <c r="Y13" s="7" t="s">
        <v>20</v>
      </c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63.75">
      <c r="A14" s="1"/>
      <c r="B14" s="21" t="s">
        <v>27</v>
      </c>
      <c r="C14" s="22">
        <v>4600000</v>
      </c>
      <c r="D14" s="11">
        <v>1</v>
      </c>
      <c r="E14" s="22">
        <f t="shared" si="3"/>
        <v>4600000</v>
      </c>
      <c r="F14" s="12">
        <f t="shared" si="4"/>
        <v>874000</v>
      </c>
      <c r="G14" s="12">
        <f t="shared" si="5"/>
        <v>5474000</v>
      </c>
      <c r="H14" s="10">
        <v>4500000</v>
      </c>
      <c r="I14" s="11">
        <v>1</v>
      </c>
      <c r="J14" s="22">
        <f t="shared" si="6"/>
        <v>4500000</v>
      </c>
      <c r="K14" s="12">
        <f t="shared" si="7"/>
        <v>855000</v>
      </c>
      <c r="L14" s="12">
        <f t="shared" si="8"/>
        <v>5355000</v>
      </c>
      <c r="M14" s="23">
        <f t="shared" si="9"/>
        <v>4500000</v>
      </c>
      <c r="N14" s="24">
        <f t="shared" si="10"/>
        <v>4600000</v>
      </c>
      <c r="O14" s="9">
        <f t="shared" si="11"/>
        <v>50000</v>
      </c>
      <c r="P14" s="25">
        <f t="shared" si="12"/>
        <v>1.098901098901099E-2</v>
      </c>
      <c r="Q14" s="26">
        <f t="shared" si="13"/>
        <v>4549725.2664309302</v>
      </c>
      <c r="R14" s="26">
        <f t="shared" si="14"/>
        <v>4549450.5494505493</v>
      </c>
      <c r="S14" s="24">
        <f t="shared" si="15"/>
        <v>4550000</v>
      </c>
      <c r="T14" s="27">
        <f t="shared" si="16"/>
        <v>4549451</v>
      </c>
      <c r="U14" s="11">
        <v>10</v>
      </c>
      <c r="V14" s="10">
        <f t="shared" si="0"/>
        <v>45494510</v>
      </c>
      <c r="W14" s="12">
        <f t="shared" si="1"/>
        <v>8643956.9000000004</v>
      </c>
      <c r="X14" s="10">
        <f t="shared" si="2"/>
        <v>54138466.899999999</v>
      </c>
      <c r="Y14" s="7" t="s">
        <v>20</v>
      </c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67.5" customHeight="1">
      <c r="A15" s="1"/>
      <c r="B15" s="21" t="s">
        <v>28</v>
      </c>
      <c r="C15" s="22">
        <v>2500</v>
      </c>
      <c r="D15" s="11">
        <v>1</v>
      </c>
      <c r="E15" s="22">
        <f t="shared" si="3"/>
        <v>2500</v>
      </c>
      <c r="F15" s="12">
        <f t="shared" si="4"/>
        <v>475</v>
      </c>
      <c r="G15" s="12">
        <f t="shared" si="5"/>
        <v>2975</v>
      </c>
      <c r="H15" s="10">
        <v>1900</v>
      </c>
      <c r="I15" s="11">
        <v>1</v>
      </c>
      <c r="J15" s="22">
        <f t="shared" si="6"/>
        <v>1900</v>
      </c>
      <c r="K15" s="12">
        <f t="shared" si="7"/>
        <v>361</v>
      </c>
      <c r="L15" s="12">
        <f t="shared" si="8"/>
        <v>2261</v>
      </c>
      <c r="M15" s="23">
        <f t="shared" si="9"/>
        <v>1900</v>
      </c>
      <c r="N15" s="24">
        <f t="shared" si="10"/>
        <v>2500</v>
      </c>
      <c r="O15" s="9">
        <f t="shared" si="11"/>
        <v>300</v>
      </c>
      <c r="P15" s="25">
        <f t="shared" si="12"/>
        <v>0.13636363636363635</v>
      </c>
      <c r="Q15" s="26">
        <f t="shared" si="13"/>
        <v>2179.4494717703369</v>
      </c>
      <c r="R15" s="26">
        <f t="shared" si="14"/>
        <v>2159.090909090909</v>
      </c>
      <c r="S15" s="24">
        <f t="shared" si="15"/>
        <v>2200</v>
      </c>
      <c r="T15" s="27">
        <f t="shared" si="16"/>
        <v>2159</v>
      </c>
      <c r="U15" s="11">
        <v>40000</v>
      </c>
      <c r="V15" s="10">
        <f>+U15*T15</f>
        <v>86360000</v>
      </c>
      <c r="W15" s="12">
        <f>+V15*19%</f>
        <v>16408400</v>
      </c>
      <c r="X15" s="10">
        <f>+V15+W15</f>
        <v>102768400</v>
      </c>
      <c r="Y15" s="7" t="s">
        <v>20</v>
      </c>
      <c r="Z15" s="16"/>
      <c r="AA15" s="17"/>
      <c r="AB15" s="20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67.5" customHeight="1">
      <c r="A16" s="1"/>
      <c r="B16" s="21" t="s">
        <v>29</v>
      </c>
      <c r="C16" s="22">
        <v>2600</v>
      </c>
      <c r="D16" s="11">
        <v>1</v>
      </c>
      <c r="E16" s="22">
        <f t="shared" si="3"/>
        <v>2600</v>
      </c>
      <c r="F16" s="12">
        <f t="shared" si="4"/>
        <v>494</v>
      </c>
      <c r="G16" s="12">
        <f t="shared" si="5"/>
        <v>3094</v>
      </c>
      <c r="H16" s="10">
        <v>3000</v>
      </c>
      <c r="I16" s="11">
        <v>1</v>
      </c>
      <c r="J16" s="22">
        <f t="shared" si="6"/>
        <v>3000</v>
      </c>
      <c r="K16" s="12">
        <f t="shared" si="7"/>
        <v>570</v>
      </c>
      <c r="L16" s="12">
        <f t="shared" si="8"/>
        <v>3570</v>
      </c>
      <c r="M16" s="23">
        <f t="shared" si="9"/>
        <v>2600</v>
      </c>
      <c r="N16" s="24">
        <f t="shared" si="10"/>
        <v>3000</v>
      </c>
      <c r="O16" s="9">
        <f t="shared" si="11"/>
        <v>200</v>
      </c>
      <c r="P16" s="25">
        <f t="shared" si="12"/>
        <v>7.1428571428571425E-2</v>
      </c>
      <c r="Q16" s="26">
        <f t="shared" si="13"/>
        <v>2792.8480087537882</v>
      </c>
      <c r="R16" s="26">
        <f t="shared" si="14"/>
        <v>2785.7142857142853</v>
      </c>
      <c r="S16" s="24">
        <f t="shared" si="15"/>
        <v>2800</v>
      </c>
      <c r="T16" s="27">
        <f t="shared" si="16"/>
        <v>2786</v>
      </c>
      <c r="U16" s="11">
        <v>18000</v>
      </c>
      <c r="V16" s="10">
        <f>+U16*T16</f>
        <v>50148000</v>
      </c>
      <c r="W16" s="12">
        <f>+V16*19%</f>
        <v>9528120</v>
      </c>
      <c r="X16" s="10">
        <f>+V16+W16</f>
        <v>59676120</v>
      </c>
      <c r="Y16" s="7" t="s">
        <v>20</v>
      </c>
      <c r="Z16" s="16"/>
      <c r="AA16" s="17"/>
      <c r="AB16" s="20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62.25" customHeight="1">
      <c r="A17" s="1"/>
      <c r="B17" s="21" t="s">
        <v>30</v>
      </c>
      <c r="C17" s="22">
        <v>18000</v>
      </c>
      <c r="D17" s="11">
        <v>1</v>
      </c>
      <c r="E17" s="22">
        <f t="shared" si="3"/>
        <v>18000</v>
      </c>
      <c r="F17" s="12">
        <f t="shared" si="4"/>
        <v>3420</v>
      </c>
      <c r="G17" s="12">
        <f t="shared" si="5"/>
        <v>21420</v>
      </c>
      <c r="H17" s="10">
        <v>18200</v>
      </c>
      <c r="I17" s="11">
        <v>1</v>
      </c>
      <c r="J17" s="22">
        <f t="shared" si="6"/>
        <v>18200</v>
      </c>
      <c r="K17" s="12">
        <f t="shared" si="7"/>
        <v>3458</v>
      </c>
      <c r="L17" s="12">
        <f t="shared" si="8"/>
        <v>21658</v>
      </c>
      <c r="M17" s="23">
        <f t="shared" si="9"/>
        <v>18000</v>
      </c>
      <c r="N17" s="24">
        <f t="shared" si="10"/>
        <v>18200</v>
      </c>
      <c r="O17" s="9">
        <f t="shared" si="11"/>
        <v>100</v>
      </c>
      <c r="P17" s="25">
        <f t="shared" si="12"/>
        <v>5.5248618784530384E-3</v>
      </c>
      <c r="Q17" s="26">
        <f t="shared" si="13"/>
        <v>18099.723754798026</v>
      </c>
      <c r="R17" s="26">
        <f t="shared" si="14"/>
        <v>18099.447513812152</v>
      </c>
      <c r="S17" s="24">
        <f t="shared" si="15"/>
        <v>18100</v>
      </c>
      <c r="T17" s="27">
        <f t="shared" si="16"/>
        <v>18099</v>
      </c>
      <c r="U17" s="11">
        <v>3429</v>
      </c>
      <c r="V17" s="10">
        <f t="shared" ref="V17" si="17">+U17*T17</f>
        <v>62061471</v>
      </c>
      <c r="W17" s="12">
        <f t="shared" ref="W17" si="18">+V17*19%</f>
        <v>11791679.49</v>
      </c>
      <c r="X17" s="10">
        <f t="shared" ref="X17" si="19">+V17+W17</f>
        <v>73853150.489999995</v>
      </c>
      <c r="Y17" s="7" t="s">
        <v>20</v>
      </c>
      <c r="Z17" s="16"/>
      <c r="AA17" s="17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ht="24.75" customHeight="1">
      <c r="A18" s="1"/>
      <c r="B18" s="29" t="s">
        <v>19</v>
      </c>
      <c r="C18" s="30"/>
      <c r="D18" s="30"/>
      <c r="E18" s="30"/>
      <c r="F18" s="31"/>
      <c r="G18" s="12">
        <f>SUM(G12:G17)</f>
        <v>5803689.5</v>
      </c>
      <c r="H18" s="18"/>
      <c r="I18" s="18"/>
      <c r="J18" s="18"/>
      <c r="K18" s="18"/>
      <c r="L18" s="18"/>
      <c r="M18" s="13"/>
      <c r="N18" s="13"/>
      <c r="O18" s="13"/>
      <c r="P18" s="13"/>
      <c r="Q18" s="13"/>
      <c r="R18" s="13"/>
      <c r="S18" s="13"/>
      <c r="T18" s="36" t="s">
        <v>19</v>
      </c>
      <c r="U18" s="36"/>
      <c r="V18" s="36"/>
      <c r="W18" s="36"/>
      <c r="X18" s="37">
        <f>SUM(X12:X17)</f>
        <v>351128279.38999999</v>
      </c>
      <c r="Y18" s="37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ht="16.5">
      <c r="A19" s="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4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16.5">
      <c r="A20" s="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4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9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>
      <c r="A23" s="1"/>
      <c r="B23" s="1"/>
      <c r="C23" s="16"/>
      <c r="D23" s="17"/>
      <c r="E23" s="1"/>
      <c r="F23" s="16"/>
      <c r="G23" s="17"/>
      <c r="H23" s="17"/>
      <c r="I23" s="17"/>
      <c r="J23" s="17"/>
      <c r="K23" s="17"/>
      <c r="L23" s="17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>
      <c r="A24" s="1"/>
      <c r="B24" s="1"/>
      <c r="C24" s="16"/>
      <c r="D24" s="17"/>
      <c r="E24" s="1"/>
      <c r="F24" s="16"/>
      <c r="G24" s="17"/>
      <c r="H24" s="17"/>
      <c r="I24" s="17"/>
      <c r="J24" s="17"/>
      <c r="K24" s="17"/>
      <c r="L24" s="17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>
      <c r="A25" s="1"/>
      <c r="B25" s="1"/>
      <c r="C25" s="16"/>
      <c r="D25" s="17"/>
      <c r="E25" s="1"/>
      <c r="F25" s="16"/>
      <c r="G25" s="17"/>
      <c r="H25" s="17"/>
      <c r="I25" s="17"/>
      <c r="J25" s="17"/>
      <c r="K25" s="17"/>
      <c r="L25" s="17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</sheetData>
  <mergeCells count="12">
    <mergeCell ref="B3:G3"/>
    <mergeCell ref="B4:G4"/>
    <mergeCell ref="B5:G5"/>
    <mergeCell ref="B7:L7"/>
    <mergeCell ref="B8:L9"/>
    <mergeCell ref="C10:G10"/>
    <mergeCell ref="B18:F18"/>
    <mergeCell ref="M10:S10"/>
    <mergeCell ref="T10:Y10"/>
    <mergeCell ref="T18:W18"/>
    <mergeCell ref="X18:Y18"/>
    <mergeCell ref="H10:L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 VOZ Y DATOS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Jonattan</dc:creator>
  <cp:lastModifiedBy>Andres David Pineda Lopez</cp:lastModifiedBy>
  <cp:lastPrinted>2025-09-17T20:23:05Z</cp:lastPrinted>
  <dcterms:created xsi:type="dcterms:W3CDTF">2025-05-22T23:50:21Z</dcterms:created>
  <dcterms:modified xsi:type="dcterms:W3CDTF">2026-04-30T22:48:18Z</dcterms:modified>
</cp:coreProperties>
</file>