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\CONTRATACION\4ABRIL\MODIFICACION N° 3 CONTRATO DE ASEO\"/>
    </mc:Choice>
  </mc:AlternateContent>
  <xr:revisionPtr revIDLastSave="0" documentId="8_{AA25FA38-242B-45B3-82EC-BB0E97BA65FE}" xr6:coauthVersionLast="47" xr6:coauthVersionMax="47" xr10:uidLastSave="{00000000-0000-0000-0000-000000000000}"/>
  <bookViews>
    <workbookView xWindow="-120" yWindow="-120" windowWidth="29040" windowHeight="15720" firstSheet="1" activeTab="1" xr2:uid="{820650BD-BF5F-42C6-A940-4CA513B55F64}"/>
  </bookViews>
  <sheets>
    <sheet name="ANEXO ECONOMICO nov, dic y ener" sheetId="3" state="hidden" r:id="rId1"/>
    <sheet name="ANEXO ECONOMICO MODIFICACION 3" sheetId="2" r:id="rId2"/>
    <sheet name="CONTROL DE PAGOS" sheetId="1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8" i="2" l="1"/>
  <c r="T13" i="3"/>
  <c r="R105" i="3" l="1"/>
  <c r="Q87" i="3"/>
  <c r="K87" i="3"/>
  <c r="N87" i="3" s="1"/>
  <c r="D87" i="3"/>
  <c r="E87" i="3" s="1"/>
  <c r="K86" i="3"/>
  <c r="Q86" i="3" s="1"/>
  <c r="D86" i="3"/>
  <c r="E86" i="3" s="1"/>
  <c r="N85" i="3"/>
  <c r="K85" i="3"/>
  <c r="Q85" i="3" s="1"/>
  <c r="D85" i="3"/>
  <c r="E85" i="3" s="1"/>
  <c r="Q84" i="3"/>
  <c r="N84" i="3"/>
  <c r="M84" i="3"/>
  <c r="K84" i="3"/>
  <c r="E84" i="3"/>
  <c r="H84" i="3" s="1"/>
  <c r="D84" i="3"/>
  <c r="K83" i="3"/>
  <c r="Q83" i="3" s="1"/>
  <c r="D83" i="3"/>
  <c r="E83" i="3" s="1"/>
  <c r="K82" i="3"/>
  <c r="N82" i="3" s="1"/>
  <c r="D82" i="3"/>
  <c r="E82" i="3" s="1"/>
  <c r="K81" i="3"/>
  <c r="E81" i="3"/>
  <c r="H81" i="3" s="1"/>
  <c r="D81" i="3"/>
  <c r="M80" i="3"/>
  <c r="K80" i="3"/>
  <c r="N80" i="3" s="1"/>
  <c r="E80" i="3"/>
  <c r="H80" i="3" s="1"/>
  <c r="D80" i="3"/>
  <c r="K79" i="3"/>
  <c r="M79" i="3" s="1"/>
  <c r="D79" i="3"/>
  <c r="E79" i="3" s="1"/>
  <c r="K78" i="3"/>
  <c r="Q78" i="3" s="1"/>
  <c r="D78" i="3"/>
  <c r="E78" i="3" s="1"/>
  <c r="F78" i="3" s="1"/>
  <c r="N77" i="3"/>
  <c r="K77" i="3"/>
  <c r="M77" i="3" s="1"/>
  <c r="D77" i="3"/>
  <c r="E77" i="3" s="1"/>
  <c r="K76" i="3"/>
  <c r="Q76" i="3" s="1"/>
  <c r="D76" i="3"/>
  <c r="E76" i="3" s="1"/>
  <c r="K75" i="3"/>
  <c r="N75" i="3" s="1"/>
  <c r="D75" i="3"/>
  <c r="E75" i="3" s="1"/>
  <c r="M74" i="3"/>
  <c r="K74" i="3"/>
  <c r="Q74" i="3" s="1"/>
  <c r="D74" i="3"/>
  <c r="E74" i="3" s="1"/>
  <c r="K73" i="3"/>
  <c r="Q73" i="3" s="1"/>
  <c r="D73" i="3"/>
  <c r="E73" i="3" s="1"/>
  <c r="Q72" i="3"/>
  <c r="M72" i="3"/>
  <c r="K72" i="3"/>
  <c r="N72" i="3" s="1"/>
  <c r="E72" i="3"/>
  <c r="H72" i="3" s="1"/>
  <c r="D72" i="3"/>
  <c r="K71" i="3"/>
  <c r="Q71" i="3" s="1"/>
  <c r="D71" i="3"/>
  <c r="E71" i="3" s="1"/>
  <c r="Q70" i="3"/>
  <c r="K70" i="3"/>
  <c r="N70" i="3" s="1"/>
  <c r="D70" i="3"/>
  <c r="E70" i="3" s="1"/>
  <c r="K69" i="3"/>
  <c r="E69" i="3"/>
  <c r="H69" i="3" s="1"/>
  <c r="D69" i="3"/>
  <c r="K68" i="3"/>
  <c r="N68" i="3" s="1"/>
  <c r="F68" i="3"/>
  <c r="E68" i="3"/>
  <c r="H68" i="3" s="1"/>
  <c r="D68" i="3"/>
  <c r="K67" i="3"/>
  <c r="Q67" i="3" s="1"/>
  <c r="D67" i="3"/>
  <c r="E67" i="3" s="1"/>
  <c r="K66" i="3"/>
  <c r="Q66" i="3" s="1"/>
  <c r="D66" i="3"/>
  <c r="E66" i="3" s="1"/>
  <c r="F66" i="3" s="1"/>
  <c r="N65" i="3"/>
  <c r="K65" i="3"/>
  <c r="M65" i="3" s="1"/>
  <c r="D65" i="3"/>
  <c r="E65" i="3" s="1"/>
  <c r="K64" i="3"/>
  <c r="Q64" i="3" s="1"/>
  <c r="D64" i="3"/>
  <c r="E64" i="3" s="1"/>
  <c r="K63" i="3"/>
  <c r="N63" i="3" s="1"/>
  <c r="D63" i="3"/>
  <c r="E63" i="3" s="1"/>
  <c r="M62" i="3"/>
  <c r="K62" i="3"/>
  <c r="Q62" i="3" s="1"/>
  <c r="D62" i="3"/>
  <c r="E62" i="3" s="1"/>
  <c r="K61" i="3"/>
  <c r="Q61" i="3" s="1"/>
  <c r="D61" i="3"/>
  <c r="E61" i="3" s="1"/>
  <c r="Q60" i="3"/>
  <c r="N60" i="3"/>
  <c r="M60" i="3"/>
  <c r="K60" i="3"/>
  <c r="D60" i="3"/>
  <c r="E60" i="3" s="1"/>
  <c r="H60" i="3" s="1"/>
  <c r="K59" i="3"/>
  <c r="Q59" i="3" s="1"/>
  <c r="D59" i="3"/>
  <c r="E59" i="3" s="1"/>
  <c r="Q58" i="3"/>
  <c r="K58" i="3"/>
  <c r="N58" i="3" s="1"/>
  <c r="D58" i="3"/>
  <c r="E58" i="3" s="1"/>
  <c r="K57" i="3"/>
  <c r="E57" i="3"/>
  <c r="H57" i="3" s="1"/>
  <c r="D57" i="3"/>
  <c r="M56" i="3"/>
  <c r="K56" i="3"/>
  <c r="N56" i="3" s="1"/>
  <c r="E56" i="3"/>
  <c r="H56" i="3" s="1"/>
  <c r="D56" i="3"/>
  <c r="M55" i="3"/>
  <c r="K55" i="3"/>
  <c r="Q55" i="3" s="1"/>
  <c r="D55" i="3"/>
  <c r="E55" i="3" s="1"/>
  <c r="K54" i="3"/>
  <c r="Q54" i="3" s="1"/>
  <c r="H54" i="3"/>
  <c r="D54" i="3"/>
  <c r="E54" i="3" s="1"/>
  <c r="F54" i="3" s="1"/>
  <c r="T53" i="3"/>
  <c r="K53" i="3"/>
  <c r="M53" i="3" s="1"/>
  <c r="T52" i="3"/>
  <c r="K52" i="3"/>
  <c r="Q52" i="3" s="1"/>
  <c r="T51" i="3"/>
  <c r="K51" i="3"/>
  <c r="N51" i="3" s="1"/>
  <c r="T50" i="3"/>
  <c r="Q50" i="3"/>
  <c r="M50" i="3"/>
  <c r="K50" i="3"/>
  <c r="N50" i="3" s="1"/>
  <c r="T49" i="3"/>
  <c r="K49" i="3"/>
  <c r="N49" i="3" s="1"/>
  <c r="T48" i="3"/>
  <c r="Q48" i="3"/>
  <c r="K48" i="3"/>
  <c r="M48" i="3" s="1"/>
  <c r="T47" i="3"/>
  <c r="Q47" i="3"/>
  <c r="N47" i="3"/>
  <c r="K47" i="3"/>
  <c r="M47" i="3" s="1"/>
  <c r="Q46" i="3"/>
  <c r="N46" i="3"/>
  <c r="K46" i="3"/>
  <c r="M46" i="3" s="1"/>
  <c r="T45" i="3"/>
  <c r="K45" i="3"/>
  <c r="T44" i="3"/>
  <c r="K44" i="3"/>
  <c r="N44" i="3" s="1"/>
  <c r="T43" i="3"/>
  <c r="M43" i="3"/>
  <c r="K43" i="3"/>
  <c r="Q43" i="3" s="1"/>
  <c r="T42" i="3"/>
  <c r="K42" i="3"/>
  <c r="Q42" i="3" s="1"/>
  <c r="M41" i="3"/>
  <c r="K41" i="3"/>
  <c r="Q41" i="3" s="1"/>
  <c r="K40" i="3"/>
  <c r="Q40" i="3" s="1"/>
  <c r="Q39" i="3"/>
  <c r="N39" i="3"/>
  <c r="M39" i="3"/>
  <c r="T38" i="3"/>
  <c r="K38" i="3"/>
  <c r="Q37" i="3"/>
  <c r="N37" i="3"/>
  <c r="M37" i="3"/>
  <c r="Q36" i="3"/>
  <c r="M36" i="3"/>
  <c r="K36" i="3"/>
  <c r="N36" i="3" s="1"/>
  <c r="K35" i="3"/>
  <c r="N35" i="3" s="1"/>
  <c r="Q34" i="3"/>
  <c r="N34" i="3"/>
  <c r="M34" i="3"/>
  <c r="T33" i="3"/>
  <c r="K33" i="3"/>
  <c r="Q32" i="3"/>
  <c r="N32" i="3"/>
  <c r="M32" i="3"/>
  <c r="K31" i="3"/>
  <c r="M31" i="3" s="1"/>
  <c r="Q30" i="3"/>
  <c r="N30" i="3"/>
  <c r="M30" i="3"/>
  <c r="K29" i="3"/>
  <c r="Q29" i="3" s="1"/>
  <c r="T28" i="3"/>
  <c r="Q28" i="3"/>
  <c r="N28" i="3"/>
  <c r="M28" i="3"/>
  <c r="K27" i="3"/>
  <c r="Q27" i="3" s="1"/>
  <c r="T26" i="3"/>
  <c r="K26" i="3"/>
  <c r="Q26" i="3" s="1"/>
  <c r="T25" i="3"/>
  <c r="K25" i="3"/>
  <c r="Q25" i="3" s="1"/>
  <c r="T24" i="3"/>
  <c r="Q24" i="3"/>
  <c r="N24" i="3"/>
  <c r="M24" i="3"/>
  <c r="K24" i="3"/>
  <c r="K23" i="3"/>
  <c r="Q23" i="3" s="1"/>
  <c r="Q22" i="3"/>
  <c r="K22" i="3"/>
  <c r="N22" i="3" s="1"/>
  <c r="K21" i="3"/>
  <c r="M21" i="3" s="1"/>
  <c r="T20" i="3"/>
  <c r="Q20" i="3"/>
  <c r="K20" i="3"/>
  <c r="N20" i="3" s="1"/>
  <c r="N19" i="3"/>
  <c r="M19" i="3"/>
  <c r="K19" i="3"/>
  <c r="Q19" i="3" s="1"/>
  <c r="T18" i="3"/>
  <c r="N18" i="3"/>
  <c r="K18" i="3"/>
  <c r="M18" i="3" s="1"/>
  <c r="N17" i="3"/>
  <c r="M17" i="3"/>
  <c r="K17" i="3"/>
  <c r="Q17" i="3" s="1"/>
  <c r="T16" i="3"/>
  <c r="N16" i="3"/>
  <c r="K16" i="3"/>
  <c r="M16" i="3" s="1"/>
  <c r="T15" i="3"/>
  <c r="K15" i="3"/>
  <c r="Q15" i="3" s="1"/>
  <c r="T14" i="3"/>
  <c r="K14" i="3"/>
  <c r="Q14" i="3" s="1"/>
  <c r="K13" i="3"/>
  <c r="Q13" i="3" s="1"/>
  <c r="D6" i="3"/>
  <c r="P82" i="3" s="1"/>
  <c r="D4" i="3"/>
  <c r="C4" i="3"/>
  <c r="D46" i="3" s="1"/>
  <c r="E46" i="3" s="1"/>
  <c r="D3" i="3"/>
  <c r="P19" i="3" s="1"/>
  <c r="S19" i="3" s="1"/>
  <c r="C3" i="3"/>
  <c r="D19" i="3" s="1"/>
  <c r="E19" i="3" s="1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6" i="2"/>
  <c r="T45" i="2"/>
  <c r="T44" i="2"/>
  <c r="T43" i="2"/>
  <c r="T42" i="2"/>
  <c r="T40" i="2"/>
  <c r="T39" i="2"/>
  <c r="T38" i="2"/>
  <c r="T37" i="2"/>
  <c r="T36" i="2"/>
  <c r="T35" i="2"/>
  <c r="T34" i="2"/>
  <c r="T32" i="2"/>
  <c r="T31" i="2"/>
  <c r="T30" i="2"/>
  <c r="T29" i="2"/>
  <c r="T28" i="2"/>
  <c r="T27" i="2"/>
  <c r="T25" i="2"/>
  <c r="T24" i="2"/>
  <c r="T22" i="2"/>
  <c r="T21" i="2"/>
  <c r="T19" i="2"/>
  <c r="T17" i="2"/>
  <c r="T15" i="2"/>
  <c r="T13" i="2"/>
  <c r="D6" i="2"/>
  <c r="D96" i="2" s="1"/>
  <c r="E96" i="2" s="1"/>
  <c r="D4" i="2"/>
  <c r="D31" i="2" s="1"/>
  <c r="E31" i="2" s="1"/>
  <c r="C4" i="2"/>
  <c r="D3" i="2"/>
  <c r="D42" i="2" s="1"/>
  <c r="E42" i="2" s="1"/>
  <c r="C3" i="2"/>
  <c r="F20" i="1"/>
  <c r="F18" i="1"/>
  <c r="F17" i="1"/>
  <c r="F13" i="1"/>
  <c r="G24" i="1" s="1"/>
  <c r="E13" i="1"/>
  <c r="D13" i="1"/>
  <c r="C13" i="1"/>
  <c r="C5" i="1" s="1"/>
  <c r="F12" i="1"/>
  <c r="F11" i="1"/>
  <c r="F10" i="1"/>
  <c r="Q21" i="3" l="1"/>
  <c r="N29" i="3"/>
  <c r="N61" i="3"/>
  <c r="Q68" i="3"/>
  <c r="N79" i="3"/>
  <c r="P14" i="3"/>
  <c r="S14" i="3" s="1"/>
  <c r="M25" i="3"/>
  <c r="N48" i="3"/>
  <c r="Q51" i="3"/>
  <c r="N55" i="3"/>
  <c r="Q75" i="3"/>
  <c r="Q79" i="3"/>
  <c r="Q82" i="3"/>
  <c r="M85" i="3"/>
  <c r="M23" i="3"/>
  <c r="Q35" i="3"/>
  <c r="F56" i="3"/>
  <c r="F80" i="3"/>
  <c r="M83" i="3"/>
  <c r="N23" i="3"/>
  <c r="N31" i="3"/>
  <c r="M49" i="3"/>
  <c r="M67" i="3"/>
  <c r="M73" i="3"/>
  <c r="M86" i="3"/>
  <c r="P32" i="3"/>
  <c r="S32" i="3" s="1"/>
  <c r="K13" i="2"/>
  <c r="K14" i="2"/>
  <c r="Q31" i="3"/>
  <c r="Q49" i="3"/>
  <c r="N67" i="3"/>
  <c r="N73" i="3"/>
  <c r="Q63" i="3"/>
  <c r="Q80" i="3"/>
  <c r="G17" i="1"/>
  <c r="G18" i="1"/>
  <c r="M13" i="3"/>
  <c r="N21" i="3"/>
  <c r="M29" i="3"/>
  <c r="N43" i="3"/>
  <c r="M61" i="3"/>
  <c r="M68" i="3"/>
  <c r="P26" i="3"/>
  <c r="S26" i="3" s="1"/>
  <c r="U26" i="3" s="1"/>
  <c r="V26" i="3" s="1"/>
  <c r="P16" i="3"/>
  <c r="S16" i="3" s="1"/>
  <c r="P27" i="3"/>
  <c r="S27" i="3" s="1"/>
  <c r="D28" i="3"/>
  <c r="E28" i="3" s="1"/>
  <c r="F28" i="3" s="1"/>
  <c r="G28" i="3" s="1"/>
  <c r="R19" i="3"/>
  <c r="T19" i="3" s="1"/>
  <c r="U19" i="3" s="1"/>
  <c r="V19" i="3" s="1"/>
  <c r="P58" i="3"/>
  <c r="R58" i="3" s="1"/>
  <c r="D92" i="2"/>
  <c r="E92" i="2" s="1"/>
  <c r="F92" i="2" s="1"/>
  <c r="R14" i="3"/>
  <c r="P17" i="3"/>
  <c r="S17" i="3" s="1"/>
  <c r="D64" i="2"/>
  <c r="E64" i="2" s="1"/>
  <c r="H64" i="2" s="1"/>
  <c r="P15" i="3"/>
  <c r="R15" i="3" s="1"/>
  <c r="P28" i="3"/>
  <c r="D33" i="2"/>
  <c r="E33" i="2" s="1"/>
  <c r="H33" i="2" s="1"/>
  <c r="D80" i="2"/>
  <c r="E80" i="2" s="1"/>
  <c r="H80" i="2" s="1"/>
  <c r="D29" i="2"/>
  <c r="E29" i="2" s="1"/>
  <c r="H29" i="2" s="1"/>
  <c r="D16" i="3"/>
  <c r="E16" i="3" s="1"/>
  <c r="F16" i="3" s="1"/>
  <c r="G16" i="3" s="1"/>
  <c r="F19" i="3"/>
  <c r="G19" i="3" s="1"/>
  <c r="H19" i="3"/>
  <c r="I19" i="3" s="1"/>
  <c r="J19" i="3" s="1"/>
  <c r="H46" i="3"/>
  <c r="F46" i="3"/>
  <c r="U14" i="3"/>
  <c r="V14" i="3" s="1"/>
  <c r="I56" i="3"/>
  <c r="J56" i="3" s="1"/>
  <c r="G56" i="3"/>
  <c r="P44" i="3"/>
  <c r="P49" i="3"/>
  <c r="R49" i="3" s="1"/>
  <c r="S49" i="3" s="1"/>
  <c r="U49" i="3" s="1"/>
  <c r="V49" i="3" s="1"/>
  <c r="P42" i="3"/>
  <c r="R42" i="3" s="1"/>
  <c r="P47" i="3"/>
  <c r="P52" i="3"/>
  <c r="R52" i="3" s="1"/>
  <c r="S52" i="3" s="1"/>
  <c r="U52" i="3" s="1"/>
  <c r="V52" i="3" s="1"/>
  <c r="P45" i="3"/>
  <c r="P50" i="3"/>
  <c r="R50" i="3" s="1"/>
  <c r="S50" i="3" s="1"/>
  <c r="U50" i="3" s="1"/>
  <c r="V50" i="3" s="1"/>
  <c r="P43" i="3"/>
  <c r="P48" i="3"/>
  <c r="R48" i="3" s="1"/>
  <c r="S48" i="3" s="1"/>
  <c r="U48" i="3" s="1"/>
  <c r="V48" i="3" s="1"/>
  <c r="P53" i="3"/>
  <c r="P51" i="3"/>
  <c r="N13" i="3"/>
  <c r="Q16" i="3"/>
  <c r="M20" i="3"/>
  <c r="D23" i="3"/>
  <c r="E23" i="3" s="1"/>
  <c r="P23" i="3"/>
  <c r="S23" i="3" s="1"/>
  <c r="N25" i="3"/>
  <c r="H70" i="3"/>
  <c r="F70" i="3"/>
  <c r="G78" i="3"/>
  <c r="P80" i="3"/>
  <c r="P68" i="3"/>
  <c r="P56" i="3"/>
  <c r="P85" i="3"/>
  <c r="R85" i="3" s="1"/>
  <c r="P73" i="3"/>
  <c r="R73" i="3" s="1"/>
  <c r="P61" i="3"/>
  <c r="R61" i="3" s="1"/>
  <c r="P78" i="3"/>
  <c r="R78" i="3" s="1"/>
  <c r="P66" i="3"/>
  <c r="R66" i="3" s="1"/>
  <c r="P54" i="3"/>
  <c r="P83" i="3"/>
  <c r="R83" i="3" s="1"/>
  <c r="P71" i="3"/>
  <c r="R71" i="3" s="1"/>
  <c r="P59" i="3"/>
  <c r="R59" i="3" s="1"/>
  <c r="P76" i="3"/>
  <c r="R76" i="3" s="1"/>
  <c r="P64" i="3"/>
  <c r="R64" i="3" s="1"/>
  <c r="P81" i="3"/>
  <c r="P69" i="3"/>
  <c r="P57" i="3"/>
  <c r="P86" i="3"/>
  <c r="R86" i="3" s="1"/>
  <c r="P74" i="3"/>
  <c r="R74" i="3" s="1"/>
  <c r="P62" i="3"/>
  <c r="R62" i="3" s="1"/>
  <c r="P79" i="3"/>
  <c r="P67" i="3"/>
  <c r="R67" i="3" s="1"/>
  <c r="P55" i="3"/>
  <c r="R55" i="3" s="1"/>
  <c r="P84" i="3"/>
  <c r="R84" i="3" s="1"/>
  <c r="P72" i="3"/>
  <c r="R72" i="3" s="1"/>
  <c r="P60" i="3"/>
  <c r="R60" i="3" s="1"/>
  <c r="P77" i="3"/>
  <c r="P65" i="3"/>
  <c r="P87" i="3"/>
  <c r="R87" i="3" s="1"/>
  <c r="P75" i="3"/>
  <c r="R75" i="3" s="1"/>
  <c r="P63" i="3"/>
  <c r="M15" i="3"/>
  <c r="D18" i="3"/>
  <c r="E18" i="3" s="1"/>
  <c r="P18" i="3"/>
  <c r="M27" i="3"/>
  <c r="Q33" i="3"/>
  <c r="N33" i="3"/>
  <c r="M33" i="3"/>
  <c r="D39" i="3"/>
  <c r="E39" i="3" s="1"/>
  <c r="I54" i="3"/>
  <c r="J54" i="3" s="1"/>
  <c r="G54" i="3"/>
  <c r="H75" i="3"/>
  <c r="F75" i="3"/>
  <c r="H78" i="3"/>
  <c r="I78" i="3" s="1"/>
  <c r="J78" i="3" s="1"/>
  <c r="D44" i="3"/>
  <c r="E44" i="3" s="1"/>
  <c r="D49" i="3"/>
  <c r="E49" i="3" s="1"/>
  <c r="D42" i="3"/>
  <c r="E42" i="3" s="1"/>
  <c r="D47" i="3"/>
  <c r="E47" i="3" s="1"/>
  <c r="D52" i="3"/>
  <c r="E52" i="3" s="1"/>
  <c r="D45" i="3"/>
  <c r="E45" i="3" s="1"/>
  <c r="D50" i="3"/>
  <c r="E50" i="3" s="1"/>
  <c r="D43" i="3"/>
  <c r="E43" i="3" s="1"/>
  <c r="D48" i="3"/>
  <c r="E48" i="3" s="1"/>
  <c r="D53" i="3"/>
  <c r="E53" i="3" s="1"/>
  <c r="D51" i="3"/>
  <c r="E51" i="3" s="1"/>
  <c r="F83" i="3"/>
  <c r="H83" i="3"/>
  <c r="D13" i="3"/>
  <c r="E13" i="3" s="1"/>
  <c r="P13" i="3"/>
  <c r="N15" i="3"/>
  <c r="Q18" i="3"/>
  <c r="M22" i="3"/>
  <c r="D25" i="3"/>
  <c r="E25" i="3" s="1"/>
  <c r="P25" i="3"/>
  <c r="N27" i="3"/>
  <c r="R43" i="3"/>
  <c r="S43" i="3" s="1"/>
  <c r="U43" i="3" s="1"/>
  <c r="V43" i="3" s="1"/>
  <c r="H62" i="3"/>
  <c r="F62" i="3"/>
  <c r="H65" i="3"/>
  <c r="F65" i="3"/>
  <c r="P70" i="3"/>
  <c r="R70" i="3" s="1"/>
  <c r="H73" i="3"/>
  <c r="F73" i="3"/>
  <c r="I80" i="3"/>
  <c r="J80" i="3" s="1"/>
  <c r="G80" i="3"/>
  <c r="D20" i="3"/>
  <c r="E20" i="3" s="1"/>
  <c r="P20" i="3"/>
  <c r="P46" i="3"/>
  <c r="Q69" i="3"/>
  <c r="N69" i="3"/>
  <c r="M69" i="3"/>
  <c r="D15" i="3"/>
  <c r="E15" i="3" s="1"/>
  <c r="D27" i="3"/>
  <c r="E27" i="3" s="1"/>
  <c r="D30" i="3"/>
  <c r="E30" i="3" s="1"/>
  <c r="D34" i="3"/>
  <c r="E34" i="3" s="1"/>
  <c r="I68" i="3"/>
  <c r="J68" i="3" s="1"/>
  <c r="G68" i="3"/>
  <c r="F71" i="3"/>
  <c r="H71" i="3"/>
  <c r="H76" i="3"/>
  <c r="F76" i="3"/>
  <c r="H79" i="3"/>
  <c r="F79" i="3"/>
  <c r="H86" i="3"/>
  <c r="F86" i="3"/>
  <c r="D22" i="3"/>
  <c r="E22" i="3" s="1"/>
  <c r="P22" i="3"/>
  <c r="S22" i="3" s="1"/>
  <c r="H55" i="3"/>
  <c r="F55" i="3"/>
  <c r="Q57" i="3"/>
  <c r="R57" i="3" s="1"/>
  <c r="N57" i="3"/>
  <c r="M57" i="3"/>
  <c r="D17" i="3"/>
  <c r="E17" i="3" s="1"/>
  <c r="M26" i="3"/>
  <c r="H58" i="3"/>
  <c r="F58" i="3"/>
  <c r="G66" i="3"/>
  <c r="Q81" i="3"/>
  <c r="N81" i="3"/>
  <c r="M81" i="3"/>
  <c r="Q38" i="3"/>
  <c r="N38" i="3"/>
  <c r="M38" i="3"/>
  <c r="M14" i="3"/>
  <c r="N14" i="3"/>
  <c r="D24" i="3"/>
  <c r="E24" i="3" s="1"/>
  <c r="P24" i="3"/>
  <c r="S24" i="3" s="1"/>
  <c r="N26" i="3"/>
  <c r="H63" i="3"/>
  <c r="F63" i="3"/>
  <c r="H66" i="3"/>
  <c r="I66" i="3" s="1"/>
  <c r="J66" i="3" s="1"/>
  <c r="H82" i="3"/>
  <c r="F82" i="3"/>
  <c r="R47" i="3"/>
  <c r="S47" i="3" s="1"/>
  <c r="U47" i="3" s="1"/>
  <c r="V47" i="3" s="1"/>
  <c r="H61" i="3"/>
  <c r="F61" i="3"/>
  <c r="H74" i="3"/>
  <c r="F74" i="3"/>
  <c r="H77" i="3"/>
  <c r="F77" i="3"/>
  <c r="D35" i="3"/>
  <c r="E35" i="3" s="1"/>
  <c r="D33" i="3"/>
  <c r="E33" i="3" s="1"/>
  <c r="D31" i="3"/>
  <c r="E31" i="3" s="1"/>
  <c r="D40" i="3"/>
  <c r="E40" i="3" s="1"/>
  <c r="D29" i="3"/>
  <c r="E29" i="3" s="1"/>
  <c r="D38" i="3"/>
  <c r="E38" i="3" s="1"/>
  <c r="D36" i="3"/>
  <c r="E36" i="3" s="1"/>
  <c r="D32" i="3"/>
  <c r="E32" i="3" s="1"/>
  <c r="D41" i="3"/>
  <c r="E41" i="3" s="1"/>
  <c r="D37" i="3"/>
  <c r="E37" i="3" s="1"/>
  <c r="D14" i="3"/>
  <c r="E14" i="3" s="1"/>
  <c r="D26" i="3"/>
  <c r="E26" i="3" s="1"/>
  <c r="H87" i="3"/>
  <c r="F87" i="3"/>
  <c r="K88" i="3"/>
  <c r="P37" i="3"/>
  <c r="S37" i="3" s="1"/>
  <c r="P35" i="3"/>
  <c r="P33" i="3"/>
  <c r="P31" i="3"/>
  <c r="S31" i="3" s="1"/>
  <c r="P40" i="3"/>
  <c r="S40" i="3" s="1"/>
  <c r="P29" i="3"/>
  <c r="S29" i="3" s="1"/>
  <c r="P38" i="3"/>
  <c r="P36" i="3"/>
  <c r="S36" i="3" s="1"/>
  <c r="P34" i="3"/>
  <c r="S34" i="3" s="1"/>
  <c r="P41" i="3"/>
  <c r="S41" i="3" s="1"/>
  <c r="P39" i="3"/>
  <c r="S39" i="3" s="1"/>
  <c r="D21" i="3"/>
  <c r="E21" i="3" s="1"/>
  <c r="P21" i="3"/>
  <c r="S21" i="3" s="1"/>
  <c r="P30" i="3"/>
  <c r="S30" i="3" s="1"/>
  <c r="Q45" i="3"/>
  <c r="N45" i="3"/>
  <c r="M45" i="3"/>
  <c r="F59" i="3"/>
  <c r="H59" i="3"/>
  <c r="H64" i="3"/>
  <c r="F64" i="3"/>
  <c r="H67" i="3"/>
  <c r="F67" i="3"/>
  <c r="R82" i="3"/>
  <c r="H85" i="3"/>
  <c r="F85" i="3"/>
  <c r="N41" i="3"/>
  <c r="Q44" i="3"/>
  <c r="R44" i="3" s="1"/>
  <c r="S44" i="3" s="1"/>
  <c r="U44" i="3" s="1"/>
  <c r="V44" i="3" s="1"/>
  <c r="N53" i="3"/>
  <c r="Q56" i="3"/>
  <c r="Q53" i="3"/>
  <c r="N62" i="3"/>
  <c r="Q65" i="3"/>
  <c r="N74" i="3"/>
  <c r="Q77" i="3"/>
  <c r="N86" i="3"/>
  <c r="M40" i="3"/>
  <c r="M52" i="3"/>
  <c r="M64" i="3"/>
  <c r="M76" i="3"/>
  <c r="N40" i="3"/>
  <c r="N52" i="3"/>
  <c r="M59" i="3"/>
  <c r="F60" i="3"/>
  <c r="N64" i="3"/>
  <c r="M71" i="3"/>
  <c r="F72" i="3"/>
  <c r="N76" i="3"/>
  <c r="F84" i="3"/>
  <c r="M42" i="3"/>
  <c r="M54" i="3"/>
  <c r="N59" i="3"/>
  <c r="M66" i="3"/>
  <c r="N71" i="3"/>
  <c r="M78" i="3"/>
  <c r="N83" i="3"/>
  <c r="M35" i="3"/>
  <c r="N42" i="3"/>
  <c r="N54" i="3"/>
  <c r="N66" i="3"/>
  <c r="N78" i="3"/>
  <c r="M44" i="3"/>
  <c r="F57" i="3"/>
  <c r="F69" i="3"/>
  <c r="F81" i="3"/>
  <c r="M51" i="3"/>
  <c r="M63" i="3"/>
  <c r="M75" i="3"/>
  <c r="M87" i="3"/>
  <c r="M58" i="3"/>
  <c r="M70" i="3"/>
  <c r="M82" i="3"/>
  <c r="H42" i="2"/>
  <c r="F42" i="2"/>
  <c r="G42" i="2" s="1"/>
  <c r="H31" i="2"/>
  <c r="F31" i="2"/>
  <c r="G31" i="2" s="1"/>
  <c r="H96" i="2"/>
  <c r="F96" i="2"/>
  <c r="D35" i="2"/>
  <c r="E35" i="2" s="1"/>
  <c r="D44" i="2"/>
  <c r="E44" i="2" s="1"/>
  <c r="F3" i="2"/>
  <c r="D26" i="2"/>
  <c r="E26" i="2" s="1"/>
  <c r="D38" i="2"/>
  <c r="E38" i="2" s="1"/>
  <c r="D14" i="2"/>
  <c r="E14" i="2" s="1"/>
  <c r="D28" i="2"/>
  <c r="E28" i="2" s="1"/>
  <c r="D32" i="2"/>
  <c r="E32" i="2" s="1"/>
  <c r="D47" i="2"/>
  <c r="E47" i="2" s="1"/>
  <c r="D52" i="2"/>
  <c r="E52" i="2" s="1"/>
  <c r="D68" i="2"/>
  <c r="E68" i="2" s="1"/>
  <c r="D84" i="2"/>
  <c r="E84" i="2" s="1"/>
  <c r="D23" i="2"/>
  <c r="E23" i="2" s="1"/>
  <c r="D34" i="2"/>
  <c r="E34" i="2" s="1"/>
  <c r="D41" i="2"/>
  <c r="E41" i="2" s="1"/>
  <c r="D43" i="2"/>
  <c r="E43" i="2" s="1"/>
  <c r="D18" i="2"/>
  <c r="E18" i="2" s="1"/>
  <c r="D25" i="2"/>
  <c r="E25" i="2" s="1"/>
  <c r="D16" i="2"/>
  <c r="E16" i="2" s="1"/>
  <c r="D93" i="2"/>
  <c r="E93" i="2" s="1"/>
  <c r="D89" i="2"/>
  <c r="E89" i="2" s="1"/>
  <c r="D85" i="2"/>
  <c r="E85" i="2" s="1"/>
  <c r="D81" i="2"/>
  <c r="E81" i="2" s="1"/>
  <c r="D77" i="2"/>
  <c r="E77" i="2" s="1"/>
  <c r="D73" i="2"/>
  <c r="E73" i="2" s="1"/>
  <c r="D69" i="2"/>
  <c r="E69" i="2" s="1"/>
  <c r="D65" i="2"/>
  <c r="E65" i="2" s="1"/>
  <c r="D61" i="2"/>
  <c r="E61" i="2" s="1"/>
  <c r="D53" i="2"/>
  <c r="E53" i="2" s="1"/>
  <c r="D94" i="2"/>
  <c r="E94" i="2" s="1"/>
  <c r="D90" i="2"/>
  <c r="E90" i="2" s="1"/>
  <c r="D86" i="2"/>
  <c r="E86" i="2" s="1"/>
  <c r="D82" i="2"/>
  <c r="E82" i="2" s="1"/>
  <c r="D78" i="2"/>
  <c r="E78" i="2" s="1"/>
  <c r="D74" i="2"/>
  <c r="E74" i="2" s="1"/>
  <c r="D70" i="2"/>
  <c r="E70" i="2" s="1"/>
  <c r="D66" i="2"/>
  <c r="E66" i="2" s="1"/>
  <c r="D62" i="2"/>
  <c r="E62" i="2" s="1"/>
  <c r="D58" i="2"/>
  <c r="E58" i="2" s="1"/>
  <c r="D54" i="2"/>
  <c r="E54" i="2" s="1"/>
  <c r="D95" i="2"/>
  <c r="E95" i="2" s="1"/>
  <c r="D91" i="2"/>
  <c r="E91" i="2" s="1"/>
  <c r="D87" i="2"/>
  <c r="E87" i="2" s="1"/>
  <c r="D83" i="2"/>
  <c r="E83" i="2" s="1"/>
  <c r="D79" i="2"/>
  <c r="E79" i="2" s="1"/>
  <c r="D75" i="2"/>
  <c r="E75" i="2" s="1"/>
  <c r="D71" i="2"/>
  <c r="E71" i="2" s="1"/>
  <c r="D67" i="2"/>
  <c r="E67" i="2" s="1"/>
  <c r="D63" i="2"/>
  <c r="E63" i="2" s="1"/>
  <c r="D59" i="2"/>
  <c r="E59" i="2" s="1"/>
  <c r="D13" i="2"/>
  <c r="D20" i="2"/>
  <c r="E20" i="2" s="1"/>
  <c r="D27" i="2"/>
  <c r="E27" i="2" s="1"/>
  <c r="D37" i="2"/>
  <c r="E37" i="2" s="1"/>
  <c r="D46" i="2"/>
  <c r="E46" i="2" s="1"/>
  <c r="D56" i="2"/>
  <c r="E56" i="2" s="1"/>
  <c r="D72" i="2"/>
  <c r="E72" i="2" s="1"/>
  <c r="D15" i="2"/>
  <c r="E15" i="2" s="1"/>
  <c r="D22" i="2"/>
  <c r="E22" i="2" s="1"/>
  <c r="D40" i="2"/>
  <c r="E40" i="2" s="1"/>
  <c r="D48" i="2"/>
  <c r="E48" i="2" s="1"/>
  <c r="D88" i="2"/>
  <c r="E88" i="2" s="1"/>
  <c r="D17" i="2"/>
  <c r="E17" i="2" s="1"/>
  <c r="D24" i="2"/>
  <c r="E24" i="2" s="1"/>
  <c r="D49" i="2"/>
  <c r="E49" i="2" s="1"/>
  <c r="D50" i="2"/>
  <c r="E50" i="2" s="1"/>
  <c r="D57" i="2"/>
  <c r="E57" i="2" s="1"/>
  <c r="D55" i="2"/>
  <c r="E55" i="2" s="1"/>
  <c r="D51" i="2"/>
  <c r="E51" i="2" s="1"/>
  <c r="D19" i="2"/>
  <c r="E19" i="2" s="1"/>
  <c r="D30" i="2"/>
  <c r="E30" i="2" s="1"/>
  <c r="D36" i="2"/>
  <c r="E36" i="2" s="1"/>
  <c r="D60" i="2"/>
  <c r="E60" i="2" s="1"/>
  <c r="D76" i="2"/>
  <c r="E76" i="2" s="1"/>
  <c r="D21" i="2"/>
  <c r="E21" i="2" s="1"/>
  <c r="D45" i="2"/>
  <c r="E45" i="2" s="1"/>
  <c r="D39" i="2"/>
  <c r="E39" i="2" s="1"/>
  <c r="C16" i="1"/>
  <c r="D5" i="1"/>
  <c r="C20" i="1"/>
  <c r="G16" i="1"/>
  <c r="E5" i="1"/>
  <c r="C18" i="1"/>
  <c r="G20" i="1"/>
  <c r="H92" i="2" l="1"/>
  <c r="U27" i="3"/>
  <c r="V27" i="3" s="1"/>
  <c r="H28" i="3"/>
  <c r="R26" i="3"/>
  <c r="R77" i="3"/>
  <c r="R32" i="3"/>
  <c r="T32" i="3" s="1"/>
  <c r="R56" i="3"/>
  <c r="R69" i="3"/>
  <c r="S69" i="3" s="1"/>
  <c r="R27" i="3"/>
  <c r="T27" i="3" s="1"/>
  <c r="F33" i="2"/>
  <c r="G33" i="2" s="1"/>
  <c r="S42" i="3"/>
  <c r="U42" i="3" s="1"/>
  <c r="V42" i="3" s="1"/>
  <c r="T58" i="3"/>
  <c r="S58" i="3"/>
  <c r="U58" i="3" s="1"/>
  <c r="V58" i="3" s="1"/>
  <c r="R63" i="3"/>
  <c r="T63" i="3" s="1"/>
  <c r="S25" i="3"/>
  <c r="U25" i="3" s="1"/>
  <c r="V25" i="3" s="1"/>
  <c r="R16" i="3"/>
  <c r="S20" i="3"/>
  <c r="U20" i="3" s="1"/>
  <c r="V20" i="3" s="1"/>
  <c r="S38" i="3"/>
  <c r="U38" i="3" s="1"/>
  <c r="V38" i="3" s="1"/>
  <c r="R68" i="3"/>
  <c r="S68" i="3" s="1"/>
  <c r="R51" i="3"/>
  <c r="S51" i="3" s="1"/>
  <c r="U51" i="3" s="1"/>
  <c r="V51" i="3" s="1"/>
  <c r="R80" i="3"/>
  <c r="S80" i="3" s="1"/>
  <c r="P8" i="3"/>
  <c r="P7" i="3" s="1"/>
  <c r="S13" i="3"/>
  <c r="K35" i="2"/>
  <c r="K21" i="2"/>
  <c r="K45" i="2"/>
  <c r="K36" i="2"/>
  <c r="K39" i="2"/>
  <c r="K23" i="2"/>
  <c r="K44" i="2"/>
  <c r="K48" i="2"/>
  <c r="K28" i="2"/>
  <c r="K18" i="2"/>
  <c r="K32" i="2"/>
  <c r="K33" i="2"/>
  <c r="K25" i="2"/>
  <c r="K40" i="2"/>
  <c r="K15" i="2"/>
  <c r="K37" i="2"/>
  <c r="K41" i="2"/>
  <c r="K34" i="2"/>
  <c r="K49" i="2"/>
  <c r="K22" i="2"/>
  <c r="K46" i="2"/>
  <c r="K19" i="2"/>
  <c r="K29" i="2"/>
  <c r="K16" i="2"/>
  <c r="K26" i="2"/>
  <c r="K30" i="2"/>
  <c r="K38" i="2"/>
  <c r="K31" i="2"/>
  <c r="K47" i="2"/>
  <c r="K50" i="2"/>
  <c r="K42" i="2"/>
  <c r="K17" i="2"/>
  <c r="K20" i="2"/>
  <c r="K43" i="2"/>
  <c r="K24" i="2"/>
  <c r="K27" i="2"/>
  <c r="R17" i="3"/>
  <c r="T17" i="3" s="1"/>
  <c r="U17" i="3" s="1"/>
  <c r="V17" i="3" s="1"/>
  <c r="U33" i="3"/>
  <c r="V33" i="3" s="1"/>
  <c r="S33" i="3"/>
  <c r="S18" i="3"/>
  <c r="U18" i="3" s="1"/>
  <c r="V18" i="3" s="1"/>
  <c r="S28" i="3"/>
  <c r="U28" i="3" s="1"/>
  <c r="V28" i="3" s="1"/>
  <c r="S35" i="3"/>
  <c r="U35" i="3" s="1"/>
  <c r="V35" i="3" s="1"/>
  <c r="R79" i="3"/>
  <c r="T79" i="3" s="1"/>
  <c r="S15" i="3"/>
  <c r="U15" i="3" s="1"/>
  <c r="V15" i="3" s="1"/>
  <c r="F64" i="2"/>
  <c r="I64" i="2" s="1"/>
  <c r="J64" i="2" s="1"/>
  <c r="F80" i="2"/>
  <c r="G80" i="2" s="1"/>
  <c r="F29" i="2"/>
  <c r="G29" i="2" s="1"/>
  <c r="R35" i="3"/>
  <c r="T35" i="3" s="1"/>
  <c r="H16" i="3"/>
  <c r="I16" i="3"/>
  <c r="J16" i="3" s="1"/>
  <c r="O16" i="3" s="1"/>
  <c r="I28" i="3"/>
  <c r="J28" i="3" s="1"/>
  <c r="O28" i="3" s="1"/>
  <c r="U32" i="3"/>
  <c r="V32" i="3" s="1"/>
  <c r="R23" i="3"/>
  <c r="T23" i="3" s="1"/>
  <c r="U23" i="3" s="1"/>
  <c r="V23" i="3" s="1"/>
  <c r="R28" i="3"/>
  <c r="R41" i="3"/>
  <c r="T41" i="3" s="1"/>
  <c r="U41" i="3" s="1"/>
  <c r="V41" i="3" s="1"/>
  <c r="R53" i="3"/>
  <c r="S53" i="3" s="1"/>
  <c r="U53" i="3" s="1"/>
  <c r="V53" i="3" s="1"/>
  <c r="S66" i="3"/>
  <c r="T66" i="3"/>
  <c r="S78" i="3"/>
  <c r="T78" i="3"/>
  <c r="T85" i="3"/>
  <c r="S85" i="3"/>
  <c r="T64" i="3"/>
  <c r="S64" i="3"/>
  <c r="T62" i="3"/>
  <c r="S62" i="3"/>
  <c r="U62" i="3" s="1"/>
  <c r="V62" i="3" s="1"/>
  <c r="T76" i="3"/>
  <c r="S76" i="3"/>
  <c r="T55" i="3"/>
  <c r="S55" i="3"/>
  <c r="O78" i="3"/>
  <c r="L78" i="3"/>
  <c r="T67" i="3"/>
  <c r="S67" i="3"/>
  <c r="S83" i="3"/>
  <c r="T83" i="3"/>
  <c r="F33" i="3"/>
  <c r="G33" i="3" s="1"/>
  <c r="H33" i="3"/>
  <c r="I33" i="3" s="1"/>
  <c r="J33" i="3" s="1"/>
  <c r="I58" i="3"/>
  <c r="J58" i="3" s="1"/>
  <c r="G58" i="3"/>
  <c r="H27" i="3"/>
  <c r="F27" i="3"/>
  <c r="G27" i="3" s="1"/>
  <c r="F35" i="3"/>
  <c r="G35" i="3" s="1"/>
  <c r="H35" i="3"/>
  <c r="T57" i="3"/>
  <c r="S57" i="3"/>
  <c r="H15" i="3"/>
  <c r="F15" i="3"/>
  <c r="G15" i="3" s="1"/>
  <c r="O80" i="3"/>
  <c r="L80" i="3"/>
  <c r="H43" i="3"/>
  <c r="F43" i="3"/>
  <c r="R22" i="3"/>
  <c r="T22" i="3" s="1"/>
  <c r="U22" i="3" s="1"/>
  <c r="V22" i="3" s="1"/>
  <c r="I57" i="3"/>
  <c r="J57" i="3" s="1"/>
  <c r="G57" i="3"/>
  <c r="R31" i="3"/>
  <c r="T31" i="3" s="1"/>
  <c r="U31" i="3" s="1"/>
  <c r="V31" i="3" s="1"/>
  <c r="H26" i="3"/>
  <c r="F26" i="3"/>
  <c r="G26" i="3" s="1"/>
  <c r="I82" i="3"/>
  <c r="J82" i="3" s="1"/>
  <c r="G82" i="3"/>
  <c r="I55" i="3"/>
  <c r="J55" i="3" s="1"/>
  <c r="G55" i="3"/>
  <c r="T73" i="3"/>
  <c r="S73" i="3"/>
  <c r="R30" i="3"/>
  <c r="T30" i="3" s="1"/>
  <c r="U30" i="3" s="1"/>
  <c r="V30" i="3" s="1"/>
  <c r="H25" i="3"/>
  <c r="F25" i="3"/>
  <c r="G25" i="3" s="1"/>
  <c r="H50" i="3"/>
  <c r="F50" i="3"/>
  <c r="S59" i="3"/>
  <c r="T59" i="3"/>
  <c r="G76" i="3"/>
  <c r="I76" i="3"/>
  <c r="J76" i="3" s="1"/>
  <c r="H48" i="3"/>
  <c r="F48" i="3"/>
  <c r="I69" i="3"/>
  <c r="J69" i="3" s="1"/>
  <c r="G69" i="3"/>
  <c r="R34" i="3"/>
  <c r="T34" i="3" s="1"/>
  <c r="T72" i="3"/>
  <c r="S72" i="3"/>
  <c r="O56" i="3"/>
  <c r="L56" i="3"/>
  <c r="I85" i="3"/>
  <c r="J85" i="3" s="1"/>
  <c r="G85" i="3"/>
  <c r="R45" i="3"/>
  <c r="S45" i="3" s="1"/>
  <c r="U45" i="3" s="1"/>
  <c r="V45" i="3" s="1"/>
  <c r="H14" i="3"/>
  <c r="F14" i="3"/>
  <c r="G14" i="3" s="1"/>
  <c r="H45" i="3"/>
  <c r="F45" i="3"/>
  <c r="O54" i="3"/>
  <c r="L54" i="3"/>
  <c r="L28" i="3"/>
  <c r="I84" i="3"/>
  <c r="J84" i="3" s="1"/>
  <c r="G84" i="3"/>
  <c r="H37" i="3"/>
  <c r="F37" i="3"/>
  <c r="G37" i="3" s="1"/>
  <c r="I77" i="3"/>
  <c r="J77" i="3" s="1"/>
  <c r="G77" i="3"/>
  <c r="R38" i="3"/>
  <c r="R40" i="3"/>
  <c r="T40" i="3" s="1"/>
  <c r="U40" i="3" s="1"/>
  <c r="V40" i="3" s="1"/>
  <c r="R36" i="3"/>
  <c r="T36" i="3" s="1"/>
  <c r="U36" i="3" s="1"/>
  <c r="V36" i="3" s="1"/>
  <c r="G71" i="3"/>
  <c r="I71" i="3"/>
  <c r="J71" i="3" s="1"/>
  <c r="T69" i="3"/>
  <c r="I73" i="3"/>
  <c r="J73" i="3" s="1"/>
  <c r="G73" i="3"/>
  <c r="R18" i="3"/>
  <c r="H52" i="3"/>
  <c r="F52" i="3"/>
  <c r="I46" i="3"/>
  <c r="J46" i="3" s="1"/>
  <c r="G46" i="3"/>
  <c r="R37" i="3"/>
  <c r="T37" i="3" s="1"/>
  <c r="H41" i="3"/>
  <c r="F41" i="3"/>
  <c r="G41" i="3" s="1"/>
  <c r="I63" i="3"/>
  <c r="J63" i="3" s="1"/>
  <c r="G63" i="3"/>
  <c r="T75" i="3"/>
  <c r="S75" i="3"/>
  <c r="F47" i="3"/>
  <c r="H47" i="3"/>
  <c r="H39" i="3"/>
  <c r="F39" i="3"/>
  <c r="G39" i="3" s="1"/>
  <c r="I72" i="3"/>
  <c r="J72" i="3" s="1"/>
  <c r="G72" i="3"/>
  <c r="H21" i="3"/>
  <c r="F21" i="3"/>
  <c r="G21" i="3" s="1"/>
  <c r="H22" i="3"/>
  <c r="F22" i="3"/>
  <c r="G22" i="3" s="1"/>
  <c r="O68" i="3"/>
  <c r="L68" i="3"/>
  <c r="T70" i="3"/>
  <c r="S70" i="3"/>
  <c r="P88" i="3"/>
  <c r="F42" i="3"/>
  <c r="H42" i="3"/>
  <c r="R25" i="3"/>
  <c r="I81" i="3"/>
  <c r="J81" i="3" s="1"/>
  <c r="G81" i="3"/>
  <c r="T82" i="3"/>
  <c r="S82" i="3"/>
  <c r="U82" i="3" s="1"/>
  <c r="V82" i="3" s="1"/>
  <c r="I67" i="3"/>
  <c r="J67" i="3" s="1"/>
  <c r="G67" i="3"/>
  <c r="H32" i="3"/>
  <c r="F32" i="3"/>
  <c r="G32" i="3" s="1"/>
  <c r="I87" i="3"/>
  <c r="J87" i="3" s="1"/>
  <c r="G87" i="3"/>
  <c r="T60" i="3"/>
  <c r="S60" i="3"/>
  <c r="R81" i="3"/>
  <c r="H13" i="3"/>
  <c r="F13" i="3"/>
  <c r="G13" i="3" s="1"/>
  <c r="T80" i="3"/>
  <c r="R20" i="3"/>
  <c r="R29" i="3"/>
  <c r="T29" i="3" s="1"/>
  <c r="T77" i="3"/>
  <c r="S77" i="3"/>
  <c r="U77" i="3" s="1"/>
  <c r="V77" i="3" s="1"/>
  <c r="Q88" i="3"/>
  <c r="R88" i="3" s="1"/>
  <c r="I74" i="3"/>
  <c r="J74" i="3" s="1"/>
  <c r="G74" i="3"/>
  <c r="H36" i="3"/>
  <c r="F36" i="3"/>
  <c r="G36" i="3" s="1"/>
  <c r="I65" i="3"/>
  <c r="J65" i="3" s="1"/>
  <c r="G65" i="3"/>
  <c r="H49" i="3"/>
  <c r="F49" i="3"/>
  <c r="R21" i="3"/>
  <c r="T21" i="3" s="1"/>
  <c r="U21" i="3" s="1"/>
  <c r="V21" i="3" s="1"/>
  <c r="R65" i="3"/>
  <c r="G64" i="3"/>
  <c r="I64" i="3"/>
  <c r="J64" i="3" s="1"/>
  <c r="H38" i="3"/>
  <c r="F38" i="3"/>
  <c r="G38" i="3" s="1"/>
  <c r="H17" i="3"/>
  <c r="F17" i="3"/>
  <c r="G17" i="3" s="1"/>
  <c r="I86" i="3"/>
  <c r="J86" i="3" s="1"/>
  <c r="G86" i="3"/>
  <c r="R46" i="3"/>
  <c r="R54" i="3"/>
  <c r="H44" i="3"/>
  <c r="F44" i="3"/>
  <c r="R33" i="3"/>
  <c r="H23" i="3"/>
  <c r="F23" i="3"/>
  <c r="G23" i="3" s="1"/>
  <c r="G59" i="3"/>
  <c r="I59" i="3"/>
  <c r="J59" i="3" s="1"/>
  <c r="I60" i="3"/>
  <c r="J60" i="3" s="1"/>
  <c r="G60" i="3"/>
  <c r="U34" i="3"/>
  <c r="V34" i="3" s="1"/>
  <c r="T84" i="3"/>
  <c r="S84" i="3"/>
  <c r="H29" i="3"/>
  <c r="F29" i="3"/>
  <c r="G29" i="3" s="1"/>
  <c r="I61" i="3"/>
  <c r="J61" i="3" s="1"/>
  <c r="G61" i="3"/>
  <c r="S71" i="3"/>
  <c r="T71" i="3"/>
  <c r="R39" i="3"/>
  <c r="T39" i="3" s="1"/>
  <c r="U39" i="3" s="1"/>
  <c r="V39" i="3" s="1"/>
  <c r="I62" i="3"/>
  <c r="J62" i="3" s="1"/>
  <c r="G62" i="3"/>
  <c r="G83" i="3"/>
  <c r="I83" i="3"/>
  <c r="J83" i="3" s="1"/>
  <c r="U16" i="3"/>
  <c r="V16" i="3" s="1"/>
  <c r="T61" i="3"/>
  <c r="S61" i="3"/>
  <c r="U61" i="3" s="1"/>
  <c r="V61" i="3" s="1"/>
  <c r="T74" i="3"/>
  <c r="S74" i="3"/>
  <c r="U74" i="3" s="1"/>
  <c r="V74" i="3" s="1"/>
  <c r="H40" i="3"/>
  <c r="F40" i="3"/>
  <c r="G40" i="3" s="1"/>
  <c r="U24" i="3"/>
  <c r="V24" i="3" s="1"/>
  <c r="R24" i="3"/>
  <c r="T86" i="3"/>
  <c r="S86" i="3"/>
  <c r="I79" i="3"/>
  <c r="J79" i="3" s="1"/>
  <c r="G79" i="3"/>
  <c r="H34" i="3"/>
  <c r="F34" i="3"/>
  <c r="G34" i="3" s="1"/>
  <c r="H51" i="3"/>
  <c r="F51" i="3"/>
  <c r="R13" i="3"/>
  <c r="O19" i="3"/>
  <c r="L19" i="3"/>
  <c r="T56" i="3"/>
  <c r="S56" i="3"/>
  <c r="H31" i="3"/>
  <c r="F31" i="3"/>
  <c r="G31" i="3" s="1"/>
  <c r="H24" i="3"/>
  <c r="F24" i="3"/>
  <c r="G24" i="3" s="1"/>
  <c r="O66" i="3"/>
  <c r="L66" i="3"/>
  <c r="H30" i="3"/>
  <c r="F30" i="3"/>
  <c r="G30" i="3" s="1"/>
  <c r="H20" i="3"/>
  <c r="F20" i="3"/>
  <c r="G20" i="3" s="1"/>
  <c r="H53" i="3"/>
  <c r="F53" i="3"/>
  <c r="I75" i="3"/>
  <c r="J75" i="3" s="1"/>
  <c r="G75" i="3"/>
  <c r="H18" i="3"/>
  <c r="F18" i="3"/>
  <c r="G18" i="3" s="1"/>
  <c r="I70" i="3"/>
  <c r="J70" i="3" s="1"/>
  <c r="G70" i="3"/>
  <c r="T87" i="3"/>
  <c r="S87" i="3"/>
  <c r="H51" i="2"/>
  <c r="F51" i="2"/>
  <c r="H56" i="2"/>
  <c r="F56" i="2"/>
  <c r="H86" i="2"/>
  <c r="F86" i="2"/>
  <c r="H44" i="2"/>
  <c r="F44" i="2"/>
  <c r="G44" i="2" s="1"/>
  <c r="F57" i="2"/>
  <c r="H57" i="2"/>
  <c r="H87" i="2"/>
  <c r="F87" i="2"/>
  <c r="H50" i="2"/>
  <c r="F50" i="2"/>
  <c r="G50" i="2" s="1"/>
  <c r="H37" i="2"/>
  <c r="F37" i="2"/>
  <c r="G37" i="2" s="1"/>
  <c r="H91" i="2"/>
  <c r="F91" i="2"/>
  <c r="H94" i="2"/>
  <c r="F94" i="2"/>
  <c r="H52" i="2"/>
  <c r="F52" i="2"/>
  <c r="I92" i="2"/>
  <c r="J92" i="2" s="1"/>
  <c r="G92" i="2"/>
  <c r="H39" i="2"/>
  <c r="F39" i="2"/>
  <c r="G39" i="2" s="1"/>
  <c r="F49" i="2"/>
  <c r="G49" i="2" s="1"/>
  <c r="H49" i="2"/>
  <c r="H27" i="2"/>
  <c r="F27" i="2"/>
  <c r="G27" i="2" s="1"/>
  <c r="H95" i="2"/>
  <c r="F95" i="2"/>
  <c r="F53" i="2"/>
  <c r="H53" i="2"/>
  <c r="H47" i="2"/>
  <c r="F47" i="2"/>
  <c r="G47" i="2" s="1"/>
  <c r="H75" i="2"/>
  <c r="F75" i="2"/>
  <c r="F45" i="2"/>
  <c r="G45" i="2" s="1"/>
  <c r="H45" i="2"/>
  <c r="H32" i="2"/>
  <c r="F32" i="2"/>
  <c r="G32" i="2" s="1"/>
  <c r="H72" i="2"/>
  <c r="F72" i="2"/>
  <c r="F89" i="2"/>
  <c r="H89" i="2"/>
  <c r="F24" i="2"/>
  <c r="G24" i="2" s="1"/>
  <c r="H24" i="2"/>
  <c r="H20" i="2"/>
  <c r="F20" i="2"/>
  <c r="G20" i="2" s="1"/>
  <c r="H54" i="2"/>
  <c r="F54" i="2"/>
  <c r="F61" i="2"/>
  <c r="H61" i="2"/>
  <c r="H25" i="2"/>
  <c r="F25" i="2"/>
  <c r="G25" i="2" s="1"/>
  <c r="I96" i="2"/>
  <c r="J96" i="2" s="1"/>
  <c r="G96" i="2"/>
  <c r="H21" i="2"/>
  <c r="F21" i="2"/>
  <c r="G21" i="2" s="1"/>
  <c r="F17" i="2"/>
  <c r="G17" i="2" s="1"/>
  <c r="H17" i="2"/>
  <c r="S94" i="2"/>
  <c r="U94" i="2" s="1"/>
  <c r="V94" i="2" s="1"/>
  <c r="W94" i="2" s="1"/>
  <c r="S90" i="2"/>
  <c r="U90" i="2" s="1"/>
  <c r="V90" i="2" s="1"/>
  <c r="W90" i="2" s="1"/>
  <c r="S86" i="2"/>
  <c r="U86" i="2" s="1"/>
  <c r="V86" i="2" s="1"/>
  <c r="W86" i="2" s="1"/>
  <c r="S82" i="2"/>
  <c r="U82" i="2" s="1"/>
  <c r="V82" i="2" s="1"/>
  <c r="W82" i="2" s="1"/>
  <c r="S78" i="2"/>
  <c r="U78" i="2" s="1"/>
  <c r="V78" i="2" s="1"/>
  <c r="W78" i="2" s="1"/>
  <c r="S74" i="2"/>
  <c r="U74" i="2" s="1"/>
  <c r="V74" i="2" s="1"/>
  <c r="W74" i="2" s="1"/>
  <c r="S70" i="2"/>
  <c r="U70" i="2" s="1"/>
  <c r="V70" i="2" s="1"/>
  <c r="W70" i="2" s="1"/>
  <c r="S66" i="2"/>
  <c r="U66" i="2" s="1"/>
  <c r="V66" i="2" s="1"/>
  <c r="W66" i="2" s="1"/>
  <c r="S62" i="2"/>
  <c r="U62" i="2" s="1"/>
  <c r="V62" i="2" s="1"/>
  <c r="W62" i="2" s="1"/>
  <c r="S58" i="2"/>
  <c r="U58" i="2" s="1"/>
  <c r="V58" i="2" s="1"/>
  <c r="W58" i="2" s="1"/>
  <c r="S54" i="2"/>
  <c r="U54" i="2" s="1"/>
  <c r="V54" i="2" s="1"/>
  <c r="W54" i="2" s="1"/>
  <c r="S50" i="2"/>
  <c r="U50" i="2" s="1"/>
  <c r="V50" i="2" s="1"/>
  <c r="W50" i="2" s="1"/>
  <c r="S97" i="2"/>
  <c r="U97" i="2" s="1"/>
  <c r="V97" i="2" s="1"/>
  <c r="W97" i="2" s="1"/>
  <c r="S95" i="2"/>
  <c r="U95" i="2" s="1"/>
  <c r="V95" i="2" s="1"/>
  <c r="W95" i="2" s="1"/>
  <c r="S91" i="2"/>
  <c r="U91" i="2" s="1"/>
  <c r="V91" i="2" s="1"/>
  <c r="W91" i="2" s="1"/>
  <c r="S87" i="2"/>
  <c r="U87" i="2" s="1"/>
  <c r="V87" i="2" s="1"/>
  <c r="W87" i="2" s="1"/>
  <c r="S83" i="2"/>
  <c r="U83" i="2" s="1"/>
  <c r="V83" i="2" s="1"/>
  <c r="W83" i="2" s="1"/>
  <c r="S79" i="2"/>
  <c r="U79" i="2" s="1"/>
  <c r="V79" i="2" s="1"/>
  <c r="W79" i="2" s="1"/>
  <c r="S75" i="2"/>
  <c r="U75" i="2" s="1"/>
  <c r="V75" i="2" s="1"/>
  <c r="W75" i="2" s="1"/>
  <c r="S71" i="2"/>
  <c r="U71" i="2" s="1"/>
  <c r="V71" i="2" s="1"/>
  <c r="W71" i="2" s="1"/>
  <c r="S67" i="2"/>
  <c r="U67" i="2" s="1"/>
  <c r="V67" i="2" s="1"/>
  <c r="W67" i="2" s="1"/>
  <c r="S63" i="2"/>
  <c r="U63" i="2" s="1"/>
  <c r="V63" i="2" s="1"/>
  <c r="W63" i="2" s="1"/>
  <c r="S59" i="2"/>
  <c r="U59" i="2" s="1"/>
  <c r="V59" i="2" s="1"/>
  <c r="W59" i="2" s="1"/>
  <c r="S55" i="2"/>
  <c r="U55" i="2" s="1"/>
  <c r="V55" i="2" s="1"/>
  <c r="W55" i="2" s="1"/>
  <c r="S51" i="2"/>
  <c r="U51" i="2" s="1"/>
  <c r="V51" i="2" s="1"/>
  <c r="W51" i="2" s="1"/>
  <c r="S96" i="2"/>
  <c r="U96" i="2" s="1"/>
  <c r="V96" i="2" s="1"/>
  <c r="W96" i="2" s="1"/>
  <c r="S92" i="2"/>
  <c r="U92" i="2" s="1"/>
  <c r="V92" i="2" s="1"/>
  <c r="W92" i="2" s="1"/>
  <c r="S88" i="2"/>
  <c r="U88" i="2" s="1"/>
  <c r="V88" i="2" s="1"/>
  <c r="W88" i="2" s="1"/>
  <c r="S84" i="2"/>
  <c r="U84" i="2" s="1"/>
  <c r="V84" i="2" s="1"/>
  <c r="W84" i="2" s="1"/>
  <c r="S80" i="2"/>
  <c r="U80" i="2" s="1"/>
  <c r="V80" i="2" s="1"/>
  <c r="W80" i="2" s="1"/>
  <c r="S76" i="2"/>
  <c r="U76" i="2" s="1"/>
  <c r="V76" i="2" s="1"/>
  <c r="W76" i="2" s="1"/>
  <c r="S72" i="2"/>
  <c r="U72" i="2" s="1"/>
  <c r="V72" i="2" s="1"/>
  <c r="W72" i="2" s="1"/>
  <c r="S68" i="2"/>
  <c r="U68" i="2" s="1"/>
  <c r="V68" i="2" s="1"/>
  <c r="W68" i="2" s="1"/>
  <c r="S64" i="2"/>
  <c r="U64" i="2" s="1"/>
  <c r="V64" i="2" s="1"/>
  <c r="W64" i="2" s="1"/>
  <c r="S60" i="2"/>
  <c r="U60" i="2" s="1"/>
  <c r="V60" i="2" s="1"/>
  <c r="W60" i="2" s="1"/>
  <c r="S56" i="2"/>
  <c r="U56" i="2" s="1"/>
  <c r="V56" i="2" s="1"/>
  <c r="W56" i="2" s="1"/>
  <c r="S52" i="2"/>
  <c r="U52" i="2" s="1"/>
  <c r="V52" i="2" s="1"/>
  <c r="W52" i="2" s="1"/>
  <c r="S48" i="2"/>
  <c r="U48" i="2" s="1"/>
  <c r="V48" i="2" s="1"/>
  <c r="W48" i="2" s="1"/>
  <c r="S93" i="2"/>
  <c r="U93" i="2" s="1"/>
  <c r="V93" i="2" s="1"/>
  <c r="W93" i="2" s="1"/>
  <c r="S89" i="2"/>
  <c r="U89" i="2" s="1"/>
  <c r="V89" i="2" s="1"/>
  <c r="W89" i="2" s="1"/>
  <c r="S85" i="2"/>
  <c r="U85" i="2" s="1"/>
  <c r="V85" i="2" s="1"/>
  <c r="W85" i="2" s="1"/>
  <c r="S81" i="2"/>
  <c r="U81" i="2" s="1"/>
  <c r="V81" i="2" s="1"/>
  <c r="W81" i="2" s="1"/>
  <c r="S77" i="2"/>
  <c r="U77" i="2" s="1"/>
  <c r="V77" i="2" s="1"/>
  <c r="W77" i="2" s="1"/>
  <c r="S73" i="2"/>
  <c r="U73" i="2" s="1"/>
  <c r="V73" i="2" s="1"/>
  <c r="W73" i="2" s="1"/>
  <c r="S69" i="2"/>
  <c r="U69" i="2" s="1"/>
  <c r="V69" i="2" s="1"/>
  <c r="W69" i="2" s="1"/>
  <c r="S65" i="2"/>
  <c r="U65" i="2" s="1"/>
  <c r="V65" i="2" s="1"/>
  <c r="W65" i="2" s="1"/>
  <c r="S61" i="2"/>
  <c r="U61" i="2" s="1"/>
  <c r="V61" i="2" s="1"/>
  <c r="W61" i="2" s="1"/>
  <c r="S57" i="2"/>
  <c r="U57" i="2" s="1"/>
  <c r="V57" i="2" s="1"/>
  <c r="W57" i="2" s="1"/>
  <c r="S53" i="2"/>
  <c r="U53" i="2" s="1"/>
  <c r="V53" i="2" s="1"/>
  <c r="W53" i="2" s="1"/>
  <c r="S49" i="2"/>
  <c r="U49" i="2" s="1"/>
  <c r="V49" i="2" s="1"/>
  <c r="W49" i="2" s="1"/>
  <c r="S42" i="2"/>
  <c r="U42" i="2" s="1"/>
  <c r="V42" i="2" s="1"/>
  <c r="W42" i="2" s="1"/>
  <c r="S40" i="2"/>
  <c r="U40" i="2" s="1"/>
  <c r="V40" i="2" s="1"/>
  <c r="W40" i="2" s="1"/>
  <c r="S22" i="2"/>
  <c r="U22" i="2" s="1"/>
  <c r="V22" i="2" s="1"/>
  <c r="W22" i="2" s="1"/>
  <c r="S15" i="2"/>
  <c r="U15" i="2" s="1"/>
  <c r="V15" i="2" s="1"/>
  <c r="W15" i="2" s="1"/>
  <c r="S13" i="2"/>
  <c r="U13" i="2" s="1"/>
  <c r="V13" i="2" s="1"/>
  <c r="W13" i="2" s="1"/>
  <c r="S24" i="2"/>
  <c r="U24" i="2" s="1"/>
  <c r="V24" i="2" s="1"/>
  <c r="W24" i="2" s="1"/>
  <c r="S46" i="2"/>
  <c r="U46" i="2" s="1"/>
  <c r="V46" i="2" s="1"/>
  <c r="W46" i="2" s="1"/>
  <c r="S31" i="2"/>
  <c r="U31" i="2" s="1"/>
  <c r="V31" i="2" s="1"/>
  <c r="W31" i="2" s="1"/>
  <c r="S27" i="2"/>
  <c r="U27" i="2" s="1"/>
  <c r="V27" i="2" s="1"/>
  <c r="W27" i="2" s="1"/>
  <c r="S30" i="2"/>
  <c r="U30" i="2" s="1"/>
  <c r="V30" i="2" s="1"/>
  <c r="W30" i="2" s="1"/>
  <c r="S19" i="2"/>
  <c r="U19" i="2" s="1"/>
  <c r="V19" i="2" s="1"/>
  <c r="W19" i="2" s="1"/>
  <c r="S37" i="2"/>
  <c r="U37" i="2" s="1"/>
  <c r="V37" i="2" s="1"/>
  <c r="W37" i="2" s="1"/>
  <c r="S25" i="2"/>
  <c r="U25" i="2" s="1"/>
  <c r="V25" i="2" s="1"/>
  <c r="W25" i="2" s="1"/>
  <c r="S43" i="2"/>
  <c r="U43" i="2" s="1"/>
  <c r="V43" i="2" s="1"/>
  <c r="W43" i="2" s="1"/>
  <c r="S34" i="2"/>
  <c r="U34" i="2" s="1"/>
  <c r="V34" i="2" s="1"/>
  <c r="W34" i="2" s="1"/>
  <c r="S32" i="2"/>
  <c r="U32" i="2" s="1"/>
  <c r="V32" i="2" s="1"/>
  <c r="W32" i="2" s="1"/>
  <c r="S28" i="2"/>
  <c r="U28" i="2" s="1"/>
  <c r="V28" i="2" s="1"/>
  <c r="W28" i="2" s="1"/>
  <c r="E13" i="2"/>
  <c r="S17" i="2"/>
  <c r="U17" i="2" s="1"/>
  <c r="V17" i="2" s="1"/>
  <c r="W17" i="2" s="1"/>
  <c r="S38" i="2"/>
  <c r="U38" i="2" s="1"/>
  <c r="V38" i="2" s="1"/>
  <c r="W38" i="2" s="1"/>
  <c r="S44" i="2"/>
  <c r="U44" i="2" s="1"/>
  <c r="V44" i="2" s="1"/>
  <c r="W44" i="2" s="1"/>
  <c r="S35" i="2"/>
  <c r="U35" i="2" s="1"/>
  <c r="V35" i="2" s="1"/>
  <c r="W35" i="2" s="1"/>
  <c r="S29" i="2"/>
  <c r="U29" i="2" s="1"/>
  <c r="V29" i="2" s="1"/>
  <c r="W29" i="2" s="1"/>
  <c r="S39" i="2"/>
  <c r="U39" i="2" s="1"/>
  <c r="V39" i="2" s="1"/>
  <c r="W39" i="2" s="1"/>
  <c r="S21" i="2"/>
  <c r="U21" i="2" s="1"/>
  <c r="V21" i="2" s="1"/>
  <c r="W21" i="2" s="1"/>
  <c r="S36" i="2"/>
  <c r="U36" i="2" s="1"/>
  <c r="V36" i="2" s="1"/>
  <c r="W36" i="2" s="1"/>
  <c r="S45" i="2"/>
  <c r="U45" i="2" s="1"/>
  <c r="V45" i="2" s="1"/>
  <c r="W45" i="2" s="1"/>
  <c r="H58" i="2"/>
  <c r="F58" i="2"/>
  <c r="F65" i="2"/>
  <c r="H65" i="2"/>
  <c r="H18" i="2"/>
  <c r="F18" i="2"/>
  <c r="G18" i="2" s="1"/>
  <c r="H28" i="2"/>
  <c r="F28" i="2"/>
  <c r="G28" i="2" s="1"/>
  <c r="H76" i="2"/>
  <c r="F76" i="2"/>
  <c r="H63" i="2"/>
  <c r="F63" i="2"/>
  <c r="F19" i="2"/>
  <c r="G19" i="2" s="1"/>
  <c r="H19" i="2"/>
  <c r="H88" i="2"/>
  <c r="F88" i="2"/>
  <c r="H62" i="2"/>
  <c r="F62" i="2"/>
  <c r="H14" i="2"/>
  <c r="F14" i="2"/>
  <c r="G14" i="2" s="1"/>
  <c r="H67" i="2"/>
  <c r="F67" i="2"/>
  <c r="H15" i="2"/>
  <c r="F15" i="2"/>
  <c r="G15" i="2" s="1"/>
  <c r="H59" i="2"/>
  <c r="F59" i="2"/>
  <c r="F69" i="2"/>
  <c r="H69" i="2"/>
  <c r="H60" i="2"/>
  <c r="F60" i="2"/>
  <c r="H48" i="2"/>
  <c r="F48" i="2"/>
  <c r="G48" i="2" s="1"/>
  <c r="H66" i="2"/>
  <c r="F66" i="2"/>
  <c r="F73" i="2"/>
  <c r="H73" i="2"/>
  <c r="F36" i="2"/>
  <c r="G36" i="2" s="1"/>
  <c r="H36" i="2"/>
  <c r="H40" i="2"/>
  <c r="F40" i="2"/>
  <c r="G40" i="2" s="1"/>
  <c r="H70" i="2"/>
  <c r="F70" i="2"/>
  <c r="F77" i="2"/>
  <c r="H77" i="2"/>
  <c r="H43" i="2"/>
  <c r="F43" i="2"/>
  <c r="G43" i="2" s="1"/>
  <c r="H38" i="2"/>
  <c r="F38" i="2"/>
  <c r="G38" i="2" s="1"/>
  <c r="F30" i="2"/>
  <c r="G30" i="2" s="1"/>
  <c r="H30" i="2"/>
  <c r="H22" i="2"/>
  <c r="F22" i="2"/>
  <c r="G22" i="2" s="1"/>
  <c r="H71" i="2"/>
  <c r="F71" i="2"/>
  <c r="H74" i="2"/>
  <c r="F74" i="2"/>
  <c r="F81" i="2"/>
  <c r="H81" i="2"/>
  <c r="H41" i="2"/>
  <c r="F41" i="2"/>
  <c r="G41" i="2" s="1"/>
  <c r="H26" i="2"/>
  <c r="F26" i="2"/>
  <c r="G26" i="2" s="1"/>
  <c r="I31" i="2"/>
  <c r="J31" i="2" s="1"/>
  <c r="L31" i="2" s="1"/>
  <c r="F85" i="2"/>
  <c r="H85" i="2"/>
  <c r="H34" i="2"/>
  <c r="F34" i="2"/>
  <c r="G34" i="2" s="1"/>
  <c r="H82" i="2"/>
  <c r="F82" i="2"/>
  <c r="H84" i="2"/>
  <c r="F84" i="2"/>
  <c r="H78" i="2"/>
  <c r="F78" i="2"/>
  <c r="H79" i="2"/>
  <c r="F79" i="2"/>
  <c r="H23" i="2"/>
  <c r="F23" i="2"/>
  <c r="G23" i="2" s="1"/>
  <c r="H55" i="2"/>
  <c r="F55" i="2"/>
  <c r="H83" i="2"/>
  <c r="F83" i="2"/>
  <c r="F93" i="2"/>
  <c r="H93" i="2"/>
  <c r="H46" i="2"/>
  <c r="F46" i="2"/>
  <c r="G46" i="2" s="1"/>
  <c r="H90" i="2"/>
  <c r="F90" i="2"/>
  <c r="H16" i="2"/>
  <c r="F16" i="2"/>
  <c r="G16" i="2" s="1"/>
  <c r="H68" i="2"/>
  <c r="F68" i="2"/>
  <c r="H35" i="2"/>
  <c r="F35" i="2"/>
  <c r="G35" i="2" s="1"/>
  <c r="I42" i="2"/>
  <c r="J42" i="2" s="1"/>
  <c r="D16" i="1"/>
  <c r="D20" i="1"/>
  <c r="D18" i="1"/>
  <c r="E18" i="1"/>
  <c r="E20" i="1"/>
  <c r="E16" i="1"/>
  <c r="S63" i="3" l="1"/>
  <c r="S79" i="3"/>
  <c r="I80" i="2"/>
  <c r="J80" i="2" s="1"/>
  <c r="N80" i="2" s="1"/>
  <c r="T68" i="3"/>
  <c r="I33" i="2"/>
  <c r="J33" i="2" s="1"/>
  <c r="L33" i="2" s="1"/>
  <c r="I29" i="2"/>
  <c r="J29" i="2" s="1"/>
  <c r="L29" i="2" s="1"/>
  <c r="M29" i="2" s="1"/>
  <c r="I45" i="2"/>
  <c r="J45" i="2" s="1"/>
  <c r="N45" i="2" s="1"/>
  <c r="I49" i="2"/>
  <c r="J49" i="2" s="1"/>
  <c r="O49" i="2" s="1"/>
  <c r="M31" i="2"/>
  <c r="I30" i="2"/>
  <c r="J30" i="2" s="1"/>
  <c r="L30" i="2" s="1"/>
  <c r="M30" i="2" s="1"/>
  <c r="I24" i="2"/>
  <c r="J24" i="2" s="1"/>
  <c r="L24" i="2" s="1"/>
  <c r="M24" i="2" s="1"/>
  <c r="I14" i="3"/>
  <c r="J14" i="3" s="1"/>
  <c r="O14" i="3" s="1"/>
  <c r="M33" i="2"/>
  <c r="G64" i="2"/>
  <c r="I40" i="3"/>
  <c r="J40" i="3" s="1"/>
  <c r="L40" i="3" s="1"/>
  <c r="L16" i="3"/>
  <c r="I36" i="2"/>
  <c r="J36" i="2" s="1"/>
  <c r="L36" i="2" s="1"/>
  <c r="M36" i="2" s="1"/>
  <c r="I22" i="3"/>
  <c r="J22" i="3" s="1"/>
  <c r="L22" i="3" s="1"/>
  <c r="I15" i="2"/>
  <c r="J15" i="2" s="1"/>
  <c r="L15" i="2" s="1"/>
  <c r="M15" i="2" s="1"/>
  <c r="I32" i="2"/>
  <c r="J32" i="2" s="1"/>
  <c r="L32" i="2" s="1"/>
  <c r="M32" i="2" s="1"/>
  <c r="I44" i="2"/>
  <c r="J44" i="2" s="1"/>
  <c r="L44" i="2" s="1"/>
  <c r="M44" i="2" s="1"/>
  <c r="I23" i="2"/>
  <c r="J23" i="2" s="1"/>
  <c r="L23" i="2" s="1"/>
  <c r="M23" i="2" s="1"/>
  <c r="I29" i="3"/>
  <c r="J29" i="3" s="1"/>
  <c r="O29" i="3" s="1"/>
  <c r="U59" i="3"/>
  <c r="V59" i="3" s="1"/>
  <c r="I15" i="3"/>
  <c r="J15" i="3" s="1"/>
  <c r="O15" i="3" s="1"/>
  <c r="U83" i="3"/>
  <c r="V83" i="3" s="1"/>
  <c r="U84" i="3"/>
  <c r="V84" i="3" s="1"/>
  <c r="I22" i="2"/>
  <c r="J22" i="2" s="1"/>
  <c r="I40" i="2"/>
  <c r="J40" i="2" s="1"/>
  <c r="N40" i="2" s="1"/>
  <c r="I20" i="2"/>
  <c r="J20" i="2" s="1"/>
  <c r="L20" i="2" s="1"/>
  <c r="M20" i="2" s="1"/>
  <c r="I39" i="2"/>
  <c r="J39" i="2" s="1"/>
  <c r="L39" i="2" s="1"/>
  <c r="M39" i="2" s="1"/>
  <c r="I37" i="2"/>
  <c r="J37" i="2" s="1"/>
  <c r="L37" i="2" s="1"/>
  <c r="M37" i="2" s="1"/>
  <c r="I18" i="2"/>
  <c r="J18" i="2" s="1"/>
  <c r="L18" i="2" s="1"/>
  <c r="M18" i="2" s="1"/>
  <c r="I25" i="3"/>
  <c r="J25" i="3" s="1"/>
  <c r="I16" i="2"/>
  <c r="J16" i="2" s="1"/>
  <c r="L16" i="2" s="1"/>
  <c r="M16" i="2" s="1"/>
  <c r="I17" i="3"/>
  <c r="J17" i="3" s="1"/>
  <c r="O17" i="3" s="1"/>
  <c r="I27" i="3"/>
  <c r="J27" i="3" s="1"/>
  <c r="O27" i="3" s="1"/>
  <c r="U78" i="3"/>
  <c r="V78" i="3" s="1"/>
  <c r="I35" i="2"/>
  <c r="J35" i="2" s="1"/>
  <c r="L35" i="2" s="1"/>
  <c r="M35" i="2" s="1"/>
  <c r="U56" i="3"/>
  <c r="V56" i="3" s="1"/>
  <c r="I41" i="3"/>
  <c r="J41" i="3" s="1"/>
  <c r="L41" i="3" s="1"/>
  <c r="U76" i="3"/>
  <c r="V76" i="3" s="1"/>
  <c r="U29" i="3"/>
  <c r="V29" i="3" s="1"/>
  <c r="I32" i="3"/>
  <c r="J32" i="3" s="1"/>
  <c r="O32" i="3" s="1"/>
  <c r="I39" i="3"/>
  <c r="J39" i="3" s="1"/>
  <c r="O39" i="3" s="1"/>
  <c r="U80" i="3"/>
  <c r="V80" i="3" s="1"/>
  <c r="U70" i="3"/>
  <c r="V70" i="3" s="1"/>
  <c r="U71" i="3"/>
  <c r="V71" i="3" s="1"/>
  <c r="I38" i="3"/>
  <c r="J38" i="3" s="1"/>
  <c r="L38" i="3" s="1"/>
  <c r="I26" i="3"/>
  <c r="J26" i="3" s="1"/>
  <c r="O26" i="3" s="1"/>
  <c r="I18" i="3"/>
  <c r="J18" i="3" s="1"/>
  <c r="L18" i="3" s="1"/>
  <c r="I24" i="3"/>
  <c r="J24" i="3" s="1"/>
  <c r="O24" i="3" s="1"/>
  <c r="I13" i="3"/>
  <c r="J13" i="3" s="1"/>
  <c r="L13" i="3" s="1"/>
  <c r="I46" i="2"/>
  <c r="J46" i="2" s="1"/>
  <c r="P46" i="2" s="1"/>
  <c r="I14" i="2"/>
  <c r="J14" i="2" s="1"/>
  <c r="I28" i="2"/>
  <c r="J28" i="2" s="1"/>
  <c r="L28" i="2" s="1"/>
  <c r="M28" i="2" s="1"/>
  <c r="U60" i="3"/>
  <c r="V60" i="3" s="1"/>
  <c r="O76" i="3"/>
  <c r="L76" i="3"/>
  <c r="I23" i="3"/>
  <c r="J23" i="3" s="1"/>
  <c r="I36" i="3"/>
  <c r="J36" i="3" s="1"/>
  <c r="O85" i="3"/>
  <c r="L85" i="3"/>
  <c r="O75" i="3"/>
  <c r="L75" i="3"/>
  <c r="I31" i="3"/>
  <c r="J31" i="3" s="1"/>
  <c r="O61" i="3"/>
  <c r="L61" i="3"/>
  <c r="O64" i="3"/>
  <c r="L64" i="3"/>
  <c r="G47" i="3"/>
  <c r="I47" i="3"/>
  <c r="J47" i="3" s="1"/>
  <c r="L46" i="3"/>
  <c r="O46" i="3"/>
  <c r="L82" i="3"/>
  <c r="O82" i="3"/>
  <c r="U64" i="3"/>
  <c r="V64" i="3" s="1"/>
  <c r="O67" i="3"/>
  <c r="L67" i="3"/>
  <c r="O55" i="3"/>
  <c r="L55" i="3"/>
  <c r="I34" i="3"/>
  <c r="J34" i="3" s="1"/>
  <c r="I53" i="3"/>
  <c r="J53" i="3" s="1"/>
  <c r="G53" i="3"/>
  <c r="U63" i="3"/>
  <c r="V63" i="3" s="1"/>
  <c r="O79" i="3"/>
  <c r="L79" i="3"/>
  <c r="I44" i="3"/>
  <c r="J44" i="3" s="1"/>
  <c r="G44" i="3"/>
  <c r="U75" i="3"/>
  <c r="V75" i="3" s="1"/>
  <c r="G52" i="3"/>
  <c r="I52" i="3"/>
  <c r="J52" i="3" s="1"/>
  <c r="U87" i="3"/>
  <c r="V87" i="3" s="1"/>
  <c r="U86" i="3"/>
  <c r="V86" i="3" s="1"/>
  <c r="O83" i="3"/>
  <c r="L83" i="3"/>
  <c r="T65" i="3"/>
  <c r="S65" i="3"/>
  <c r="O74" i="3"/>
  <c r="L74" i="3"/>
  <c r="T81" i="3"/>
  <c r="S81" i="3"/>
  <c r="O81" i="3"/>
  <c r="L81" i="3"/>
  <c r="L77" i="3"/>
  <c r="O77" i="3"/>
  <c r="U72" i="3"/>
  <c r="V72" i="3" s="1"/>
  <c r="I50" i="3"/>
  <c r="J50" i="3" s="1"/>
  <c r="G50" i="3"/>
  <c r="U57" i="3"/>
  <c r="V57" i="3" s="1"/>
  <c r="U67" i="3"/>
  <c r="V67" i="3" s="1"/>
  <c r="U79" i="3"/>
  <c r="V79" i="3" s="1"/>
  <c r="S54" i="3"/>
  <c r="T54" i="3"/>
  <c r="I20" i="3"/>
  <c r="J20" i="3" s="1"/>
  <c r="T46" i="3"/>
  <c r="S46" i="3"/>
  <c r="U68" i="3"/>
  <c r="V68" i="3" s="1"/>
  <c r="I37" i="3"/>
  <c r="J37" i="3" s="1"/>
  <c r="I35" i="3"/>
  <c r="J35" i="3" s="1"/>
  <c r="U85" i="3"/>
  <c r="V85" i="3" s="1"/>
  <c r="O18" i="3"/>
  <c r="I49" i="3"/>
  <c r="J49" i="3" s="1"/>
  <c r="G49" i="3"/>
  <c r="O73" i="3"/>
  <c r="L73" i="3"/>
  <c r="I45" i="3"/>
  <c r="J45" i="3" s="1"/>
  <c r="G45" i="3"/>
  <c r="L25" i="3"/>
  <c r="O25" i="3"/>
  <c r="O33" i="3"/>
  <c r="L33" i="3"/>
  <c r="O62" i="3"/>
  <c r="L62" i="3"/>
  <c r="O63" i="3"/>
  <c r="L63" i="3"/>
  <c r="L70" i="3"/>
  <c r="O70" i="3"/>
  <c r="I30" i="3"/>
  <c r="J30" i="3" s="1"/>
  <c r="O86" i="3"/>
  <c r="L86" i="3"/>
  <c r="O87" i="3"/>
  <c r="L87" i="3"/>
  <c r="I21" i="3"/>
  <c r="J21" i="3" s="1"/>
  <c r="U69" i="3"/>
  <c r="V69" i="3" s="1"/>
  <c r="O57" i="3"/>
  <c r="L57" i="3"/>
  <c r="U55" i="3"/>
  <c r="V55" i="3" s="1"/>
  <c r="L24" i="3"/>
  <c r="O40" i="3"/>
  <c r="L60" i="3"/>
  <c r="O60" i="3"/>
  <c r="I42" i="3"/>
  <c r="J42" i="3" s="1"/>
  <c r="G42" i="3"/>
  <c r="O69" i="3"/>
  <c r="L69" i="3"/>
  <c r="U73" i="3"/>
  <c r="V73" i="3" s="1"/>
  <c r="I51" i="3"/>
  <c r="J51" i="3" s="1"/>
  <c r="G51" i="3"/>
  <c r="O59" i="3"/>
  <c r="L59" i="3"/>
  <c r="L32" i="3"/>
  <c r="U13" i="3"/>
  <c r="L72" i="3"/>
  <c r="O72" i="3"/>
  <c r="O71" i="3"/>
  <c r="L71" i="3"/>
  <c r="L84" i="3"/>
  <c r="O84" i="3"/>
  <c r="I48" i="3"/>
  <c r="J48" i="3" s="1"/>
  <c r="G48" i="3"/>
  <c r="I43" i="3"/>
  <c r="J43" i="3" s="1"/>
  <c r="G43" i="3"/>
  <c r="L65" i="3"/>
  <c r="O65" i="3"/>
  <c r="U37" i="3"/>
  <c r="V37" i="3" s="1"/>
  <c r="L58" i="3"/>
  <c r="O58" i="3"/>
  <c r="U66" i="3"/>
  <c r="V66" i="3" s="1"/>
  <c r="I85" i="2"/>
  <c r="J85" i="2" s="1"/>
  <c r="G85" i="2"/>
  <c r="I69" i="2"/>
  <c r="J69" i="2" s="1"/>
  <c r="G69" i="2"/>
  <c r="I65" i="2"/>
  <c r="J65" i="2" s="1"/>
  <c r="G65" i="2"/>
  <c r="H13" i="2"/>
  <c r="F13" i="2"/>
  <c r="G13" i="2" s="1"/>
  <c r="I52" i="2"/>
  <c r="J52" i="2" s="1"/>
  <c r="G52" i="2"/>
  <c r="I87" i="2"/>
  <c r="J87" i="2" s="1"/>
  <c r="G87" i="2"/>
  <c r="I68" i="2"/>
  <c r="J68" i="2" s="1"/>
  <c r="G68" i="2"/>
  <c r="I55" i="2"/>
  <c r="J55" i="2" s="1"/>
  <c r="G55" i="2"/>
  <c r="I41" i="2"/>
  <c r="J41" i="2" s="1"/>
  <c r="I38" i="2"/>
  <c r="J38" i="2" s="1"/>
  <c r="L38" i="2" s="1"/>
  <c r="M38" i="2" s="1"/>
  <c r="I59" i="2"/>
  <c r="J59" i="2" s="1"/>
  <c r="G59" i="2"/>
  <c r="I19" i="2"/>
  <c r="J19" i="2" s="1"/>
  <c r="L19" i="2" s="1"/>
  <c r="M19" i="2" s="1"/>
  <c r="I58" i="2"/>
  <c r="J58" i="2" s="1"/>
  <c r="G58" i="2"/>
  <c r="N96" i="2"/>
  <c r="L96" i="2"/>
  <c r="P96" i="2"/>
  <c r="O96" i="2"/>
  <c r="I89" i="2"/>
  <c r="J89" i="2" s="1"/>
  <c r="G89" i="2"/>
  <c r="I53" i="2"/>
  <c r="J53" i="2" s="1"/>
  <c r="G53" i="2"/>
  <c r="P42" i="2"/>
  <c r="O42" i="2"/>
  <c r="N42" i="2"/>
  <c r="L42" i="2"/>
  <c r="M42" i="2" s="1"/>
  <c r="I72" i="2"/>
  <c r="J72" i="2" s="1"/>
  <c r="G72" i="2"/>
  <c r="I95" i="2"/>
  <c r="J95" i="2" s="1"/>
  <c r="G95" i="2"/>
  <c r="I84" i="2"/>
  <c r="J84" i="2" s="1"/>
  <c r="G84" i="2"/>
  <c r="I73" i="2"/>
  <c r="J73" i="2" s="1"/>
  <c r="G73" i="2"/>
  <c r="I82" i="2"/>
  <c r="J82" i="2" s="1"/>
  <c r="G82" i="2"/>
  <c r="I81" i="2"/>
  <c r="J81" i="2" s="1"/>
  <c r="G81" i="2"/>
  <c r="I43" i="2"/>
  <c r="J43" i="2" s="1"/>
  <c r="I66" i="2"/>
  <c r="J66" i="2" s="1"/>
  <c r="G66" i="2"/>
  <c r="I63" i="2"/>
  <c r="J63" i="2" s="1"/>
  <c r="G63" i="2"/>
  <c r="I25" i="2"/>
  <c r="J25" i="2" s="1"/>
  <c r="N64" i="2"/>
  <c r="L64" i="2"/>
  <c r="P64" i="2"/>
  <c r="O64" i="2"/>
  <c r="I57" i="2"/>
  <c r="J57" i="2" s="1"/>
  <c r="G57" i="2"/>
  <c r="I94" i="2"/>
  <c r="J94" i="2" s="1"/>
  <c r="G94" i="2"/>
  <c r="I90" i="2"/>
  <c r="J90" i="2" s="1"/>
  <c r="G90" i="2"/>
  <c r="I67" i="2"/>
  <c r="J67" i="2" s="1"/>
  <c r="G67" i="2"/>
  <c r="I61" i="2"/>
  <c r="J61" i="2" s="1"/>
  <c r="G61" i="2"/>
  <c r="I27" i="2"/>
  <c r="J27" i="2" s="1"/>
  <c r="L27" i="2" s="1"/>
  <c r="M27" i="2" s="1"/>
  <c r="I74" i="2"/>
  <c r="J74" i="2" s="1"/>
  <c r="G74" i="2"/>
  <c r="I76" i="2"/>
  <c r="J76" i="2" s="1"/>
  <c r="G76" i="2"/>
  <c r="I70" i="2"/>
  <c r="J70" i="2" s="1"/>
  <c r="G70" i="2"/>
  <c r="I54" i="2"/>
  <c r="J54" i="2" s="1"/>
  <c r="G54" i="2"/>
  <c r="I91" i="2"/>
  <c r="J91" i="2" s="1"/>
  <c r="G91" i="2"/>
  <c r="I86" i="2"/>
  <c r="J86" i="2" s="1"/>
  <c r="G86" i="2"/>
  <c r="P31" i="2"/>
  <c r="O31" i="2"/>
  <c r="N31" i="2"/>
  <c r="I79" i="2"/>
  <c r="J79" i="2" s="1"/>
  <c r="G79" i="2"/>
  <c r="I77" i="2"/>
  <c r="J77" i="2" s="1"/>
  <c r="G77" i="2"/>
  <c r="I34" i="2"/>
  <c r="J34" i="2" s="1"/>
  <c r="L34" i="2" s="1"/>
  <c r="M34" i="2" s="1"/>
  <c r="I71" i="2"/>
  <c r="J71" i="2" s="1"/>
  <c r="G71" i="2"/>
  <c r="I48" i="2"/>
  <c r="J48" i="2" s="1"/>
  <c r="I78" i="2"/>
  <c r="J78" i="2" s="1"/>
  <c r="G78" i="2"/>
  <c r="I60" i="2"/>
  <c r="J60" i="2" s="1"/>
  <c r="G60" i="2"/>
  <c r="I17" i="2"/>
  <c r="J17" i="2" s="1"/>
  <c r="L17" i="2" s="1"/>
  <c r="M17" i="2" s="1"/>
  <c r="I75" i="2"/>
  <c r="J75" i="2" s="1"/>
  <c r="G75" i="2"/>
  <c r="I56" i="2"/>
  <c r="J56" i="2" s="1"/>
  <c r="P56" i="2" s="1"/>
  <c r="G56" i="2"/>
  <c r="I62" i="2"/>
  <c r="J62" i="2" s="1"/>
  <c r="G62" i="2"/>
  <c r="I93" i="2"/>
  <c r="J93" i="2" s="1"/>
  <c r="G93" i="2"/>
  <c r="N36" i="2"/>
  <c r="I51" i="2"/>
  <c r="J51" i="2" s="1"/>
  <c r="G51" i="2"/>
  <c r="L80" i="2"/>
  <c r="P80" i="2"/>
  <c r="O80" i="2"/>
  <c r="I83" i="2"/>
  <c r="J83" i="2" s="1"/>
  <c r="G83" i="2"/>
  <c r="I26" i="2"/>
  <c r="J26" i="2" s="1"/>
  <c r="I88" i="2"/>
  <c r="J88" i="2" s="1"/>
  <c r="G88" i="2"/>
  <c r="I21" i="2"/>
  <c r="J21" i="2" s="1"/>
  <c r="L21" i="2" s="1"/>
  <c r="M21" i="2" s="1"/>
  <c r="I47" i="2"/>
  <c r="J47" i="2" s="1"/>
  <c r="N92" i="2"/>
  <c r="L92" i="2"/>
  <c r="P92" i="2"/>
  <c r="O92" i="2"/>
  <c r="I50" i="2"/>
  <c r="J50" i="2" s="1"/>
  <c r="P45" i="2" l="1"/>
  <c r="Q45" i="2" s="1"/>
  <c r="O45" i="2"/>
  <c r="O29" i="2"/>
  <c r="L17" i="3"/>
  <c r="L14" i="3"/>
  <c r="O30" i="2"/>
  <c r="O39" i="2"/>
  <c r="P18" i="2"/>
  <c r="P20" i="2"/>
  <c r="R20" i="2" s="1"/>
  <c r="N33" i="2"/>
  <c r="O33" i="2"/>
  <c r="N23" i="2"/>
  <c r="L49" i="2"/>
  <c r="M49" i="2" s="1"/>
  <c r="P33" i="2"/>
  <c r="N30" i="2"/>
  <c r="P49" i="2"/>
  <c r="Q49" i="2" s="1"/>
  <c r="P29" i="2"/>
  <c r="Q29" i="2" s="1"/>
  <c r="N24" i="2"/>
  <c r="N29" i="2"/>
  <c r="N16" i="2"/>
  <c r="O24" i="2"/>
  <c r="L45" i="2"/>
  <c r="M45" i="2" s="1"/>
  <c r="O44" i="2"/>
  <c r="O16" i="2"/>
  <c r="P24" i="2"/>
  <c r="Q24" i="2" s="1"/>
  <c r="O28" i="2"/>
  <c r="N49" i="2"/>
  <c r="O23" i="2"/>
  <c r="P23" i="2"/>
  <c r="R23" i="2" s="1"/>
  <c r="L25" i="2"/>
  <c r="M25" i="2" s="1"/>
  <c r="R26" i="2"/>
  <c r="Q26" i="2"/>
  <c r="P16" i="2"/>
  <c r="R16" i="2" s="1"/>
  <c r="L41" i="2"/>
  <c r="M41" i="2" s="1"/>
  <c r="P41" i="2"/>
  <c r="R56" i="2"/>
  <c r="Q56" i="2"/>
  <c r="L14" i="2"/>
  <c r="M14" i="2" s="1"/>
  <c r="P14" i="2"/>
  <c r="L26" i="2"/>
  <c r="M26" i="2" s="1"/>
  <c r="P26" i="2"/>
  <c r="N35" i="2"/>
  <c r="K53" i="2"/>
  <c r="K55" i="2"/>
  <c r="K52" i="2"/>
  <c r="K59" i="2"/>
  <c r="K62" i="2"/>
  <c r="K61" i="2"/>
  <c r="K51" i="2"/>
  <c r="K60" i="2"/>
  <c r="K58" i="2"/>
  <c r="K57" i="2"/>
  <c r="K56" i="2"/>
  <c r="K54" i="2"/>
  <c r="O22" i="3"/>
  <c r="O36" i="2"/>
  <c r="L29" i="3"/>
  <c r="P36" i="2"/>
  <c r="Q36" i="2" s="1"/>
  <c r="T88" i="3"/>
  <c r="O38" i="3"/>
  <c r="P30" i="2"/>
  <c r="Q30" i="2" s="1"/>
  <c r="P39" i="2"/>
  <c r="Q39" i="2" s="1"/>
  <c r="P44" i="2"/>
  <c r="R44" i="2" s="1"/>
  <c r="L27" i="3"/>
  <c r="L15" i="3"/>
  <c r="O20" i="2"/>
  <c r="O15" i="2"/>
  <c r="K72" i="2"/>
  <c r="K84" i="2"/>
  <c r="K96" i="2"/>
  <c r="M96" i="2" s="1"/>
  <c r="K73" i="2"/>
  <c r="K85" i="2"/>
  <c r="K63" i="2"/>
  <c r="K74" i="2"/>
  <c r="K86" i="2"/>
  <c r="K79" i="2"/>
  <c r="K64" i="2"/>
  <c r="M64" i="2" s="1"/>
  <c r="K76" i="2"/>
  <c r="K88" i="2"/>
  <c r="K65" i="2"/>
  <c r="K77" i="2"/>
  <c r="K89" i="2"/>
  <c r="K66" i="2"/>
  <c r="K78" i="2"/>
  <c r="K90" i="2"/>
  <c r="K67" i="2"/>
  <c r="K68" i="2"/>
  <c r="K80" i="2"/>
  <c r="M80" i="2" s="1"/>
  <c r="K92" i="2"/>
  <c r="M92" i="2" s="1"/>
  <c r="K69" i="2"/>
  <c r="K81" i="2"/>
  <c r="K93" i="2"/>
  <c r="K87" i="2"/>
  <c r="K70" i="2"/>
  <c r="K82" i="2"/>
  <c r="K94" i="2"/>
  <c r="K75" i="2"/>
  <c r="K91" i="2"/>
  <c r="K71" i="2"/>
  <c r="K83" i="2"/>
  <c r="K95" i="2"/>
  <c r="U81" i="3"/>
  <c r="V81" i="3" s="1"/>
  <c r="N39" i="2"/>
  <c r="N15" i="2"/>
  <c r="P15" i="2"/>
  <c r="R15" i="2" s="1"/>
  <c r="N20" i="2"/>
  <c r="O14" i="2"/>
  <c r="O37" i="2"/>
  <c r="O32" i="2"/>
  <c r="P37" i="2"/>
  <c r="Q37" i="2" s="1"/>
  <c r="P32" i="2"/>
  <c r="Q32" i="2" s="1"/>
  <c r="L40" i="2"/>
  <c r="M40" i="2" s="1"/>
  <c r="O40" i="2"/>
  <c r="O35" i="2"/>
  <c r="P22" i="2"/>
  <c r="R22" i="2" s="1"/>
  <c r="L22" i="2"/>
  <c r="M22" i="2" s="1"/>
  <c r="N44" i="2"/>
  <c r="N28" i="2"/>
  <c r="N32" i="2"/>
  <c r="P28" i="2"/>
  <c r="Q28" i="2" s="1"/>
  <c r="N18" i="2"/>
  <c r="O18" i="2"/>
  <c r="N37" i="2"/>
  <c r="N14" i="2"/>
  <c r="P35" i="2"/>
  <c r="Q35" i="2" s="1"/>
  <c r="U54" i="3"/>
  <c r="V54" i="3" s="1"/>
  <c r="N22" i="2"/>
  <c r="O22" i="2"/>
  <c r="O41" i="3"/>
  <c r="L26" i="3"/>
  <c r="O13" i="3"/>
  <c r="P40" i="2"/>
  <c r="R40" i="2" s="1"/>
  <c r="S88" i="3"/>
  <c r="J88" i="3"/>
  <c r="L46" i="2"/>
  <c r="M46" i="2" s="1"/>
  <c r="N46" i="2"/>
  <c r="O46" i="2"/>
  <c r="L39" i="3"/>
  <c r="L48" i="3"/>
  <c r="O48" i="3"/>
  <c r="O31" i="3"/>
  <c r="L31" i="3"/>
  <c r="O44" i="3"/>
  <c r="L44" i="3"/>
  <c r="O49" i="3"/>
  <c r="L49" i="3"/>
  <c r="O21" i="3"/>
  <c r="L21" i="3"/>
  <c r="O42" i="3"/>
  <c r="L42" i="3"/>
  <c r="O35" i="3"/>
  <c r="L35" i="3"/>
  <c r="O36" i="3"/>
  <c r="L36" i="3"/>
  <c r="L23" i="3"/>
  <c r="O23" i="3"/>
  <c r="O52" i="3"/>
  <c r="L52" i="3"/>
  <c r="L53" i="3"/>
  <c r="O53" i="3"/>
  <c r="O51" i="3"/>
  <c r="L51" i="3"/>
  <c r="O47" i="3"/>
  <c r="L47" i="3"/>
  <c r="U46" i="3"/>
  <c r="V46" i="3" s="1"/>
  <c r="L34" i="3"/>
  <c r="O34" i="3"/>
  <c r="O37" i="3"/>
  <c r="L37" i="3"/>
  <c r="V13" i="3"/>
  <c r="O30" i="3"/>
  <c r="L30" i="3"/>
  <c r="O45" i="3"/>
  <c r="L45" i="3"/>
  <c r="U65" i="3"/>
  <c r="V65" i="3" s="1"/>
  <c r="L20" i="3"/>
  <c r="O20" i="3"/>
  <c r="O43" i="3"/>
  <c r="L43" i="3"/>
  <c r="O50" i="3"/>
  <c r="L50" i="3"/>
  <c r="P90" i="2"/>
  <c r="O90" i="2"/>
  <c r="N90" i="2"/>
  <c r="L90" i="2"/>
  <c r="P62" i="2"/>
  <c r="O62" i="2"/>
  <c r="N62" i="2"/>
  <c r="L62" i="2"/>
  <c r="P34" i="2"/>
  <c r="O34" i="2"/>
  <c r="N34" i="2"/>
  <c r="L91" i="2"/>
  <c r="P91" i="2"/>
  <c r="O91" i="2"/>
  <c r="N91" i="2"/>
  <c r="P66" i="2"/>
  <c r="O66" i="2"/>
  <c r="N66" i="2"/>
  <c r="L66" i="2"/>
  <c r="R18" i="2"/>
  <c r="Q18" i="2"/>
  <c r="P27" i="2"/>
  <c r="O27" i="2"/>
  <c r="N27" i="2"/>
  <c r="L43" i="2"/>
  <c r="M43" i="2" s="1"/>
  <c r="P43" i="2"/>
  <c r="O43" i="2"/>
  <c r="N43" i="2"/>
  <c r="N84" i="2"/>
  <c r="L84" i="2"/>
  <c r="P84" i="2"/>
  <c r="O84" i="2"/>
  <c r="R42" i="2"/>
  <c r="Q42" i="2"/>
  <c r="L47" i="2"/>
  <c r="M47" i="2" s="1"/>
  <c r="P47" i="2"/>
  <c r="O47" i="2"/>
  <c r="N47" i="2"/>
  <c r="P77" i="2"/>
  <c r="O77" i="2"/>
  <c r="N77" i="2"/>
  <c r="L77" i="2"/>
  <c r="N76" i="2"/>
  <c r="L76" i="2"/>
  <c r="P76" i="2"/>
  <c r="O76" i="2"/>
  <c r="L87" i="2"/>
  <c r="P87" i="2"/>
  <c r="O87" i="2"/>
  <c r="N87" i="2"/>
  <c r="P93" i="2"/>
  <c r="O93" i="2"/>
  <c r="N93" i="2"/>
  <c r="L93" i="2"/>
  <c r="P54" i="2"/>
  <c r="O54" i="2"/>
  <c r="N54" i="2"/>
  <c r="L54" i="2"/>
  <c r="R92" i="2"/>
  <c r="Q92" i="2"/>
  <c r="L71" i="2"/>
  <c r="P71" i="2"/>
  <c r="O71" i="2"/>
  <c r="N71" i="2"/>
  <c r="P57" i="2"/>
  <c r="O57" i="2"/>
  <c r="N57" i="2"/>
  <c r="L57" i="2"/>
  <c r="P81" i="2"/>
  <c r="O81" i="2"/>
  <c r="N81" i="2"/>
  <c r="L81" i="2"/>
  <c r="P58" i="2"/>
  <c r="O58" i="2"/>
  <c r="N58" i="2"/>
  <c r="L58" i="2"/>
  <c r="P21" i="2"/>
  <c r="O21" i="2"/>
  <c r="N21" i="2"/>
  <c r="L95" i="2"/>
  <c r="P95" i="2"/>
  <c r="O95" i="2"/>
  <c r="N95" i="2"/>
  <c r="R80" i="2"/>
  <c r="Q80" i="2"/>
  <c r="L79" i="2"/>
  <c r="P79" i="2"/>
  <c r="O79" i="2"/>
  <c r="N79" i="2"/>
  <c r="P74" i="2"/>
  <c r="O74" i="2"/>
  <c r="N74" i="2"/>
  <c r="L74" i="2"/>
  <c r="P19" i="2"/>
  <c r="O19" i="2"/>
  <c r="N19" i="2"/>
  <c r="N52" i="2"/>
  <c r="L52" i="2"/>
  <c r="P52" i="2"/>
  <c r="O52" i="2"/>
  <c r="L63" i="2"/>
  <c r="P63" i="2"/>
  <c r="O63" i="2"/>
  <c r="N63" i="2"/>
  <c r="P94" i="2"/>
  <c r="O94" i="2"/>
  <c r="N94" i="2"/>
  <c r="L94" i="2"/>
  <c r="N72" i="2"/>
  <c r="L72" i="2"/>
  <c r="P72" i="2"/>
  <c r="O72" i="2"/>
  <c r="R46" i="2"/>
  <c r="Q46" i="2"/>
  <c r="N88" i="2"/>
  <c r="L88" i="2"/>
  <c r="P88" i="2"/>
  <c r="O88" i="2"/>
  <c r="P82" i="2"/>
  <c r="O82" i="2"/>
  <c r="N82" i="2"/>
  <c r="L82" i="2"/>
  <c r="N56" i="2"/>
  <c r="L56" i="2"/>
  <c r="O56" i="2"/>
  <c r="I13" i="2"/>
  <c r="J13" i="2" s="1"/>
  <c r="P61" i="2"/>
  <c r="O61" i="2"/>
  <c r="N61" i="2"/>
  <c r="L61" i="2"/>
  <c r="P38" i="2"/>
  <c r="O38" i="2"/>
  <c r="N38" i="2"/>
  <c r="L75" i="2"/>
  <c r="P75" i="2"/>
  <c r="O75" i="2"/>
  <c r="N75" i="2"/>
  <c r="P78" i="2"/>
  <c r="O78" i="2"/>
  <c r="N78" i="2"/>
  <c r="L78" i="2"/>
  <c r="R31" i="2"/>
  <c r="Q31" i="2"/>
  <c r="P25" i="2"/>
  <c r="O25" i="2"/>
  <c r="N25" i="2"/>
  <c r="O41" i="2"/>
  <c r="N41" i="2"/>
  <c r="P65" i="2"/>
  <c r="O65" i="2"/>
  <c r="N65" i="2"/>
  <c r="L65" i="2"/>
  <c r="R64" i="2"/>
  <c r="Q64" i="2"/>
  <c r="O26" i="2"/>
  <c r="N26" i="2"/>
  <c r="N60" i="2"/>
  <c r="L60" i="2"/>
  <c r="P60" i="2"/>
  <c r="O60" i="2"/>
  <c r="L59" i="2"/>
  <c r="P59" i="2"/>
  <c r="O59" i="2"/>
  <c r="N59" i="2"/>
  <c r="P73" i="2"/>
  <c r="O73" i="2"/>
  <c r="N73" i="2"/>
  <c r="L73" i="2"/>
  <c r="P53" i="2"/>
  <c r="O53" i="2"/>
  <c r="N53" i="2"/>
  <c r="L53" i="2"/>
  <c r="P50" i="2"/>
  <c r="O50" i="2"/>
  <c r="N50" i="2"/>
  <c r="L50" i="2"/>
  <c r="M50" i="2" s="1"/>
  <c r="P17" i="2"/>
  <c r="O17" i="2"/>
  <c r="N17" i="2"/>
  <c r="N48" i="2"/>
  <c r="P48" i="2"/>
  <c r="L48" i="2"/>
  <c r="M48" i="2" s="1"/>
  <c r="O48" i="2"/>
  <c r="L67" i="2"/>
  <c r="P67" i="2"/>
  <c r="O67" i="2"/>
  <c r="N67" i="2"/>
  <c r="P89" i="2"/>
  <c r="O89" i="2"/>
  <c r="N89" i="2"/>
  <c r="L89" i="2"/>
  <c r="L55" i="2"/>
  <c r="P55" i="2"/>
  <c r="O55" i="2"/>
  <c r="N55" i="2"/>
  <c r="P69" i="2"/>
  <c r="O69" i="2"/>
  <c r="N69" i="2"/>
  <c r="L69" i="2"/>
  <c r="R96" i="2"/>
  <c r="Q96" i="2"/>
  <c r="L83" i="2"/>
  <c r="P83" i="2"/>
  <c r="O83" i="2"/>
  <c r="N83" i="2"/>
  <c r="P86" i="2"/>
  <c r="O86" i="2"/>
  <c r="N86" i="2"/>
  <c r="L86" i="2"/>
  <c r="L51" i="2"/>
  <c r="P51" i="2"/>
  <c r="O51" i="2"/>
  <c r="N51" i="2"/>
  <c r="P70" i="2"/>
  <c r="O70" i="2"/>
  <c r="N70" i="2"/>
  <c r="L70" i="2"/>
  <c r="N68" i="2"/>
  <c r="L68" i="2"/>
  <c r="P68" i="2"/>
  <c r="O68" i="2"/>
  <c r="P85" i="2"/>
  <c r="O85" i="2"/>
  <c r="N85" i="2"/>
  <c r="L85" i="2"/>
  <c r="R45" i="2" l="1"/>
  <c r="R24" i="2"/>
  <c r="Q20" i="2"/>
  <c r="R36" i="2"/>
  <c r="R33" i="2"/>
  <c r="Q33" i="2"/>
  <c r="R29" i="2"/>
  <c r="R49" i="2"/>
  <c r="R28" i="2"/>
  <c r="Q22" i="2"/>
  <c r="Q23" i="2"/>
  <c r="R30" i="2"/>
  <c r="M71" i="2"/>
  <c r="M74" i="2"/>
  <c r="M90" i="2"/>
  <c r="M60" i="2"/>
  <c r="M87" i="2"/>
  <c r="Q16" i="2"/>
  <c r="M79" i="2"/>
  <c r="R35" i="2"/>
  <c r="M67" i="2"/>
  <c r="M91" i="2"/>
  <c r="Q44" i="2"/>
  <c r="M70" i="2"/>
  <c r="M59" i="2"/>
  <c r="R32" i="2"/>
  <c r="L13" i="2"/>
  <c r="M13" i="2" s="1"/>
  <c r="R14" i="2"/>
  <c r="Q14" i="2"/>
  <c r="Q41" i="2"/>
  <c r="R41" i="2"/>
  <c r="M72" i="2"/>
  <c r="M69" i="2"/>
  <c r="M76" i="2"/>
  <c r="M54" i="2"/>
  <c r="M95" i="2"/>
  <c r="M56" i="2"/>
  <c r="M57" i="2"/>
  <c r="M68" i="2"/>
  <c r="M86" i="2"/>
  <c r="M58" i="2"/>
  <c r="R39" i="2"/>
  <c r="M75" i="2"/>
  <c r="M63" i="2"/>
  <c r="M51" i="2"/>
  <c r="K97" i="2"/>
  <c r="M94" i="2"/>
  <c r="M78" i="2"/>
  <c r="M85" i="2"/>
  <c r="M61" i="2"/>
  <c r="M82" i="2"/>
  <c r="M66" i="2"/>
  <c r="M73" i="2"/>
  <c r="M62" i="2"/>
  <c r="M89" i="2"/>
  <c r="M77" i="2"/>
  <c r="M84" i="2"/>
  <c r="M52" i="2"/>
  <c r="M83" i="2"/>
  <c r="R37" i="2"/>
  <c r="M93" i="2"/>
  <c r="M65" i="2"/>
  <c r="M55" i="2"/>
  <c r="M81" i="2"/>
  <c r="M88" i="2"/>
  <c r="M53" i="2"/>
  <c r="Q15" i="2"/>
  <c r="Q40" i="2"/>
  <c r="L88" i="3"/>
  <c r="N88" i="3"/>
  <c r="V88" i="3"/>
  <c r="U88" i="3"/>
  <c r="R71" i="2"/>
  <c r="Q71" i="2"/>
  <c r="R34" i="2"/>
  <c r="Q34" i="2"/>
  <c r="R55" i="2"/>
  <c r="Q55" i="2"/>
  <c r="R67" i="2"/>
  <c r="Q67" i="2"/>
  <c r="R59" i="2"/>
  <c r="Q59" i="2"/>
  <c r="R87" i="2"/>
  <c r="Q87" i="2"/>
  <c r="R86" i="2"/>
  <c r="Q86" i="2"/>
  <c r="R78" i="2"/>
  <c r="Q78" i="2"/>
  <c r="R88" i="2"/>
  <c r="Q88" i="2"/>
  <c r="R58" i="2"/>
  <c r="Q58" i="2"/>
  <c r="Q77" i="2"/>
  <c r="R77" i="2"/>
  <c r="R70" i="2"/>
  <c r="Q70" i="2"/>
  <c r="R50" i="2"/>
  <c r="Q50" i="2"/>
  <c r="R25" i="2"/>
  <c r="Q25" i="2"/>
  <c r="Q61" i="2"/>
  <c r="R61" i="2"/>
  <c r="R94" i="2"/>
  <c r="Q94" i="2"/>
  <c r="R66" i="2"/>
  <c r="Q66" i="2"/>
  <c r="R68" i="2"/>
  <c r="Q68" i="2"/>
  <c r="R83" i="2"/>
  <c r="Q83" i="2"/>
  <c r="R75" i="2"/>
  <c r="Q75" i="2"/>
  <c r="J97" i="2"/>
  <c r="P13" i="2"/>
  <c r="O13" i="2"/>
  <c r="O97" i="2" s="1"/>
  <c r="N13" i="2"/>
  <c r="N97" i="2" s="1"/>
  <c r="R79" i="2"/>
  <c r="Q79" i="2"/>
  <c r="R95" i="2"/>
  <c r="Q95" i="2"/>
  <c r="R43" i="2"/>
  <c r="Q43" i="2"/>
  <c r="Q19" i="2"/>
  <c r="R19" i="2"/>
  <c r="Q81" i="2"/>
  <c r="R81" i="2"/>
  <c r="R62" i="2"/>
  <c r="Q62" i="2"/>
  <c r="R47" i="2"/>
  <c r="Q47" i="2"/>
  <c r="R48" i="2"/>
  <c r="Q48" i="2"/>
  <c r="Q65" i="2"/>
  <c r="R65" i="2"/>
  <c r="R63" i="2"/>
  <c r="Q63" i="2"/>
  <c r="R76" i="2"/>
  <c r="Q76" i="2"/>
  <c r="Q85" i="2"/>
  <c r="R85" i="2"/>
  <c r="Q53" i="2"/>
  <c r="R53" i="2"/>
  <c r="R60" i="2"/>
  <c r="Q60" i="2"/>
  <c r="R54" i="2"/>
  <c r="Q54" i="2"/>
  <c r="R51" i="2"/>
  <c r="Q51" i="2"/>
  <c r="R91" i="2"/>
  <c r="Q91" i="2"/>
  <c r="Q89" i="2"/>
  <c r="R89" i="2"/>
  <c r="R72" i="2"/>
  <c r="Q72" i="2"/>
  <c r="Q21" i="2"/>
  <c r="R21" i="2"/>
  <c r="Q57" i="2"/>
  <c r="R57" i="2"/>
  <c r="R27" i="2"/>
  <c r="Q27" i="2"/>
  <c r="R90" i="2"/>
  <c r="Q90" i="2"/>
  <c r="R38" i="2"/>
  <c r="Q38" i="2"/>
  <c r="Q69" i="2"/>
  <c r="R69" i="2"/>
  <c r="R17" i="2"/>
  <c r="Q17" i="2"/>
  <c r="Q73" i="2"/>
  <c r="R73" i="2"/>
  <c r="R82" i="2"/>
  <c r="Q82" i="2"/>
  <c r="R52" i="2"/>
  <c r="Q52" i="2"/>
  <c r="R74" i="2"/>
  <c r="Q74" i="2"/>
  <c r="Q93" i="2"/>
  <c r="R93" i="2"/>
  <c r="R84" i="2"/>
  <c r="Q84" i="2"/>
  <c r="F19" i="1" l="1"/>
  <c r="C19" i="1" s="1"/>
  <c r="P97" i="2"/>
  <c r="F21" i="1" s="1"/>
  <c r="R13" i="2"/>
  <c r="R97" i="2" s="1"/>
  <c r="Q13" i="2"/>
  <c r="L97" i="2"/>
  <c r="M97" i="2"/>
  <c r="G19" i="1" l="1"/>
  <c r="D19" i="1"/>
  <c r="E19" i="1"/>
  <c r="F23" i="1"/>
  <c r="D23" i="1" s="1"/>
  <c r="D21" i="1"/>
  <c r="C21" i="1"/>
  <c r="G21" i="1"/>
  <c r="E21" i="1"/>
  <c r="Q97" i="2"/>
  <c r="F22" i="1" l="1"/>
  <c r="D22" i="1" s="1"/>
  <c r="D25" i="1" s="1"/>
  <c r="D26" i="1" s="1"/>
  <c r="R98" i="2"/>
  <c r="R100" i="2" s="1"/>
  <c r="C23" i="1"/>
  <c r="E23" i="1"/>
  <c r="G23" i="1"/>
  <c r="E22" i="1" l="1"/>
  <c r="E25" i="1" s="1"/>
  <c r="E26" i="1" s="1"/>
  <c r="G22" i="1"/>
  <c r="C22" i="1"/>
  <c r="C25" i="1" s="1"/>
  <c r="F25" i="1" s="1"/>
  <c r="F26" i="1" s="1"/>
  <c r="G25" i="1"/>
  <c r="G26" i="1" s="1"/>
  <c r="C26" i="1"/>
</calcChain>
</file>

<file path=xl/sharedStrings.xml><?xml version="1.0" encoding="utf-8"?>
<sst xmlns="http://schemas.openxmlformats.org/spreadsheetml/2006/main" count="289" uniqueCount="164">
  <si>
    <t>ASEO NORTE DE SANTANDER Y ARAUCA</t>
  </si>
  <si>
    <t>ASECOLBA</t>
  </si>
  <si>
    <t>C-092-2025</t>
  </si>
  <si>
    <t>PORCENTAJES</t>
  </si>
  <si>
    <t>Numero CDP</t>
  </si>
  <si>
    <t>Valor max adicionar</t>
  </si>
  <si>
    <t>REGIS, PRESU 2025</t>
  </si>
  <si>
    <t>N/A</t>
  </si>
  <si>
    <t>REGIS, PRESU 2026</t>
  </si>
  <si>
    <t>UNIDAD</t>
  </si>
  <si>
    <t>U2</t>
  </si>
  <si>
    <t>U8</t>
  </si>
  <si>
    <t>U9</t>
  </si>
  <si>
    <t>total</t>
  </si>
  <si>
    <t>CONTRATO-2025</t>
  </si>
  <si>
    <t>DISMINUCION No 01 saldo 2025</t>
  </si>
  <si>
    <t>CONTRATO-2026</t>
  </si>
  <si>
    <t>TOTAL</t>
  </si>
  <si>
    <t>PAGOS</t>
  </si>
  <si>
    <t>FECHA</t>
  </si>
  <si>
    <t>% de avance</t>
  </si>
  <si>
    <t>FECHA DE FACTURACIÓN sugerida</t>
  </si>
  <si>
    <t>No factura</t>
  </si>
  <si>
    <t>ESTADO</t>
  </si>
  <si>
    <t>3 dias de noviembre 2025 por 19 operarios T,C.</t>
  </si>
  <si>
    <t xml:space="preserve">ELA No </t>
  </si>
  <si>
    <t>APROBADA TACITAMENTE</t>
  </si>
  <si>
    <t>ELA No 5086</t>
  </si>
  <si>
    <t>APROBADA 26 DIC/2025</t>
  </si>
  <si>
    <t>QUEDA</t>
  </si>
  <si>
    <t>CORREO:</t>
  </si>
  <si>
    <t>siifnacion.facturaelectronica@minhacienda.gov.co</t>
  </si>
  <si>
    <t>CODIGO PCI UNIDAD 02</t>
  </si>
  <si>
    <r>
      <t>#$27-01-01-</t>
    </r>
    <r>
      <rPr>
        <b/>
        <sz val="12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17;C-092-2025;jgamboave@cendoj.ramajudicial.gov.co#$</t>
    </r>
  </si>
  <si>
    <t>CODIGO PCI UNIDAD 08</t>
  </si>
  <si>
    <r>
      <t>#$27-01-01-</t>
    </r>
    <r>
      <rPr>
        <b/>
        <sz val="12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17;C-092-2025;jgamboave@cendoj.ramajudicial.gov.co#$</t>
    </r>
  </si>
  <si>
    <t>CODIGO PCI UNIDAD 09</t>
  </si>
  <si>
    <r>
      <t>#$27-01-01-</t>
    </r>
    <r>
      <rPr>
        <b/>
        <sz val="12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17;C-092-2025;jgamboave@cendoj.ramajudicial.gov.co#$</t>
    </r>
  </si>
  <si>
    <t>SALARIOS 2025</t>
  </si>
  <si>
    <t>SALARIOS 2026</t>
  </si>
  <si>
    <t>INSUMOS</t>
  </si>
  <si>
    <t>TIEMPO COMPLETO</t>
  </si>
  <si>
    <t>MEDIO TIEMPO</t>
  </si>
  <si>
    <t>COORDINADOR</t>
  </si>
  <si>
    <t xml:space="preserve">3 HORAS 3 DIAS A LA SEMANA </t>
  </si>
  <si>
    <t>AIU (%)</t>
  </si>
  <si>
    <t>COSTO MENSUAL POR OPERARIO</t>
  </si>
  <si>
    <t>COSTO MES OPERARIO + 2.4% INCREMENTO</t>
  </si>
  <si>
    <t xml:space="preserve">IMPLEMENTOS </t>
  </si>
  <si>
    <t>TOTAL COSTO MES MAS IMPLEMENTOS</t>
  </si>
  <si>
    <t>VALOR DEL 01/ENE/2023 AL 30/JUN/2023</t>
  </si>
  <si>
    <t>MUNICIPIOS</t>
  </si>
  <si>
    <t>UBICACIÓN</t>
  </si>
  <si>
    <t>Cantidad</t>
  </si>
  <si>
    <t xml:space="preserve">Costo  </t>
  </si>
  <si>
    <t>Subtotal</t>
  </si>
  <si>
    <t>Base Gravable</t>
  </si>
  <si>
    <t>IVA (19%)</t>
  </si>
  <si>
    <t>Total Costo Mensual por operario</t>
  </si>
  <si>
    <t>Total Costo Mes X insumos de aseo</t>
  </si>
  <si>
    <t>V, medios humanos</t>
  </si>
  <si>
    <t>V, Insumos</t>
  </si>
  <si>
    <t>Total</t>
  </si>
  <si>
    <t>CUCUTA</t>
  </si>
  <si>
    <t>Palacio Justicia Cúcuta torre A (PISO No 1)</t>
  </si>
  <si>
    <t>Palacio Justicia Cúcuta torre A (PISO No 2)</t>
  </si>
  <si>
    <t>Palacio Justicia Cúcuta torre A (PISO No 3)</t>
  </si>
  <si>
    <t>Palacio Justicia Cúcuta torre A (PISO No 4)</t>
  </si>
  <si>
    <t>Palacio Justicia Cúcuta torre B (PISO 1 y 2)</t>
  </si>
  <si>
    <t>Palacio Justicia Cúcuta torre C (PISO 1)</t>
  </si>
  <si>
    <t>Palacio Justicia Cúcuta torre C (PISO 2)</t>
  </si>
  <si>
    <t>Palacio Justicia Cúcuta torre C (PISO 3)</t>
  </si>
  <si>
    <t>Palacio Justicia Cúcuta torre C (PISO 4)</t>
  </si>
  <si>
    <t>Palacio Justicia Cúcuta torre C (Sotanos y archivos)</t>
  </si>
  <si>
    <t>SEDE CESPA</t>
  </si>
  <si>
    <t>JUZGADO BANCO DE BOGOTA</t>
  </si>
  <si>
    <t>JUZGADOS ATALAYA</t>
  </si>
  <si>
    <t>TEMIS</t>
  </si>
  <si>
    <t>EDIFICIO LEYDI</t>
  </si>
  <si>
    <t>MANTENIMIENTO CON ALTURAS</t>
  </si>
  <si>
    <t>PATIOS</t>
  </si>
  <si>
    <t>PALACIO DE JUSTICIA PATIOS</t>
  </si>
  <si>
    <t>PAMPLONA</t>
  </si>
  <si>
    <t>Palacio Justicia de Pamplona</t>
  </si>
  <si>
    <t>OCAÑA</t>
  </si>
  <si>
    <t>Palacio de Justicia de Ocaña</t>
  </si>
  <si>
    <t>ARAUCA</t>
  </si>
  <si>
    <t>CESPA ARAUCA  3</t>
  </si>
  <si>
    <t>PALACIO DE JUSTICIA ARAUCA VIEJO</t>
  </si>
  <si>
    <t>MANTENIMIENTO CON ALTURAS (P.J.VIEJO)</t>
  </si>
  <si>
    <t>Palacio de Justicia de Arauca NUEVO  1</t>
  </si>
  <si>
    <t>MANTENIMIENTO CON ALTURAS (NUEVO)</t>
  </si>
  <si>
    <t>JUZGADO PROMISCUO TAME</t>
  </si>
  <si>
    <t>Juzgado penales saravena</t>
  </si>
  <si>
    <t>VILLA ROSARIO</t>
  </si>
  <si>
    <t>Edificio los pinos Juzgados Prom, Municipales de vila Rosario</t>
  </si>
  <si>
    <t>Juzgado 01, 02 y 03 Pequeñas causasy competencia Multiple LA LIBERTAD y Atalaya</t>
  </si>
  <si>
    <t>TARRA</t>
  </si>
  <si>
    <t>Juzgado Tarra</t>
  </si>
  <si>
    <t>SAN CALIXTO</t>
  </si>
  <si>
    <t>Juzgado san Calixto</t>
  </si>
  <si>
    <t>Edificio Leidy</t>
  </si>
  <si>
    <t>Promiscuo Circuito Saravena</t>
  </si>
  <si>
    <t>Promiscuo Familia Saravena</t>
  </si>
  <si>
    <t>Juzgado Cravo Norte</t>
  </si>
  <si>
    <t>Juzgado Fortul</t>
  </si>
  <si>
    <t>Juzgado Puerto Rondon</t>
  </si>
  <si>
    <t>Juzgado Arauquita</t>
  </si>
  <si>
    <t>Municipios 3*3</t>
  </si>
  <si>
    <t>Cubara</t>
  </si>
  <si>
    <t>Bochalema</t>
  </si>
  <si>
    <t>Zulia</t>
  </si>
  <si>
    <t>Tibu</t>
  </si>
  <si>
    <t xml:space="preserve">Puerto santander </t>
  </si>
  <si>
    <t xml:space="preserve">Chitaga  </t>
  </si>
  <si>
    <t xml:space="preserve">Ragonvalia  </t>
  </si>
  <si>
    <t xml:space="preserve">Herran  </t>
  </si>
  <si>
    <t xml:space="preserve">Gramalote  </t>
  </si>
  <si>
    <t xml:space="preserve">Labateca </t>
  </si>
  <si>
    <t xml:space="preserve">Sardinata </t>
  </si>
  <si>
    <t>Villa Caro</t>
  </si>
  <si>
    <t>Cacota</t>
  </si>
  <si>
    <t>Arboledas</t>
  </si>
  <si>
    <t>Pamplonita</t>
  </si>
  <si>
    <t>Rio de Oro</t>
  </si>
  <si>
    <t>Gonzalez Cesar</t>
  </si>
  <si>
    <t xml:space="preserve">Abrego </t>
  </si>
  <si>
    <t>BUCARASICA</t>
  </si>
  <si>
    <t>CONVENCION</t>
  </si>
  <si>
    <t>CUCUTILLA</t>
  </si>
  <si>
    <t>DURANIA</t>
  </si>
  <si>
    <t>EL CARMEN</t>
  </si>
  <si>
    <t>LA PLAYA</t>
  </si>
  <si>
    <t>LOURDES</t>
  </si>
  <si>
    <t>MUTISCUA</t>
  </si>
  <si>
    <t>SALAZAR</t>
  </si>
  <si>
    <t>SANTIAGO</t>
  </si>
  <si>
    <t>CHINACOTA</t>
  </si>
  <si>
    <t>HACARI</t>
  </si>
  <si>
    <t>SILOS</t>
  </si>
  <si>
    <t>SAN CAYETANO</t>
  </si>
  <si>
    <t>TEORAMA</t>
  </si>
  <si>
    <t>TOLEDO</t>
  </si>
  <si>
    <t>VIGENCIA 2025</t>
  </si>
  <si>
    <t>NOVIEMBRE DEL 19-30 DEL 2025
(12 Dias)</t>
  </si>
  <si>
    <t>Diciembre del 01 al 30 2025
(30 Dias)
insumos (medio tiempo y 3*3, 15 dias),</t>
  </si>
  <si>
    <t>COSTO MES OPERARIO + 23,2 % DE INCREMENTO PARA 2026</t>
  </si>
  <si>
    <t>INSUMOS DE ASEO</t>
  </si>
  <si>
    <t>TOTAL MES OPERARIO CON INSUMOS DE ASEO VIGENCICA 2026</t>
  </si>
  <si>
    <t>ENERO DEL 2026</t>
  </si>
  <si>
    <t>total enero</t>
  </si>
  <si>
    <t>total enero sin insumos</t>
  </si>
  <si>
    <t>TOTAL SERVICIO A 30 DE JUNIO 2026</t>
  </si>
  <si>
    <t>VALOR DE RP's 2026</t>
  </si>
  <si>
    <t>DISPONIBLE PARA PAGO DE OPERARIOS O INSUMOS</t>
  </si>
  <si>
    <t>ENERO 2026</t>
  </si>
  <si>
    <t>FEBRERO 2026</t>
  </si>
  <si>
    <t>(MES COMPLETO)</t>
  </si>
  <si>
    <t>CONDICIONES ACTUALES DEL CONTRATO - COSTO MENSUAL POR OPERARIO DE CONFORMIDAD A LA MODIFICACION 2</t>
  </si>
  <si>
    <t>CONDICIONES CONTRATO CON LA MODIFICACION 3</t>
  </si>
  <si>
    <t>MARZO 2026</t>
  </si>
  <si>
    <t>ABIRL 2026</t>
  </si>
  <si>
    <t>MAYO 2026</t>
  </si>
  <si>
    <t>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</si>
</sst>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"/>
    <numFmt numFmtId="167" formatCode="&quot;$&quot;\ #,##0.00"/>
    <numFmt numFmtId="168" formatCode="mmmm\-yyyy"/>
    <numFmt numFmtId="169" formatCode="_-* #,##0.00\ _€_-;\-* #,##0.00\ _€_-;_-* &quot;-&quot;??\ _€_-;_-@_-"/>
    <numFmt numFmtId="170" formatCode="_(* #,##0.00_);_(* \(#,##0.00\);_(* &quot;-&quot;??_);_(@_)"/>
    <numFmt numFmtId="171" formatCode="_(* #,##0_);_(* \(#,##0\);_(* &quot;-&quot;??_);_(@_)"/>
    <numFmt numFmtId="172" formatCode="#,##0.0_);\(#,##0.0\)"/>
    <numFmt numFmtId="173" formatCode="_-&quot;$&quot;\ * #,##0_-;\-&quot;$&quot;\ * #,##0_-;_-&quot;$&quot;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Antique Olive Roman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b/>
      <u/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 Narrow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9" fontId="10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93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5" fillId="0" borderId="0" xfId="0" applyFont="1"/>
    <xf numFmtId="10" fontId="6" fillId="0" borderId="6" xfId="0" applyNumberFormat="1" applyFon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" fontId="0" fillId="0" borderId="6" xfId="3" applyNumberFormat="1" applyFon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6" xfId="0" applyBorder="1"/>
    <xf numFmtId="10" fontId="0" fillId="0" borderId="6" xfId="3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5" fontId="0" fillId="0" borderId="0" xfId="2" applyFont="1" applyBorder="1" applyAlignment="1">
      <alignment horizontal="center" vertical="center"/>
    </xf>
    <xf numFmtId="166" fontId="0" fillId="0" borderId="6" xfId="0" applyNumberFormat="1" applyBorder="1"/>
    <xf numFmtId="166" fontId="0" fillId="0" borderId="0" xfId="0" applyNumberForma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7" fontId="0" fillId="0" borderId="6" xfId="0" applyNumberFormat="1" applyBorder="1"/>
    <xf numFmtId="167" fontId="0" fillId="0" borderId="0" xfId="0" applyNumberFormat="1"/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0" xfId="3" applyFont="1"/>
    <xf numFmtId="0" fontId="0" fillId="0" borderId="12" xfId="0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 wrapText="1"/>
    </xf>
    <xf numFmtId="167" fontId="0" fillId="5" borderId="6" xfId="0" applyNumberFormat="1" applyFill="1" applyBorder="1" applyAlignment="1">
      <alignment horizontal="right" vertical="center"/>
    </xf>
    <xf numFmtId="4" fontId="0" fillId="5" borderId="6" xfId="0" applyNumberFormat="1" applyFill="1" applyBorder="1" applyAlignment="1">
      <alignment horizontal="right" vertical="center"/>
    </xf>
    <xf numFmtId="10" fontId="0" fillId="0" borderId="6" xfId="3" applyNumberFormat="1" applyFont="1" applyFill="1" applyBorder="1" applyAlignment="1">
      <alignment horizontal="center" vertical="center"/>
    </xf>
    <xf numFmtId="14" fontId="0" fillId="6" borderId="6" xfId="3" applyNumberFormat="1" applyFont="1" applyFill="1" applyBorder="1" applyAlignment="1">
      <alignment horizontal="center" vertical="center"/>
    </xf>
    <xf numFmtId="0" fontId="8" fillId="0" borderId="13" xfId="0" applyFont="1" applyBorder="1"/>
    <xf numFmtId="168" fontId="0" fillId="0" borderId="6" xfId="0" applyNumberFormat="1" applyBorder="1" applyAlignment="1">
      <alignment horizontal="center" vertical="center"/>
    </xf>
    <xf numFmtId="167" fontId="0" fillId="5" borderId="6" xfId="0" applyNumberFormat="1" applyFill="1" applyBorder="1"/>
    <xf numFmtId="4" fontId="0" fillId="5" borderId="6" xfId="0" applyNumberFormat="1" applyFill="1" applyBorder="1" applyAlignment="1">
      <alignment horizontal="right"/>
    </xf>
    <xf numFmtId="4" fontId="0" fillId="0" borderId="6" xfId="0" applyNumberFormat="1" applyBorder="1" applyAlignment="1">
      <alignment horizontal="right"/>
    </xf>
    <xf numFmtId="14" fontId="0" fillId="6" borderId="6" xfId="0" applyNumberFormat="1" applyFill="1" applyBorder="1" applyAlignment="1">
      <alignment horizontal="center" vertical="center"/>
    </xf>
    <xf numFmtId="4" fontId="0" fillId="0" borderId="0" xfId="0" applyNumberFormat="1"/>
    <xf numFmtId="166" fontId="0" fillId="0" borderId="16" xfId="0" applyNumberFormat="1" applyBorder="1"/>
    <xf numFmtId="10" fontId="0" fillId="0" borderId="16" xfId="3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4" xfId="0" applyBorder="1"/>
    <xf numFmtId="4" fontId="0" fillId="0" borderId="5" xfId="0" applyNumberFormat="1" applyBorder="1"/>
    <xf numFmtId="10" fontId="0" fillId="0" borderId="0" xfId="3" applyNumberFormat="1" applyFont="1" applyBorder="1"/>
    <xf numFmtId="164" fontId="0" fillId="0" borderId="0" xfId="0" applyNumberForma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3" fillId="0" borderId="0" xfId="0" applyFont="1"/>
    <xf numFmtId="43" fontId="3" fillId="0" borderId="0" xfId="1" applyFont="1"/>
    <xf numFmtId="43" fontId="0" fillId="0" borderId="0" xfId="1" applyFont="1"/>
    <xf numFmtId="0" fontId="3" fillId="0" borderId="6" xfId="0" applyFont="1" applyBorder="1" applyAlignment="1">
      <alignment wrapText="1"/>
    </xf>
    <xf numFmtId="43" fontId="3" fillId="0" borderId="6" xfId="1" applyFont="1" applyBorder="1"/>
    <xf numFmtId="43" fontId="0" fillId="0" borderId="6" xfId="1" applyFont="1" applyBorder="1"/>
    <xf numFmtId="43" fontId="0" fillId="0" borderId="0" xfId="0" applyNumberFormat="1"/>
    <xf numFmtId="43" fontId="3" fillId="0" borderId="6" xfId="0" applyNumberFormat="1" applyFont="1" applyBorder="1"/>
    <xf numFmtId="43" fontId="3" fillId="2" borderId="6" xfId="0" applyNumberFormat="1" applyFont="1" applyFill="1" applyBorder="1"/>
    <xf numFmtId="43" fontId="3" fillId="7" borderId="6" xfId="0" applyNumberFormat="1" applyFont="1" applyFill="1" applyBorder="1"/>
    <xf numFmtId="9" fontId="3" fillId="0" borderId="6" xfId="0" applyNumberFormat="1" applyFont="1" applyBorder="1"/>
    <xf numFmtId="43" fontId="0" fillId="0" borderId="0" xfId="1" applyFont="1" applyBorder="1"/>
    <xf numFmtId="171" fontId="11" fillId="8" borderId="31" xfId="6" applyNumberFormat="1" applyFont="1" applyFill="1" applyBorder="1" applyAlignment="1">
      <alignment horizontal="center" vertical="center" wrapText="1"/>
    </xf>
    <xf numFmtId="171" fontId="11" fillId="8" borderId="25" xfId="6" applyNumberFormat="1" applyFont="1" applyFill="1" applyBorder="1" applyAlignment="1">
      <alignment horizontal="center" vertical="center" wrapText="1"/>
    </xf>
    <xf numFmtId="171" fontId="11" fillId="8" borderId="16" xfId="6" applyNumberFormat="1" applyFont="1" applyFill="1" applyBorder="1" applyAlignment="1">
      <alignment horizontal="center" vertical="center" wrapText="1"/>
    </xf>
    <xf numFmtId="171" fontId="12" fillId="8" borderId="16" xfId="6" applyNumberFormat="1" applyFont="1" applyFill="1" applyBorder="1" applyAlignment="1">
      <alignment horizontal="center" vertical="center" wrapText="1"/>
    </xf>
    <xf numFmtId="43" fontId="11" fillId="4" borderId="6" xfId="1" applyFont="1" applyFill="1" applyBorder="1" applyAlignment="1">
      <alignment horizontal="center" vertical="center" wrapText="1"/>
    </xf>
    <xf numFmtId="171" fontId="11" fillId="8" borderId="33" xfId="6" applyNumberFormat="1" applyFont="1" applyFill="1" applyBorder="1" applyAlignment="1">
      <alignment horizontal="center" vertical="center" wrapText="1"/>
    </xf>
    <xf numFmtId="1" fontId="15" fillId="0" borderId="35" xfId="6" applyNumberFormat="1" applyFont="1" applyFill="1" applyBorder="1" applyAlignment="1">
      <alignment horizontal="center" wrapText="1"/>
    </xf>
    <xf numFmtId="43" fontId="15" fillId="0" borderId="35" xfId="1" applyFont="1" applyFill="1" applyBorder="1" applyAlignment="1">
      <alignment horizontal="center" wrapText="1"/>
    </xf>
    <xf numFmtId="43" fontId="15" fillId="0" borderId="6" xfId="1" applyFont="1" applyFill="1" applyBorder="1" applyAlignment="1">
      <alignment wrapText="1"/>
    </xf>
    <xf numFmtId="171" fontId="15" fillId="0" borderId="6" xfId="6" applyNumberFormat="1" applyFont="1" applyFill="1" applyBorder="1" applyAlignment="1">
      <alignment wrapText="1"/>
    </xf>
    <xf numFmtId="43" fontId="15" fillId="0" borderId="17" xfId="1" applyFont="1" applyFill="1" applyBorder="1" applyAlignment="1">
      <alignment wrapText="1"/>
    </xf>
    <xf numFmtId="43" fontId="15" fillId="8" borderId="6" xfId="1" applyFont="1" applyFill="1" applyBorder="1" applyAlignment="1">
      <alignment wrapText="1"/>
    </xf>
    <xf numFmtId="43" fontId="15" fillId="8" borderId="36" xfId="1" applyFont="1" applyFill="1" applyBorder="1" applyAlignment="1">
      <alignment wrapText="1"/>
    </xf>
    <xf numFmtId="171" fontId="15" fillId="8" borderId="37" xfId="6" applyNumberFormat="1" applyFont="1" applyFill="1" applyBorder="1" applyAlignment="1">
      <alignment wrapText="1"/>
    </xf>
    <xf numFmtId="171" fontId="15" fillId="8" borderId="36" xfId="6" applyNumberFormat="1" applyFont="1" applyFill="1" applyBorder="1" applyAlignment="1">
      <alignment wrapText="1"/>
    </xf>
    <xf numFmtId="171" fontId="15" fillId="8" borderId="16" xfId="6" applyNumberFormat="1" applyFont="1" applyFill="1" applyBorder="1" applyAlignment="1">
      <alignment wrapText="1"/>
    </xf>
    <xf numFmtId="171" fontId="15" fillId="8" borderId="6" xfId="6" applyNumberFormat="1" applyFont="1" applyFill="1" applyBorder="1" applyAlignment="1">
      <alignment wrapText="1"/>
    </xf>
    <xf numFmtId="1" fontId="15" fillId="2" borderId="16" xfId="6" applyNumberFormat="1" applyFont="1" applyFill="1" applyBorder="1" applyAlignment="1">
      <alignment horizontal="center" wrapText="1"/>
    </xf>
    <xf numFmtId="43" fontId="15" fillId="0" borderId="16" xfId="1" applyFont="1" applyFill="1" applyBorder="1" applyAlignment="1">
      <alignment horizontal="center" wrapText="1"/>
    </xf>
    <xf numFmtId="1" fontId="15" fillId="0" borderId="6" xfId="6" applyNumberFormat="1" applyFont="1" applyFill="1" applyBorder="1" applyAlignment="1">
      <alignment horizontal="center" wrapText="1"/>
    </xf>
    <xf numFmtId="43" fontId="15" fillId="0" borderId="6" xfId="1" applyFont="1" applyFill="1" applyBorder="1" applyAlignment="1">
      <alignment horizontal="center" wrapText="1"/>
    </xf>
    <xf numFmtId="1" fontId="15" fillId="2" borderId="6" xfId="6" applyNumberFormat="1" applyFont="1" applyFill="1" applyBorder="1" applyAlignment="1">
      <alignment horizontal="center" wrapText="1"/>
    </xf>
    <xf numFmtId="1" fontId="15" fillId="0" borderId="6" xfId="6" applyNumberFormat="1" applyFont="1" applyFill="1" applyBorder="1" applyAlignment="1">
      <alignment horizontal="center" vertical="center" wrapText="1"/>
    </xf>
    <xf numFmtId="1" fontId="15" fillId="2" borderId="6" xfId="6" applyNumberFormat="1" applyFont="1" applyFill="1" applyBorder="1" applyAlignment="1">
      <alignment horizontal="center" vertical="center" wrapText="1"/>
    </xf>
    <xf numFmtId="37" fontId="10" fillId="0" borderId="6" xfId="5" applyNumberFormat="1" applyFont="1" applyFill="1" applyBorder="1" applyAlignment="1">
      <alignment wrapText="1"/>
    </xf>
    <xf numFmtId="37" fontId="10" fillId="0" borderId="6" xfId="5" applyNumberFormat="1" applyFont="1" applyFill="1" applyBorder="1" applyAlignment="1">
      <alignment vertical="center" wrapText="1"/>
    </xf>
    <xf numFmtId="1" fontId="15" fillId="10" borderId="6" xfId="6" applyNumberFormat="1" applyFont="1" applyFill="1" applyBorder="1" applyAlignment="1">
      <alignment horizontal="center" vertical="center" wrapText="1"/>
    </xf>
    <xf numFmtId="43" fontId="15" fillId="10" borderId="6" xfId="1" applyFont="1" applyFill="1" applyBorder="1" applyAlignment="1">
      <alignment horizontal="center" wrapText="1"/>
    </xf>
    <xf numFmtId="43" fontId="15" fillId="10" borderId="6" xfId="1" applyFont="1" applyFill="1" applyBorder="1" applyAlignment="1">
      <alignment wrapText="1"/>
    </xf>
    <xf numFmtId="171" fontId="15" fillId="10" borderId="6" xfId="6" applyNumberFormat="1" applyFont="1" applyFill="1" applyBorder="1" applyAlignment="1">
      <alignment wrapText="1"/>
    </xf>
    <xf numFmtId="43" fontId="15" fillId="10" borderId="17" xfId="1" applyFont="1" applyFill="1" applyBorder="1" applyAlignment="1">
      <alignment wrapText="1"/>
    </xf>
    <xf numFmtId="171" fontId="15" fillId="10" borderId="37" xfId="6" applyNumberFormat="1" applyFont="1" applyFill="1" applyBorder="1" applyAlignment="1">
      <alignment wrapText="1"/>
    </xf>
    <xf numFmtId="171" fontId="15" fillId="10" borderId="36" xfId="6" applyNumberFormat="1" applyFont="1" applyFill="1" applyBorder="1" applyAlignment="1">
      <alignment wrapText="1"/>
    </xf>
    <xf numFmtId="171" fontId="15" fillId="10" borderId="16" xfId="6" applyNumberFormat="1" applyFont="1" applyFill="1" applyBorder="1" applyAlignment="1">
      <alignment wrapText="1"/>
    </xf>
    <xf numFmtId="0" fontId="0" fillId="10" borderId="0" xfId="0" applyFill="1"/>
    <xf numFmtId="37" fontId="10" fillId="5" borderId="6" xfId="5" applyNumberFormat="1" applyFont="1" applyFill="1" applyBorder="1" applyAlignment="1">
      <alignment horizontal="justify" wrapText="1"/>
    </xf>
    <xf numFmtId="1" fontId="15" fillId="11" borderId="6" xfId="6" applyNumberFormat="1" applyFont="1" applyFill="1" applyBorder="1" applyAlignment="1">
      <alignment horizontal="center" vertical="center" wrapText="1"/>
    </xf>
    <xf numFmtId="1" fontId="15" fillId="5" borderId="6" xfId="6" applyNumberFormat="1" applyFont="1" applyFill="1" applyBorder="1" applyAlignment="1">
      <alignment horizontal="center" vertical="center" wrapText="1"/>
    </xf>
    <xf numFmtId="37" fontId="10" fillId="0" borderId="6" xfId="5" applyNumberFormat="1" applyFont="1" applyFill="1" applyBorder="1" applyAlignment="1">
      <alignment horizontal="justify" wrapText="1"/>
    </xf>
    <xf numFmtId="171" fontId="14" fillId="8" borderId="16" xfId="6" applyNumberFormat="1" applyFont="1" applyFill="1" applyBorder="1" applyAlignment="1">
      <alignment wrapText="1"/>
    </xf>
    <xf numFmtId="0" fontId="0" fillId="8" borderId="0" xfId="0" applyFill="1"/>
    <xf numFmtId="37" fontId="10" fillId="0" borderId="10" xfId="5" applyNumberFormat="1" applyFont="1" applyFill="1" applyBorder="1" applyAlignment="1">
      <alignment horizontal="justify" wrapText="1"/>
    </xf>
    <xf numFmtId="1" fontId="15" fillId="0" borderId="10" xfId="6" applyNumberFormat="1" applyFont="1" applyFill="1" applyBorder="1" applyAlignment="1">
      <alignment horizontal="center" vertical="center" wrapText="1"/>
    </xf>
    <xf numFmtId="43" fontId="15" fillId="0" borderId="10" xfId="1" applyFont="1" applyFill="1" applyBorder="1" applyAlignment="1">
      <alignment horizontal="center" wrapText="1"/>
    </xf>
    <xf numFmtId="0" fontId="3" fillId="12" borderId="34" xfId="0" applyFont="1" applyFill="1" applyBorder="1" applyAlignment="1">
      <alignment horizontal="center" vertical="center"/>
    </xf>
    <xf numFmtId="37" fontId="10" fillId="12" borderId="38" xfId="5" applyNumberFormat="1" applyFont="1" applyFill="1" applyBorder="1" applyAlignment="1">
      <alignment wrapText="1"/>
    </xf>
    <xf numFmtId="1" fontId="15" fillId="2" borderId="35" xfId="6" applyNumberFormat="1" applyFont="1" applyFill="1" applyBorder="1" applyAlignment="1">
      <alignment horizontal="center" wrapText="1"/>
    </xf>
    <xf numFmtId="43" fontId="15" fillId="12" borderId="35" xfId="1" applyFont="1" applyFill="1" applyBorder="1" applyAlignment="1">
      <alignment horizontal="center" wrapText="1"/>
    </xf>
    <xf numFmtId="43" fontId="15" fillId="12" borderId="16" xfId="1" applyFont="1" applyFill="1" applyBorder="1" applyAlignment="1">
      <alignment wrapText="1"/>
    </xf>
    <xf numFmtId="171" fontId="15" fillId="12" borderId="16" xfId="6" applyNumberFormat="1" applyFont="1" applyFill="1" applyBorder="1" applyAlignment="1">
      <alignment wrapText="1"/>
    </xf>
    <xf numFmtId="43" fontId="15" fillId="12" borderId="39" xfId="1" applyFont="1" applyFill="1" applyBorder="1" applyAlignment="1">
      <alignment wrapText="1"/>
    </xf>
    <xf numFmtId="171" fontId="15" fillId="0" borderId="37" xfId="6" applyNumberFormat="1" applyFont="1" applyFill="1" applyBorder="1" applyAlignment="1">
      <alignment wrapText="1"/>
    </xf>
    <xf numFmtId="171" fontId="15" fillId="0" borderId="36" xfId="6" applyNumberFormat="1" applyFont="1" applyFill="1" applyBorder="1" applyAlignment="1">
      <alignment wrapText="1"/>
    </xf>
    <xf numFmtId="171" fontId="14" fillId="0" borderId="16" xfId="6" applyNumberFormat="1" applyFont="1" applyFill="1" applyBorder="1" applyAlignment="1">
      <alignment wrapText="1"/>
    </xf>
    <xf numFmtId="171" fontId="15" fillId="0" borderId="16" xfId="6" applyNumberFormat="1" applyFont="1" applyFill="1" applyBorder="1" applyAlignment="1">
      <alignment wrapText="1"/>
    </xf>
    <xf numFmtId="0" fontId="3" fillId="12" borderId="12" xfId="0" applyFont="1" applyFill="1" applyBorder="1" applyAlignment="1">
      <alignment horizontal="center" vertical="center"/>
    </xf>
    <xf numFmtId="37" fontId="10" fillId="12" borderId="15" xfId="5" applyNumberFormat="1" applyFont="1" applyFill="1" applyBorder="1" applyAlignment="1">
      <alignment wrapText="1"/>
    </xf>
    <xf numFmtId="1" fontId="15" fillId="7" borderId="6" xfId="6" applyNumberFormat="1" applyFont="1" applyFill="1" applyBorder="1" applyAlignment="1">
      <alignment horizontal="center" wrapText="1"/>
    </xf>
    <xf numFmtId="43" fontId="15" fillId="12" borderId="16" xfId="1" applyFont="1" applyFill="1" applyBorder="1" applyAlignment="1">
      <alignment horizontal="center" wrapText="1"/>
    </xf>
    <xf numFmtId="170" fontId="10" fillId="12" borderId="15" xfId="6" applyFont="1" applyFill="1" applyBorder="1" applyAlignment="1">
      <alignment wrapText="1"/>
    </xf>
    <xf numFmtId="37" fontId="10" fillId="9" borderId="6" xfId="5" applyNumberFormat="1" applyFont="1" applyFill="1" applyBorder="1" applyAlignment="1">
      <alignment wrapText="1"/>
    </xf>
    <xf numFmtId="1" fontId="15" fillId="9" borderId="6" xfId="6" applyNumberFormat="1" applyFont="1" applyFill="1" applyBorder="1" applyAlignment="1">
      <alignment horizontal="center" wrapText="1"/>
    </xf>
    <xf numFmtId="43" fontId="15" fillId="9" borderId="16" xfId="1" applyFont="1" applyFill="1" applyBorder="1" applyAlignment="1">
      <alignment horizontal="center" wrapText="1"/>
    </xf>
    <xf numFmtId="43" fontId="15" fillId="9" borderId="16" xfId="1" applyFont="1" applyFill="1" applyBorder="1" applyAlignment="1">
      <alignment wrapText="1"/>
    </xf>
    <xf numFmtId="171" fontId="15" fillId="9" borderId="16" xfId="6" applyNumberFormat="1" applyFont="1" applyFill="1" applyBorder="1" applyAlignment="1">
      <alignment wrapText="1"/>
    </xf>
    <xf numFmtId="43" fontId="15" fillId="9" borderId="39" xfId="1" applyFont="1" applyFill="1" applyBorder="1" applyAlignment="1">
      <alignment wrapText="1"/>
    </xf>
    <xf numFmtId="43" fontId="15" fillId="9" borderId="6" xfId="1" applyFont="1" applyFill="1" applyBorder="1" applyAlignment="1">
      <alignment wrapText="1"/>
    </xf>
    <xf numFmtId="171" fontId="15" fillId="9" borderId="37" xfId="6" applyNumberFormat="1" applyFont="1" applyFill="1" applyBorder="1" applyAlignment="1">
      <alignment wrapText="1"/>
    </xf>
    <xf numFmtId="171" fontId="15" fillId="9" borderId="36" xfId="6" applyNumberFormat="1" applyFont="1" applyFill="1" applyBorder="1" applyAlignment="1">
      <alignment wrapText="1"/>
    </xf>
    <xf numFmtId="171" fontId="15" fillId="9" borderId="6" xfId="6" applyNumberFormat="1" applyFont="1" applyFill="1" applyBorder="1" applyAlignment="1">
      <alignment wrapText="1"/>
    </xf>
    <xf numFmtId="0" fontId="0" fillId="9" borderId="0" xfId="0" applyFill="1"/>
    <xf numFmtId="37" fontId="10" fillId="12" borderId="6" xfId="5" applyNumberFormat="1" applyFont="1" applyFill="1" applyBorder="1" applyAlignment="1">
      <alignment horizontal="justify" wrapText="1"/>
    </xf>
    <xf numFmtId="172" fontId="10" fillId="12" borderId="15" xfId="5" applyNumberFormat="1" applyFont="1" applyFill="1" applyBorder="1" applyAlignment="1">
      <alignment wrapText="1"/>
    </xf>
    <xf numFmtId="170" fontId="10" fillId="12" borderId="29" xfId="6" applyFont="1" applyFill="1" applyBorder="1" applyAlignment="1">
      <alignment wrapText="1"/>
    </xf>
    <xf numFmtId="1" fontId="15" fillId="7" borderId="10" xfId="6" applyNumberFormat="1" applyFont="1" applyFill="1" applyBorder="1" applyAlignment="1">
      <alignment horizontal="center" wrapText="1"/>
    </xf>
    <xf numFmtId="43" fontId="15" fillId="12" borderId="25" xfId="1" applyFont="1" applyFill="1" applyBorder="1" applyAlignment="1">
      <alignment horizontal="center" wrapText="1"/>
    </xf>
    <xf numFmtId="43" fontId="15" fillId="12" borderId="25" xfId="1" applyFont="1" applyFill="1" applyBorder="1" applyAlignment="1">
      <alignment wrapText="1"/>
    </xf>
    <xf numFmtId="171" fontId="15" fillId="12" borderId="25" xfId="6" applyNumberFormat="1" applyFont="1" applyFill="1" applyBorder="1" applyAlignment="1">
      <alignment wrapText="1"/>
    </xf>
    <xf numFmtId="43" fontId="15" fillId="12" borderId="40" xfId="1" applyFont="1" applyFill="1" applyBorder="1" applyAlignment="1">
      <alignment wrapText="1"/>
    </xf>
    <xf numFmtId="172" fontId="10" fillId="4" borderId="35" xfId="5" applyNumberFormat="1" applyFont="1" applyFill="1" applyBorder="1" applyAlignment="1">
      <alignment wrapText="1"/>
    </xf>
    <xf numFmtId="1" fontId="16" fillId="4" borderId="35" xfId="6" applyNumberFormat="1" applyFont="1" applyFill="1" applyBorder="1" applyAlignment="1">
      <alignment horizontal="center" wrapText="1"/>
    </xf>
    <xf numFmtId="43" fontId="15" fillId="13" borderId="35" xfId="1" applyFont="1" applyFill="1" applyBorder="1" applyAlignment="1">
      <alignment horizontal="center" wrapText="1"/>
    </xf>
    <xf numFmtId="43" fontId="15" fillId="4" borderId="35" xfId="1" applyFont="1" applyFill="1" applyBorder="1" applyAlignment="1">
      <alignment wrapText="1"/>
    </xf>
    <xf numFmtId="171" fontId="15" fillId="4" borderId="35" xfId="6" applyNumberFormat="1" applyFont="1" applyFill="1" applyBorder="1" applyAlignment="1">
      <alignment wrapText="1"/>
    </xf>
    <xf numFmtId="43" fontId="15" fillId="4" borderId="41" xfId="1" applyFont="1" applyFill="1" applyBorder="1" applyAlignment="1">
      <alignment wrapText="1"/>
    </xf>
    <xf numFmtId="172" fontId="10" fillId="4" borderId="6" xfId="5" applyNumberFormat="1" applyFont="1" applyFill="1" applyBorder="1" applyAlignment="1">
      <alignment wrapText="1"/>
    </xf>
    <xf numFmtId="1" fontId="16" fillId="4" borderId="6" xfId="6" applyNumberFormat="1" applyFont="1" applyFill="1" applyBorder="1" applyAlignment="1">
      <alignment horizontal="center" wrapText="1"/>
    </xf>
    <xf numFmtId="43" fontId="15" fillId="13" borderId="6" xfId="1" applyFont="1" applyFill="1" applyBorder="1" applyAlignment="1">
      <alignment horizontal="center" wrapText="1"/>
    </xf>
    <xf numFmtId="43" fontId="15" fillId="4" borderId="16" xfId="1" applyFont="1" applyFill="1" applyBorder="1" applyAlignment="1">
      <alignment wrapText="1"/>
    </xf>
    <xf numFmtId="171" fontId="15" fillId="4" borderId="16" xfId="6" applyNumberFormat="1" applyFont="1" applyFill="1" applyBorder="1" applyAlignment="1">
      <alignment wrapText="1"/>
    </xf>
    <xf numFmtId="43" fontId="15" fillId="4" borderId="39" xfId="1" applyFont="1" applyFill="1" applyBorder="1" applyAlignment="1">
      <alignment wrapText="1"/>
    </xf>
    <xf numFmtId="37" fontId="17" fillId="4" borderId="6" xfId="6" applyNumberFormat="1" applyFont="1" applyFill="1" applyBorder="1" applyAlignment="1">
      <alignment wrapText="1"/>
    </xf>
    <xf numFmtId="37" fontId="17" fillId="4" borderId="20" xfId="6" applyNumberFormat="1" applyFont="1" applyFill="1" applyBorder="1" applyAlignment="1">
      <alignment wrapText="1"/>
    </xf>
    <xf numFmtId="1" fontId="16" fillId="4" borderId="20" xfId="6" applyNumberFormat="1" applyFont="1" applyFill="1" applyBorder="1" applyAlignment="1">
      <alignment horizontal="center" wrapText="1"/>
    </xf>
    <xf numFmtId="43" fontId="15" fillId="13" borderId="20" xfId="1" applyFont="1" applyFill="1" applyBorder="1" applyAlignment="1">
      <alignment horizontal="center" wrapText="1"/>
    </xf>
    <xf numFmtId="43" fontId="15" fillId="4" borderId="42" xfId="1" applyFont="1" applyFill="1" applyBorder="1" applyAlignment="1">
      <alignment wrapText="1"/>
    </xf>
    <xf numFmtId="171" fontId="15" fillId="4" borderId="42" xfId="6" applyNumberFormat="1" applyFont="1" applyFill="1" applyBorder="1" applyAlignment="1">
      <alignment wrapText="1"/>
    </xf>
    <xf numFmtId="43" fontId="15" fillId="4" borderId="43" xfId="1" applyFont="1" applyFill="1" applyBorder="1" applyAlignment="1">
      <alignment wrapText="1"/>
    </xf>
    <xf numFmtId="43" fontId="15" fillId="14" borderId="0" xfId="1" applyFont="1" applyFill="1" applyBorder="1" applyAlignment="1">
      <alignment horizontal="center" wrapText="1"/>
    </xf>
    <xf numFmtId="43" fontId="15" fillId="8" borderId="0" xfId="1" applyFont="1" applyFill="1" applyBorder="1" applyAlignment="1">
      <alignment wrapText="1"/>
    </xf>
    <xf numFmtId="171" fontId="15" fillId="8" borderId="0" xfId="6" applyNumberFormat="1" applyFont="1" applyFill="1" applyBorder="1" applyAlignment="1">
      <alignment wrapText="1"/>
    </xf>
    <xf numFmtId="43" fontId="15" fillId="8" borderId="17" xfId="1" applyFont="1" applyFill="1" applyBorder="1" applyAlignment="1">
      <alignment wrapText="1"/>
    </xf>
    <xf numFmtId="43" fontId="14" fillId="8" borderId="0" xfId="1" applyFont="1" applyFill="1" applyBorder="1" applyAlignment="1">
      <alignment wrapText="1"/>
    </xf>
    <xf numFmtId="1" fontId="18" fillId="8" borderId="6" xfId="6" applyNumberFormat="1" applyFont="1" applyFill="1" applyBorder="1" applyAlignment="1">
      <alignment horizontal="center" vertical="center" wrapText="1"/>
    </xf>
    <xf numFmtId="1" fontId="19" fillId="12" borderId="6" xfId="0" applyNumberFormat="1" applyFont="1" applyFill="1" applyBorder="1" applyAlignment="1">
      <alignment horizontal="center" vertical="center"/>
    </xf>
    <xf numFmtId="1" fontId="19" fillId="4" borderId="6" xfId="0" applyNumberFormat="1" applyFont="1" applyFill="1" applyBorder="1" applyAlignment="1">
      <alignment horizontal="center" vertical="center"/>
    </xf>
    <xf numFmtId="1" fontId="19" fillId="0" borderId="6" xfId="0" applyNumberFormat="1" applyFont="1" applyBorder="1" applyAlignment="1">
      <alignment horizontal="center" vertical="center"/>
    </xf>
    <xf numFmtId="165" fontId="0" fillId="0" borderId="0" xfId="2" applyFont="1"/>
    <xf numFmtId="43" fontId="11" fillId="4" borderId="13" xfId="1" applyFont="1" applyFill="1" applyBorder="1" applyAlignment="1">
      <alignment horizontal="center" vertical="center" wrapText="1"/>
    </xf>
    <xf numFmtId="1" fontId="11" fillId="4" borderId="45" xfId="1" applyNumberFormat="1" applyFont="1" applyFill="1" applyBorder="1" applyAlignment="1">
      <alignment horizontal="center" vertical="center" wrapText="1"/>
    </xf>
    <xf numFmtId="1" fontId="11" fillId="4" borderId="20" xfId="1" applyNumberFormat="1" applyFont="1" applyFill="1" applyBorder="1" applyAlignment="1">
      <alignment horizontal="center" vertical="center" wrapText="1"/>
    </xf>
    <xf numFmtId="37" fontId="10" fillId="0" borderId="35" xfId="5" applyNumberFormat="1" applyFont="1" applyFill="1" applyBorder="1" applyAlignment="1">
      <alignment wrapText="1"/>
    </xf>
    <xf numFmtId="43" fontId="15" fillId="0" borderId="35" xfId="1" applyFont="1" applyFill="1" applyBorder="1" applyAlignment="1">
      <alignment wrapText="1"/>
    </xf>
    <xf numFmtId="171" fontId="15" fillId="0" borderId="35" xfId="6" applyNumberFormat="1" applyFont="1" applyFill="1" applyBorder="1" applyAlignment="1">
      <alignment wrapText="1"/>
    </xf>
    <xf numFmtId="43" fontId="15" fillId="0" borderId="46" xfId="1" applyFont="1" applyFill="1" applyBorder="1" applyAlignment="1">
      <alignment wrapText="1"/>
    </xf>
    <xf numFmtId="43" fontId="15" fillId="8" borderId="38" xfId="1" applyFont="1" applyFill="1" applyBorder="1" applyAlignment="1">
      <alignment wrapText="1"/>
    </xf>
    <xf numFmtId="43" fontId="15" fillId="8" borderId="46" xfId="1" applyFont="1" applyFill="1" applyBorder="1" applyAlignment="1">
      <alignment wrapText="1"/>
    </xf>
    <xf numFmtId="43" fontId="15" fillId="8" borderId="16" xfId="1" applyFont="1" applyFill="1" applyBorder="1" applyAlignment="1">
      <alignment wrapText="1"/>
    </xf>
    <xf numFmtId="43" fontId="15" fillId="8" borderId="47" xfId="1" applyFont="1" applyFill="1" applyBorder="1" applyAlignment="1">
      <alignment wrapText="1"/>
    </xf>
    <xf numFmtId="165" fontId="20" fillId="0" borderId="6" xfId="2" applyFont="1" applyBorder="1"/>
    <xf numFmtId="43" fontId="15" fillId="0" borderId="13" xfId="1" applyFont="1" applyFill="1" applyBorder="1" applyAlignment="1">
      <alignment wrapText="1"/>
    </xf>
    <xf numFmtId="43" fontId="15" fillId="8" borderId="15" xfId="1" applyFont="1" applyFill="1" applyBorder="1" applyAlignment="1">
      <alignment horizontal="justify" wrapText="1"/>
    </xf>
    <xf numFmtId="43" fontId="15" fillId="8" borderId="15" xfId="1" applyFont="1" applyFill="1" applyBorder="1" applyAlignment="1">
      <alignment wrapText="1"/>
    </xf>
    <xf numFmtId="43" fontId="15" fillId="5" borderId="13" xfId="1" applyFont="1" applyFill="1" applyBorder="1" applyAlignment="1">
      <alignment wrapText="1"/>
    </xf>
    <xf numFmtId="43" fontId="15" fillId="8" borderId="13" xfId="1" applyFont="1" applyFill="1" applyBorder="1" applyAlignment="1">
      <alignment wrapText="1"/>
    </xf>
    <xf numFmtId="43" fontId="15" fillId="0" borderId="10" xfId="1" applyFont="1" applyFill="1" applyBorder="1" applyAlignment="1">
      <alignment wrapText="1"/>
    </xf>
    <xf numFmtId="171" fontId="15" fillId="0" borderId="10" xfId="6" applyNumberFormat="1" applyFont="1" applyFill="1" applyBorder="1" applyAlignment="1">
      <alignment wrapText="1"/>
    </xf>
    <xf numFmtId="43" fontId="15" fillId="0" borderId="11" xfId="1" applyFont="1" applyFill="1" applyBorder="1" applyAlignment="1">
      <alignment wrapText="1"/>
    </xf>
    <xf numFmtId="43" fontId="15" fillId="8" borderId="29" xfId="1" applyFont="1" applyFill="1" applyBorder="1" applyAlignment="1">
      <alignment wrapText="1"/>
    </xf>
    <xf numFmtId="43" fontId="15" fillId="8" borderId="11" xfId="1" applyFont="1" applyFill="1" applyBorder="1" applyAlignment="1">
      <alignment wrapText="1"/>
    </xf>
    <xf numFmtId="43" fontId="15" fillId="8" borderId="33" xfId="1" applyFont="1" applyFill="1" applyBorder="1" applyAlignment="1">
      <alignment wrapText="1"/>
    </xf>
    <xf numFmtId="43" fontId="15" fillId="8" borderId="25" xfId="1" applyFont="1" applyFill="1" applyBorder="1" applyAlignment="1">
      <alignment wrapText="1"/>
    </xf>
    <xf numFmtId="43" fontId="15" fillId="8" borderId="32" xfId="1" applyFont="1" applyFill="1" applyBorder="1" applyAlignment="1">
      <alignment wrapText="1"/>
    </xf>
    <xf numFmtId="1" fontId="15" fillId="12" borderId="35" xfId="6" applyNumberFormat="1" applyFont="1" applyFill="1" applyBorder="1" applyAlignment="1">
      <alignment horizontal="center" wrapText="1"/>
    </xf>
    <xf numFmtId="43" fontId="15" fillId="12" borderId="35" xfId="1" applyFont="1" applyFill="1" applyBorder="1" applyAlignment="1">
      <alignment wrapText="1"/>
    </xf>
    <xf numFmtId="171" fontId="15" fillId="12" borderId="35" xfId="6" applyNumberFormat="1" applyFont="1" applyFill="1" applyBorder="1" applyAlignment="1">
      <alignment wrapText="1"/>
    </xf>
    <xf numFmtId="43" fontId="15" fillId="12" borderId="46" xfId="1" applyFont="1" applyFill="1" applyBorder="1" applyAlignment="1">
      <alignment wrapText="1"/>
    </xf>
    <xf numFmtId="43" fontId="15" fillId="12" borderId="38" xfId="1" applyFont="1" applyFill="1" applyBorder="1" applyAlignment="1">
      <alignment wrapText="1"/>
    </xf>
    <xf numFmtId="43" fontId="15" fillId="8" borderId="35" xfId="1" applyFont="1" applyFill="1" applyBorder="1" applyAlignment="1">
      <alignment wrapText="1"/>
    </xf>
    <xf numFmtId="171" fontId="0" fillId="0" borderId="0" xfId="0" applyNumberFormat="1"/>
    <xf numFmtId="1" fontId="15" fillId="12" borderId="6" xfId="6" applyNumberFormat="1" applyFont="1" applyFill="1" applyBorder="1" applyAlignment="1">
      <alignment horizontal="center" wrapText="1"/>
    </xf>
    <xf numFmtId="43" fontId="15" fillId="12" borderId="47" xfId="1" applyFont="1" applyFill="1" applyBorder="1" applyAlignment="1">
      <alignment wrapText="1"/>
    </xf>
    <xf numFmtId="43" fontId="15" fillId="12" borderId="15" xfId="1" applyFont="1" applyFill="1" applyBorder="1" applyAlignment="1">
      <alignment wrapText="1"/>
    </xf>
    <xf numFmtId="43" fontId="15" fillId="12" borderId="13" xfId="1" applyFont="1" applyFill="1" applyBorder="1" applyAlignment="1">
      <alignment wrapText="1"/>
    </xf>
    <xf numFmtId="43" fontId="15" fillId="0" borderId="47" xfId="1" applyFont="1" applyFill="1" applyBorder="1" applyAlignment="1">
      <alignment wrapText="1"/>
    </xf>
    <xf numFmtId="37" fontId="10" fillId="12" borderId="6" xfId="5" applyNumberFormat="1" applyFont="1" applyFill="1" applyBorder="1" applyAlignment="1">
      <alignment wrapText="1"/>
    </xf>
    <xf numFmtId="170" fontId="10" fillId="12" borderId="45" xfId="6" applyFont="1" applyFill="1" applyBorder="1" applyAlignment="1">
      <alignment wrapText="1"/>
    </xf>
    <xf numFmtId="1" fontId="15" fillId="12" borderId="20" xfId="6" applyNumberFormat="1" applyFont="1" applyFill="1" applyBorder="1" applyAlignment="1">
      <alignment horizontal="center" wrapText="1"/>
    </xf>
    <xf numFmtId="43" fontId="15" fillId="12" borderId="42" xfId="1" applyFont="1" applyFill="1" applyBorder="1" applyAlignment="1">
      <alignment horizontal="center" wrapText="1"/>
    </xf>
    <xf numFmtId="43" fontId="15" fillId="12" borderId="42" xfId="1" applyFont="1" applyFill="1" applyBorder="1" applyAlignment="1">
      <alignment wrapText="1"/>
    </xf>
    <xf numFmtId="171" fontId="15" fillId="12" borderId="42" xfId="6" applyNumberFormat="1" applyFont="1" applyFill="1" applyBorder="1" applyAlignment="1">
      <alignment wrapText="1"/>
    </xf>
    <xf numFmtId="43" fontId="15" fillId="12" borderId="49" xfId="1" applyFont="1" applyFill="1" applyBorder="1" applyAlignment="1">
      <alignment wrapText="1"/>
    </xf>
    <xf numFmtId="43" fontId="15" fillId="12" borderId="45" xfId="1" applyFont="1" applyFill="1" applyBorder="1" applyAlignment="1">
      <alignment wrapText="1"/>
    </xf>
    <xf numFmtId="43" fontId="15" fillId="12" borderId="50" xfId="1" applyFont="1" applyFill="1" applyBorder="1" applyAlignment="1">
      <alignment wrapText="1"/>
    </xf>
    <xf numFmtId="43" fontId="15" fillId="4" borderId="46" xfId="1" applyFont="1" applyFill="1" applyBorder="1" applyAlignment="1">
      <alignment wrapText="1"/>
    </xf>
    <xf numFmtId="43" fontId="15" fillId="4" borderId="38" xfId="1" applyFont="1" applyFill="1" applyBorder="1" applyAlignment="1">
      <alignment wrapText="1"/>
    </xf>
    <xf numFmtId="43" fontId="15" fillId="13" borderId="16" xfId="1" applyFont="1" applyFill="1" applyBorder="1" applyAlignment="1">
      <alignment horizontal="center" wrapText="1"/>
    </xf>
    <xf numFmtId="43" fontId="15" fillId="4" borderId="47" xfId="1" applyFont="1" applyFill="1" applyBorder="1" applyAlignment="1">
      <alignment wrapText="1"/>
    </xf>
    <xf numFmtId="43" fontId="15" fillId="4" borderId="15" xfId="1" applyFont="1" applyFill="1" applyBorder="1" applyAlignment="1">
      <alignment wrapText="1"/>
    </xf>
    <xf numFmtId="43" fontId="15" fillId="4" borderId="13" xfId="1" applyFont="1" applyFill="1" applyBorder="1" applyAlignment="1">
      <alignment wrapText="1"/>
    </xf>
    <xf numFmtId="43" fontId="15" fillId="13" borderId="42" xfId="1" applyFont="1" applyFill="1" applyBorder="1" applyAlignment="1">
      <alignment horizontal="center" wrapText="1"/>
    </xf>
    <xf numFmtId="43" fontId="15" fillId="4" borderId="49" xfId="1" applyFont="1" applyFill="1" applyBorder="1" applyAlignment="1">
      <alignment wrapText="1"/>
    </xf>
    <xf numFmtId="43" fontId="15" fillId="4" borderId="45" xfId="1" applyFont="1" applyFill="1" applyBorder="1" applyAlignment="1">
      <alignment wrapText="1"/>
    </xf>
    <xf numFmtId="43" fontId="15" fillId="4" borderId="50" xfId="1" applyFont="1" applyFill="1" applyBorder="1" applyAlignment="1">
      <alignment wrapText="1"/>
    </xf>
    <xf numFmtId="43" fontId="15" fillId="8" borderId="51" xfId="1" applyFont="1" applyFill="1" applyBorder="1" applyAlignment="1">
      <alignment wrapText="1"/>
    </xf>
    <xf numFmtId="43" fontId="15" fillId="8" borderId="42" xfId="1" applyFont="1" applyFill="1" applyBorder="1" applyAlignment="1">
      <alignment wrapText="1"/>
    </xf>
    <xf numFmtId="43" fontId="15" fillId="8" borderId="49" xfId="1" applyFont="1" applyFill="1" applyBorder="1" applyAlignment="1">
      <alignment wrapText="1"/>
    </xf>
    <xf numFmtId="165" fontId="0" fillId="0" borderId="6" xfId="0" applyNumberFormat="1" applyBorder="1"/>
    <xf numFmtId="165" fontId="0" fillId="0" borderId="0" xfId="0" applyNumberFormat="1"/>
    <xf numFmtId="43" fontId="21" fillId="0" borderId="0" xfId="1" applyFont="1"/>
    <xf numFmtId="43" fontId="0" fillId="5" borderId="0" xfId="1" applyFont="1" applyFill="1"/>
    <xf numFmtId="43" fontId="3" fillId="0" borderId="0" xfId="1" applyFont="1" applyFill="1"/>
    <xf numFmtId="164" fontId="22" fillId="0" borderId="0" xfId="0" applyNumberFormat="1" applyFont="1"/>
    <xf numFmtId="43" fontId="0" fillId="0" borderId="0" xfId="1" applyFont="1" applyFill="1"/>
    <xf numFmtId="164" fontId="0" fillId="0" borderId="0" xfId="0" applyNumberFormat="1"/>
    <xf numFmtId="173" fontId="23" fillId="0" borderId="46" xfId="2" applyNumberFormat="1" applyFont="1" applyBorder="1"/>
    <xf numFmtId="43" fontId="0" fillId="0" borderId="0" xfId="1" applyFont="1" applyFill="1" applyBorder="1"/>
    <xf numFmtId="1" fontId="0" fillId="0" borderId="0" xfId="1" applyNumberFormat="1" applyFont="1" applyAlignment="1">
      <alignment horizontal="center" vertical="center"/>
    </xf>
    <xf numFmtId="173" fontId="23" fillId="0" borderId="44" xfId="2" applyNumberFormat="1" applyFont="1" applyBorder="1" applyAlignment="1"/>
    <xf numFmtId="43" fontId="0" fillId="5" borderId="0" xfId="0" applyNumberFormat="1" applyFill="1"/>
    <xf numFmtId="173" fontId="23" fillId="0" borderId="50" xfId="2" applyNumberFormat="1" applyFont="1" applyBorder="1"/>
    <xf numFmtId="43" fontId="0" fillId="0" borderId="0" xfId="1" applyFont="1" applyFill="1" applyBorder="1" applyAlignment="1">
      <alignment wrapText="1"/>
    </xf>
    <xf numFmtId="165" fontId="3" fillId="0" borderId="0" xfId="2" applyFont="1" applyFill="1" applyBorder="1" applyAlignment="1"/>
    <xf numFmtId="43" fontId="0" fillId="0" borderId="19" xfId="1" applyFont="1" applyBorder="1"/>
    <xf numFmtId="43" fontId="0" fillId="0" borderId="52" xfId="1" applyFont="1" applyBorder="1"/>
    <xf numFmtId="173" fontId="23" fillId="0" borderId="49" xfId="2" applyNumberFormat="1" applyFont="1" applyBorder="1"/>
    <xf numFmtId="44" fontId="24" fillId="0" borderId="0" xfId="0" applyNumberFormat="1" applyFont="1"/>
    <xf numFmtId="165" fontId="0" fillId="5" borderId="0" xfId="2" applyFont="1" applyFill="1"/>
    <xf numFmtId="43" fontId="0" fillId="5" borderId="6" xfId="1" applyFont="1" applyFill="1" applyBorder="1"/>
    <xf numFmtId="43" fontId="2" fillId="8" borderId="0" xfId="1" applyFont="1" applyFill="1"/>
    <xf numFmtId="43" fontId="15" fillId="15" borderId="36" xfId="1" applyFont="1" applyFill="1" applyBorder="1" applyAlignment="1">
      <alignment wrapText="1"/>
    </xf>
    <xf numFmtId="43" fontId="15" fillId="16" borderId="36" xfId="1" applyFont="1" applyFill="1" applyBorder="1" applyAlignment="1">
      <alignment wrapText="1"/>
    </xf>
    <xf numFmtId="168" fontId="11" fillId="4" borderId="6" xfId="1" applyNumberFormat="1" applyFont="1" applyFill="1" applyBorder="1" applyAlignment="1">
      <alignment horizontal="center" vertical="center" wrapText="1"/>
    </xf>
    <xf numFmtId="37" fontId="18" fillId="8" borderId="17" xfId="5" applyNumberFormat="1" applyFont="1" applyFill="1" applyBorder="1" applyAlignment="1">
      <alignment horizontal="center" vertical="center" wrapText="1"/>
    </xf>
    <xf numFmtId="37" fontId="18" fillId="8" borderId="15" xfId="5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7" fontId="10" fillId="0" borderId="10" xfId="5" applyNumberFormat="1" applyFont="1" applyFill="1" applyBorder="1" applyAlignment="1">
      <alignment horizontal="center" wrapText="1"/>
    </xf>
    <xf numFmtId="37" fontId="10" fillId="0" borderId="16" xfId="5" applyNumberFormat="1" applyFont="1" applyFill="1" applyBorder="1" applyAlignment="1">
      <alignment horizontal="center" wrapText="1"/>
    </xf>
    <xf numFmtId="0" fontId="3" fillId="0" borderId="12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textRotation="255"/>
    </xf>
    <xf numFmtId="0" fontId="3" fillId="12" borderId="12" xfId="0" applyFont="1" applyFill="1" applyBorder="1" applyAlignment="1">
      <alignment horizontal="center" vertical="center" textRotation="255"/>
    </xf>
    <xf numFmtId="0" fontId="3" fillId="12" borderId="9" xfId="0" applyFont="1" applyFill="1" applyBorder="1" applyAlignment="1">
      <alignment horizontal="center" vertical="center" textRotation="255"/>
    </xf>
    <xf numFmtId="0" fontId="3" fillId="4" borderId="1" xfId="0" applyFont="1" applyFill="1" applyBorder="1" applyAlignment="1">
      <alignment horizontal="center" vertical="center" textRotation="255"/>
    </xf>
    <xf numFmtId="0" fontId="3" fillId="4" borderId="4" xfId="0" applyFont="1" applyFill="1" applyBorder="1" applyAlignment="1">
      <alignment horizontal="center" vertical="center" textRotation="255"/>
    </xf>
    <xf numFmtId="0" fontId="3" fillId="4" borderId="19" xfId="0" applyFont="1" applyFill="1" applyBorder="1" applyAlignment="1">
      <alignment horizontal="center" vertical="center" textRotation="255"/>
    </xf>
    <xf numFmtId="37" fontId="18" fillId="8" borderId="6" xfId="5" applyNumberFormat="1" applyFont="1" applyFill="1" applyBorder="1" applyAlignment="1">
      <alignment horizontal="center" vertical="center" wrapText="1"/>
    </xf>
    <xf numFmtId="37" fontId="18" fillId="12" borderId="17" xfId="5" applyNumberFormat="1" applyFont="1" applyFill="1" applyBorder="1" applyAlignment="1">
      <alignment horizontal="center" vertical="center" wrapText="1"/>
    </xf>
    <xf numFmtId="37" fontId="18" fillId="12" borderId="15" xfId="5" applyNumberFormat="1" applyFont="1" applyFill="1" applyBorder="1" applyAlignment="1">
      <alignment horizontal="center" vertical="center" wrapText="1"/>
    </xf>
    <xf numFmtId="37" fontId="18" fillId="4" borderId="17" xfId="5" applyNumberFormat="1" applyFont="1" applyFill="1" applyBorder="1" applyAlignment="1">
      <alignment horizontal="center" vertical="center" wrapText="1"/>
    </xf>
    <xf numFmtId="37" fontId="18" fillId="4" borderId="15" xfId="5" applyNumberFormat="1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textRotation="255"/>
    </xf>
    <xf numFmtId="0" fontId="3" fillId="0" borderId="37" xfId="0" applyFont="1" applyBorder="1" applyAlignment="1">
      <alignment horizontal="center" vertical="center" textRotation="255"/>
    </xf>
    <xf numFmtId="37" fontId="10" fillId="0" borderId="27" xfId="5" applyNumberFormat="1" applyFont="1" applyFill="1" applyBorder="1" applyAlignment="1">
      <alignment horizontal="center" vertical="center" wrapText="1"/>
    </xf>
    <xf numFmtId="37" fontId="10" fillId="0" borderId="16" xfId="5" applyNumberFormat="1" applyFont="1" applyFill="1" applyBorder="1" applyAlignment="1">
      <alignment horizontal="center" vertical="center" wrapText="1"/>
    </xf>
    <xf numFmtId="37" fontId="10" fillId="0" borderId="10" xfId="5" applyNumberFormat="1" applyFont="1" applyFill="1" applyBorder="1" applyAlignment="1">
      <alignment horizontal="center" vertical="center" wrapText="1"/>
    </xf>
    <xf numFmtId="37" fontId="10" fillId="10" borderId="10" xfId="5" applyNumberFormat="1" applyFont="1" applyFill="1" applyBorder="1" applyAlignment="1">
      <alignment horizontal="center" vertical="center" wrapText="1"/>
    </xf>
    <xf numFmtId="37" fontId="10" fillId="10" borderId="16" xfId="5" applyNumberFormat="1" applyFont="1" applyFill="1" applyBorder="1" applyAlignment="1">
      <alignment horizontal="center" vertical="center" wrapText="1"/>
    </xf>
    <xf numFmtId="43" fontId="11" fillId="4" borderId="29" xfId="1" applyFont="1" applyFill="1" applyBorder="1" applyAlignment="1">
      <alignment horizontal="center" vertical="center" wrapText="1"/>
    </xf>
    <xf numFmtId="43" fontId="11" fillId="4" borderId="33" xfId="1" applyFont="1" applyFill="1" applyBorder="1" applyAlignment="1">
      <alignment horizontal="center" vertical="center" wrapText="1"/>
    </xf>
    <xf numFmtId="171" fontId="12" fillId="8" borderId="25" xfId="6" applyNumberFormat="1" applyFont="1" applyFill="1" applyBorder="1" applyAlignment="1">
      <alignment horizontal="center" vertical="center" wrapText="1"/>
    </xf>
    <xf numFmtId="171" fontId="12" fillId="8" borderId="16" xfId="6" applyNumberFormat="1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37" fontId="13" fillId="4" borderId="27" xfId="5" applyNumberFormat="1" applyFont="1" applyFill="1" applyBorder="1" applyAlignment="1">
      <alignment horizontal="center" vertical="center" wrapText="1"/>
    </xf>
    <xf numFmtId="37" fontId="13" fillId="4" borderId="25" xfId="5" applyNumberFormat="1" applyFont="1" applyFill="1" applyBorder="1" applyAlignment="1">
      <alignment horizontal="center" vertical="center" wrapText="1"/>
    </xf>
    <xf numFmtId="171" fontId="14" fillId="4" borderId="27" xfId="6" applyNumberFormat="1" applyFont="1" applyFill="1" applyBorder="1" applyAlignment="1">
      <alignment horizontal="center" vertical="center" wrapText="1"/>
    </xf>
    <xf numFmtId="171" fontId="14" fillId="4" borderId="25" xfId="6" applyNumberFormat="1" applyFont="1" applyFill="1" applyBorder="1" applyAlignment="1">
      <alignment horizontal="center" vertical="center" wrapText="1"/>
    </xf>
    <xf numFmtId="43" fontId="11" fillId="4" borderId="27" xfId="1" applyFont="1" applyFill="1" applyBorder="1" applyAlignment="1">
      <alignment horizontal="center" vertical="center" wrapText="1"/>
    </xf>
    <xf numFmtId="43" fontId="11" fillId="4" borderId="25" xfId="1" applyFont="1" applyFill="1" applyBorder="1" applyAlignment="1">
      <alignment horizontal="center" vertical="center" wrapText="1"/>
    </xf>
    <xf numFmtId="37" fontId="11" fillId="8" borderId="22" xfId="5" applyNumberFormat="1" applyFont="1" applyFill="1" applyBorder="1" applyAlignment="1">
      <alignment horizontal="center" vertical="center" wrapText="1"/>
    </xf>
    <xf numFmtId="37" fontId="11" fillId="8" borderId="23" xfId="5" applyNumberFormat="1" applyFont="1" applyFill="1" applyBorder="1" applyAlignment="1">
      <alignment horizontal="center" vertical="center" wrapText="1"/>
    </xf>
    <xf numFmtId="37" fontId="11" fillId="8" borderId="24" xfId="5" applyNumberFormat="1" applyFont="1" applyFill="1" applyBorder="1" applyAlignment="1">
      <alignment horizontal="center" vertical="center" wrapText="1"/>
    </xf>
    <xf numFmtId="171" fontId="11" fillId="8" borderId="9" xfId="6" applyNumberFormat="1" applyFont="1" applyFill="1" applyBorder="1" applyAlignment="1">
      <alignment horizontal="center" vertical="center" wrapText="1"/>
    </xf>
    <xf numFmtId="171" fontId="11" fillId="8" borderId="10" xfId="6" applyNumberFormat="1" applyFont="1" applyFill="1" applyBorder="1" applyAlignment="1">
      <alignment horizontal="center" vertical="center" wrapText="1"/>
    </xf>
    <xf numFmtId="171" fontId="11" fillId="8" borderId="25" xfId="6" applyNumberFormat="1" applyFont="1" applyFill="1" applyBorder="1" applyAlignment="1">
      <alignment horizontal="center" vertical="center" wrapText="1"/>
    </xf>
    <xf numFmtId="171" fontId="11" fillId="8" borderId="16" xfId="6" applyNumberFormat="1" applyFont="1" applyFill="1" applyBorder="1" applyAlignment="1">
      <alignment horizontal="center" vertical="center" wrapText="1"/>
    </xf>
    <xf numFmtId="171" fontId="11" fillId="4" borderId="27" xfId="6" applyNumberFormat="1" applyFont="1" applyFill="1" applyBorder="1" applyAlignment="1">
      <alignment horizontal="center" vertical="center" wrapText="1"/>
    </xf>
    <xf numFmtId="171" fontId="11" fillId="4" borderId="25" xfId="6" applyNumberFormat="1" applyFont="1" applyFill="1" applyBorder="1" applyAlignment="1">
      <alignment horizontal="center" vertical="center" wrapText="1"/>
    </xf>
    <xf numFmtId="43" fontId="11" fillId="4" borderId="28" xfId="1" applyFont="1" applyFill="1" applyBorder="1" applyAlignment="1">
      <alignment horizontal="center" vertical="center" wrapText="1"/>
    </xf>
    <xf numFmtId="43" fontId="11" fillId="4" borderId="32" xfId="1" applyFont="1" applyFill="1" applyBorder="1" applyAlignment="1">
      <alignment horizontal="center" vertical="center" wrapText="1"/>
    </xf>
    <xf numFmtId="1" fontId="0" fillId="0" borderId="0" xfId="1" applyNumberFormat="1" applyFont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43" fontId="0" fillId="0" borderId="48" xfId="1" applyFont="1" applyBorder="1" applyAlignment="1">
      <alignment horizontal="center" wrapText="1"/>
    </xf>
    <xf numFmtId="43" fontId="0" fillId="0" borderId="45" xfId="1" applyFont="1" applyBorder="1" applyAlignment="1">
      <alignment horizontal="center" wrapText="1"/>
    </xf>
    <xf numFmtId="43" fontId="0" fillId="0" borderId="20" xfId="1" applyFont="1" applyBorder="1" applyAlignment="1">
      <alignment horizontal="center" wrapText="1"/>
    </xf>
    <xf numFmtId="37" fontId="18" fillId="12" borderId="6" xfId="5" applyNumberFormat="1" applyFont="1" applyFill="1" applyBorder="1" applyAlignment="1">
      <alignment horizontal="center" vertical="center" wrapText="1"/>
    </xf>
    <xf numFmtId="1" fontId="19" fillId="12" borderId="6" xfId="0" applyNumberFormat="1" applyFont="1" applyFill="1" applyBorder="1" applyAlignment="1">
      <alignment horizontal="center" vertical="center"/>
    </xf>
    <xf numFmtId="43" fontId="0" fillId="0" borderId="34" xfId="1" applyFont="1" applyBorder="1" applyAlignment="1">
      <alignment horizontal="center" wrapText="1"/>
    </xf>
    <xf numFmtId="43" fontId="0" fillId="0" borderId="38" xfId="1" applyFont="1" applyBorder="1" applyAlignment="1">
      <alignment horizontal="center" wrapText="1"/>
    </xf>
    <xf numFmtId="43" fontId="0" fillId="0" borderId="35" xfId="1" applyFont="1" applyBorder="1" applyAlignment="1">
      <alignment horizontal="center" wrapText="1"/>
    </xf>
    <xf numFmtId="165" fontId="14" fillId="0" borderId="39" xfId="2" applyFont="1" applyFill="1" applyBorder="1" applyAlignment="1">
      <alignment horizontal="center" vertical="center" wrapText="1"/>
    </xf>
    <xf numFmtId="165" fontId="14" fillId="0" borderId="36" xfId="2" applyFont="1" applyFill="1" applyBorder="1" applyAlignment="1">
      <alignment horizontal="center" vertical="center" wrapText="1"/>
    </xf>
    <xf numFmtId="43" fontId="14" fillId="8" borderId="39" xfId="1" applyFont="1" applyFill="1" applyBorder="1" applyAlignment="1">
      <alignment horizontal="center" wrapText="1"/>
    </xf>
    <xf numFmtId="43" fontId="14" fillId="8" borderId="36" xfId="1" applyFont="1" applyFill="1" applyBorder="1" applyAlignment="1">
      <alignment horizontal="center" wrapText="1"/>
    </xf>
    <xf numFmtId="0" fontId="3" fillId="12" borderId="48" xfId="0" applyFont="1" applyFill="1" applyBorder="1" applyAlignment="1">
      <alignment horizontal="center" vertical="center" textRotation="255"/>
    </xf>
    <xf numFmtId="17" fontId="11" fillId="4" borderId="6" xfId="1" applyNumberFormat="1" applyFont="1" applyFill="1" applyBorder="1" applyAlignment="1">
      <alignment horizontal="center" vertical="center" wrapText="1"/>
    </xf>
    <xf numFmtId="43" fontId="11" fillId="4" borderId="6" xfId="1" applyFont="1" applyFill="1" applyBorder="1" applyAlignment="1">
      <alignment horizontal="center" vertical="center" wrapText="1"/>
    </xf>
    <xf numFmtId="43" fontId="11" fillId="4" borderId="10" xfId="1" applyFont="1" applyFill="1" applyBorder="1" applyAlignment="1">
      <alignment horizontal="center" vertical="center" wrapText="1"/>
    </xf>
    <xf numFmtId="43" fontId="11" fillId="4" borderId="17" xfId="1" applyFont="1" applyFill="1" applyBorder="1" applyAlignment="1">
      <alignment horizontal="center" vertical="center" wrapText="1"/>
    </xf>
    <xf numFmtId="43" fontId="11" fillId="4" borderId="15" xfId="1" applyFont="1" applyFill="1" applyBorder="1" applyAlignment="1">
      <alignment horizontal="center" vertical="center" wrapText="1"/>
    </xf>
    <xf numFmtId="43" fontId="11" fillId="4" borderId="44" xfId="1" applyFont="1" applyFill="1" applyBorder="1" applyAlignment="1">
      <alignment horizontal="center" vertical="center" wrapText="1"/>
    </xf>
    <xf numFmtId="43" fontId="11" fillId="4" borderId="9" xfId="1" applyFont="1" applyFill="1" applyBorder="1" applyAlignment="1">
      <alignment horizontal="center" vertical="center" wrapText="1"/>
    </xf>
    <xf numFmtId="43" fontId="11" fillId="4" borderId="31" xfId="1" applyFont="1" applyFill="1" applyBorder="1" applyAlignment="1">
      <alignment horizontal="center" vertical="center" wrapText="1"/>
    </xf>
    <xf numFmtId="171" fontId="11" fillId="4" borderId="10" xfId="6" applyNumberFormat="1" applyFont="1" applyFill="1" applyBorder="1" applyAlignment="1">
      <alignment horizontal="center" vertical="center" wrapText="1"/>
    </xf>
    <xf numFmtId="17" fontId="11" fillId="4" borderId="41" xfId="1" applyNumberFormat="1" applyFont="1" applyFill="1" applyBorder="1" applyAlignment="1">
      <alignment horizontal="center" vertical="center" wrapText="1"/>
    </xf>
    <xf numFmtId="17" fontId="11" fillId="4" borderId="38" xfId="1" applyNumberFormat="1" applyFont="1" applyFill="1" applyBorder="1" applyAlignment="1">
      <alignment horizontal="center" vertical="center" wrapText="1"/>
    </xf>
    <xf numFmtId="17" fontId="11" fillId="4" borderId="27" xfId="1" applyNumberFormat="1" applyFont="1" applyFill="1" applyBorder="1" applyAlignment="1">
      <alignment horizontal="center" vertical="center" wrapText="1"/>
    </xf>
    <xf numFmtId="43" fontId="11" fillId="4" borderId="42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43" fontId="0" fillId="0" borderId="3" xfId="1" applyFont="1" applyBorder="1" applyAlignment="1">
      <alignment horizontal="center"/>
    </xf>
    <xf numFmtId="1" fontId="3" fillId="0" borderId="1" xfId="1" applyNumberFormat="1" applyFont="1" applyBorder="1" applyAlignment="1">
      <alignment horizontal="center"/>
    </xf>
    <xf numFmtId="1" fontId="3" fillId="0" borderId="2" xfId="1" applyNumberFormat="1" applyFon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20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166" fontId="4" fillId="0" borderId="17" xfId="4" applyNumberFormat="1" applyBorder="1" applyAlignment="1">
      <alignment horizontal="center"/>
    </xf>
    <xf numFmtId="166" fontId="4" fillId="0" borderId="18" xfId="4" applyNumberFormat="1" applyBorder="1" applyAlignment="1">
      <alignment horizontal="center"/>
    </xf>
    <xf numFmtId="166" fontId="3" fillId="0" borderId="18" xfId="0" applyNumberFormat="1" applyFont="1" applyBorder="1" applyAlignment="1">
      <alignment horizontal="center"/>
    </xf>
    <xf numFmtId="166" fontId="3" fillId="0" borderId="15" xfId="0" applyNumberFormat="1" applyFont="1" applyBorder="1" applyAlignment="1">
      <alignment horizontal="center"/>
    </xf>
    <xf numFmtId="37" fontId="11" fillId="17" borderId="54" xfId="5" applyNumberFormat="1" applyFont="1" applyFill="1" applyBorder="1" applyAlignment="1">
      <alignment horizontal="center" vertical="center" wrapText="1"/>
    </xf>
    <xf numFmtId="37" fontId="11" fillId="17" borderId="55" xfId="5" applyNumberFormat="1" applyFont="1" applyFill="1" applyBorder="1" applyAlignment="1">
      <alignment horizontal="center" vertical="center" wrapText="1"/>
    </xf>
    <xf numFmtId="43" fontId="15" fillId="8" borderId="10" xfId="1" applyFont="1" applyFill="1" applyBorder="1" applyAlignment="1">
      <alignment wrapText="1"/>
    </xf>
    <xf numFmtId="43" fontId="26" fillId="8" borderId="34" xfId="1" applyFont="1" applyFill="1" applyBorder="1" applyAlignment="1">
      <alignment wrapText="1"/>
    </xf>
    <xf numFmtId="165" fontId="27" fillId="0" borderId="50" xfId="2" applyFont="1" applyBorder="1"/>
    <xf numFmtId="165" fontId="27" fillId="0" borderId="13" xfId="2" applyFont="1" applyBorder="1"/>
    <xf numFmtId="165" fontId="26" fillId="8" borderId="46" xfId="2" applyFont="1" applyFill="1" applyBorder="1" applyAlignment="1">
      <alignment wrapText="1"/>
    </xf>
    <xf numFmtId="43" fontId="27" fillId="0" borderId="12" xfId="1" applyFont="1" applyBorder="1" applyAlignment="1">
      <alignment wrapText="1"/>
    </xf>
    <xf numFmtId="43" fontId="27" fillId="0" borderId="48" xfId="1" applyFont="1" applyBorder="1" applyAlignment="1">
      <alignment wrapText="1"/>
    </xf>
    <xf numFmtId="49" fontId="11" fillId="18" borderId="30" xfId="1" applyNumberFormat="1" applyFont="1" applyFill="1" applyBorder="1" applyAlignment="1">
      <alignment horizontal="center" vertical="center" wrapText="1"/>
    </xf>
    <xf numFmtId="49" fontId="11" fillId="18" borderId="53" xfId="1" applyNumberFormat="1" applyFont="1" applyFill="1" applyBorder="1" applyAlignment="1">
      <alignment horizontal="center" vertical="center" wrapText="1"/>
    </xf>
    <xf numFmtId="49" fontId="11" fillId="18" borderId="29" xfId="1" applyNumberFormat="1" applyFont="1" applyFill="1" applyBorder="1" applyAlignment="1">
      <alignment horizontal="center" vertical="center" wrapText="1"/>
    </xf>
    <xf numFmtId="43" fontId="11" fillId="18" borderId="6" xfId="1" applyFont="1" applyFill="1" applyBorder="1" applyAlignment="1">
      <alignment horizontal="center" vertical="center" wrapText="1"/>
    </xf>
    <xf numFmtId="43" fontId="15" fillId="18" borderId="36" xfId="1" applyFont="1" applyFill="1" applyBorder="1" applyAlignment="1">
      <alignment wrapText="1"/>
    </xf>
    <xf numFmtId="43" fontId="15" fillId="18" borderId="6" xfId="1" applyFont="1" applyFill="1" applyBorder="1" applyAlignment="1">
      <alignment wrapText="1"/>
    </xf>
    <xf numFmtId="43" fontId="15" fillId="18" borderId="17" xfId="1" applyFont="1" applyFill="1" applyBorder="1" applyAlignment="1">
      <alignment wrapText="1"/>
    </xf>
    <xf numFmtId="43" fontId="15" fillId="18" borderId="33" xfId="1" applyFont="1" applyFill="1" applyBorder="1" applyAlignment="1">
      <alignment wrapText="1"/>
    </xf>
    <xf numFmtId="43" fontId="14" fillId="18" borderId="56" xfId="1" applyFont="1" applyFill="1" applyBorder="1" applyAlignment="1">
      <alignment wrapText="1"/>
    </xf>
    <xf numFmtId="43" fontId="15" fillId="19" borderId="36" xfId="1" applyFont="1" applyFill="1" applyBorder="1" applyAlignment="1">
      <alignment wrapText="1"/>
    </xf>
    <xf numFmtId="168" fontId="11" fillId="19" borderId="6" xfId="1" applyNumberFormat="1" applyFont="1" applyFill="1" applyBorder="1" applyAlignment="1">
      <alignment vertical="center" wrapText="1"/>
    </xf>
    <xf numFmtId="43" fontId="15" fillId="19" borderId="33" xfId="1" applyFont="1" applyFill="1" applyBorder="1" applyAlignment="1">
      <alignment wrapText="1"/>
    </xf>
    <xf numFmtId="43" fontId="14" fillId="19" borderId="56" xfId="1" applyFont="1" applyFill="1" applyBorder="1" applyAlignment="1">
      <alignment wrapText="1"/>
    </xf>
    <xf numFmtId="1" fontId="11" fillId="20" borderId="6" xfId="1" applyNumberFormat="1" applyFont="1" applyFill="1" applyBorder="1" applyAlignment="1">
      <alignment horizontal="center" vertical="center" wrapText="1"/>
    </xf>
    <xf numFmtId="43" fontId="15" fillId="20" borderId="36" xfId="1" applyFont="1" applyFill="1" applyBorder="1" applyAlignment="1">
      <alignment wrapText="1"/>
    </xf>
    <xf numFmtId="43" fontId="15" fillId="20" borderId="15" xfId="1" applyFont="1" applyFill="1" applyBorder="1" applyAlignment="1">
      <alignment wrapText="1"/>
    </xf>
    <xf numFmtId="49" fontId="11" fillId="18" borderId="6" xfId="1" applyNumberFormat="1" applyFont="1" applyFill="1" applyBorder="1" applyAlignment="1">
      <alignment horizontal="center" vertical="center"/>
    </xf>
    <xf numFmtId="49" fontId="11" fillId="18" borderId="6" xfId="1" applyNumberFormat="1" applyFont="1" applyFill="1" applyBorder="1" applyAlignment="1">
      <alignment horizontal="center" vertical="center" wrapText="1"/>
    </xf>
    <xf numFmtId="49" fontId="11" fillId="19" borderId="6" xfId="1" applyNumberFormat="1" applyFont="1" applyFill="1" applyBorder="1" applyAlignment="1">
      <alignment horizontal="center" vertical="center" wrapText="1"/>
    </xf>
    <xf numFmtId="49" fontId="11" fillId="20" borderId="6" xfId="1" applyNumberFormat="1" applyFont="1" applyFill="1" applyBorder="1" applyAlignment="1">
      <alignment horizontal="center" vertical="center" wrapText="1"/>
    </xf>
    <xf numFmtId="49" fontId="11" fillId="4" borderId="6" xfId="1" applyNumberFormat="1" applyFont="1" applyFill="1" applyBorder="1" applyAlignment="1">
      <alignment horizontal="center" vertical="center" wrapText="1"/>
    </xf>
    <xf numFmtId="171" fontId="11" fillId="8" borderId="33" xfId="6" applyNumberFormat="1" applyFont="1" applyFill="1" applyBorder="1" applyAlignment="1">
      <alignment horizontal="center" vertical="center" wrapText="1"/>
    </xf>
    <xf numFmtId="1" fontId="25" fillId="21" borderId="55" xfId="1" applyNumberFormat="1" applyFont="1" applyFill="1" applyBorder="1" applyAlignment="1">
      <alignment horizontal="center"/>
    </xf>
    <xf numFmtId="1" fontId="25" fillId="21" borderId="57" xfId="1" applyNumberFormat="1" applyFont="1" applyFill="1" applyBorder="1" applyAlignment="1">
      <alignment horizontal="center"/>
    </xf>
    <xf numFmtId="168" fontId="11" fillId="8" borderId="6" xfId="1" applyNumberFormat="1" applyFont="1" applyFill="1" applyBorder="1" applyAlignment="1">
      <alignment horizontal="center" vertical="center" wrapText="1"/>
    </xf>
  </cellXfs>
  <cellStyles count="7">
    <cellStyle name="Hipervínculo" xfId="4" builtinId="8"/>
    <cellStyle name="Millares" xfId="1" builtinId="3"/>
    <cellStyle name="Millares 3" xfId="6" xr:uid="{32F68A10-0B64-46E1-918C-70D06BE8A39A}"/>
    <cellStyle name="Millares_Hoja2" xfId="5" xr:uid="{19A59335-8DFA-4037-9E8A-348125B21EF3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dministracion\CONTRATOS%202025\C%20092%20ASECOLBA\ANEXO%20UNICO\TRABAJO\V.4%20CALCULOS%20PROYECCION%202da%20MOD%20marz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perarios"/>
      <sheetName val="ANEXO ECONOMICO nov, dic y ener"/>
      <sheetName val="ANEXO ECONOMICO MODIFICACION 3"/>
      <sheetName val="CONTROL DE PAGOS"/>
      <sheetName val="Hoja2"/>
    </sheetNames>
    <sheetDataSet>
      <sheetData sheetId="0" refreshError="1">
        <row r="33">
          <cell r="C33">
            <v>2576000</v>
          </cell>
          <cell r="D33">
            <v>1470900</v>
          </cell>
          <cell r="H33">
            <v>3090545</v>
          </cell>
          <cell r="I33">
            <v>1759567</v>
          </cell>
          <cell r="J33">
            <v>709977</v>
          </cell>
        </row>
        <row r="36">
          <cell r="H36">
            <v>3458319.855</v>
          </cell>
          <cell r="I36">
            <v>1968955.473</v>
          </cell>
          <cell r="J36">
            <v>794464.26299999992</v>
          </cell>
        </row>
      </sheetData>
      <sheetData sheetId="1" refreshError="1">
        <row r="88">
          <cell r="V88">
            <v>199637242.35070029</v>
          </cell>
        </row>
      </sheetData>
      <sheetData sheetId="2" refreshError="1">
        <row r="13">
          <cell r="N13">
            <v>365832</v>
          </cell>
        </row>
        <row r="14">
          <cell r="N14">
            <v>216895.6</v>
          </cell>
        </row>
        <row r="15">
          <cell r="N15">
            <v>365832</v>
          </cell>
        </row>
        <row r="16">
          <cell r="N16">
            <v>216895.6</v>
          </cell>
        </row>
        <row r="17">
          <cell r="N17">
            <v>365832</v>
          </cell>
        </row>
        <row r="18">
          <cell r="N18">
            <v>216895.6</v>
          </cell>
        </row>
        <row r="19">
          <cell r="N19">
            <v>365832</v>
          </cell>
        </row>
        <row r="20">
          <cell r="N20">
            <v>216895.6</v>
          </cell>
        </row>
        <row r="22">
          <cell r="N22">
            <v>365832</v>
          </cell>
        </row>
        <row r="23">
          <cell r="N23">
            <v>216895.6</v>
          </cell>
        </row>
        <row r="25">
          <cell r="N25">
            <v>365832</v>
          </cell>
        </row>
        <row r="26">
          <cell r="N26">
            <v>216895.6</v>
          </cell>
        </row>
        <row r="30">
          <cell r="N30">
            <v>216895.6</v>
          </cell>
        </row>
        <row r="31">
          <cell r="N31">
            <v>216895.6</v>
          </cell>
        </row>
        <row r="32">
          <cell r="N32">
            <v>365832</v>
          </cell>
        </row>
        <row r="33">
          <cell r="N33">
            <v>216895.6</v>
          </cell>
        </row>
        <row r="35">
          <cell r="N35">
            <v>1729160</v>
          </cell>
        </row>
        <row r="40">
          <cell r="N40">
            <v>731664</v>
          </cell>
        </row>
        <row r="41">
          <cell r="N41">
            <v>216895.6</v>
          </cell>
        </row>
        <row r="46">
          <cell r="N46">
            <v>1097496</v>
          </cell>
        </row>
        <row r="47">
          <cell r="N47">
            <v>216895.6</v>
          </cell>
        </row>
        <row r="51">
          <cell r="N51">
            <v>207895.6</v>
          </cell>
        </row>
        <row r="52">
          <cell r="N52">
            <v>90446.5</v>
          </cell>
        </row>
        <row r="53">
          <cell r="N53">
            <v>90446.5</v>
          </cell>
        </row>
        <row r="54">
          <cell r="N54">
            <v>90446.5</v>
          </cell>
        </row>
        <row r="56">
          <cell r="N56">
            <v>90446.5</v>
          </cell>
        </row>
        <row r="57">
          <cell r="N57">
            <v>207895.6</v>
          </cell>
        </row>
        <row r="58">
          <cell r="N58">
            <v>90446.5</v>
          </cell>
        </row>
        <row r="59">
          <cell r="N59">
            <v>90446.5</v>
          </cell>
        </row>
        <row r="60">
          <cell r="N60">
            <v>90446.5</v>
          </cell>
        </row>
        <row r="61">
          <cell r="N61">
            <v>90446.5</v>
          </cell>
        </row>
        <row r="62">
          <cell r="N62">
            <v>90446.5</v>
          </cell>
        </row>
        <row r="97">
          <cell r="P97">
            <v>196601859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iifnacion.facturaelectronica@minhaciend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F77E-745F-499E-9CF1-98A8D8CA1843}">
  <dimension ref="A2:W108"/>
  <sheetViews>
    <sheetView zoomScaleNormal="100" workbookViewId="0">
      <pane xSplit="9" ySplit="12" topLeftCell="J34" activePane="bottomRight" state="frozen"/>
      <selection pane="topRight" activeCell="J1" sqref="J1"/>
      <selection pane="bottomLeft" activeCell="A13" sqref="A13"/>
      <selection pane="bottomRight" activeCell="J10" sqref="J10:O10"/>
    </sheetView>
  </sheetViews>
  <sheetFormatPr baseColWidth="10" defaultColWidth="13" defaultRowHeight="15"/>
  <cols>
    <col min="1" max="1" width="14.28515625" bestFit="1" customWidth="1"/>
    <col min="2" max="2" width="37.42578125" customWidth="1"/>
    <col min="3" max="3" width="14.85546875" customWidth="1"/>
    <col min="4" max="4" width="15.140625" style="62" bestFit="1" customWidth="1"/>
    <col min="5" max="5" width="16.85546875" style="62" bestFit="1" customWidth="1"/>
    <col min="6" max="6" width="16.140625" bestFit="1" customWidth="1"/>
    <col min="7" max="7" width="15.140625" style="62" bestFit="1" customWidth="1"/>
    <col min="8" max="9" width="13" style="62"/>
    <col min="10" max="10" width="15.28515625" style="62" customWidth="1"/>
    <col min="11" max="11" width="14" style="62" customWidth="1"/>
    <col min="12" max="13" width="14.140625" style="62" customWidth="1"/>
    <col min="14" max="14" width="14" style="62" customWidth="1"/>
    <col min="15" max="15" width="16.140625" style="62" customWidth="1"/>
    <col min="16" max="16" width="17.140625" style="62" hidden="1" customWidth="1"/>
    <col min="17" max="17" width="12.140625" hidden="1" customWidth="1"/>
    <col min="18" max="21" width="16.42578125" style="62" hidden="1" customWidth="1"/>
    <col min="22" max="22" width="16.7109375" hidden="1" customWidth="1"/>
    <col min="23" max="23" width="15.5703125" bestFit="1" customWidth="1"/>
  </cols>
  <sheetData>
    <row r="2" spans="1:22">
      <c r="C2" s="60" t="s">
        <v>38</v>
      </c>
      <c r="D2" s="60" t="s">
        <v>39</v>
      </c>
      <c r="E2" s="61" t="s">
        <v>40</v>
      </c>
    </row>
    <row r="3" spans="1:22">
      <c r="B3" s="63" t="s">
        <v>41</v>
      </c>
      <c r="C3" s="64">
        <f>+'[1]Costos Operarios'!C33</f>
        <v>2576000</v>
      </c>
      <c r="D3" s="64">
        <f>+'[1]Costos Operarios'!H36</f>
        <v>3458319.855</v>
      </c>
      <c r="E3" s="65">
        <v>200000</v>
      </c>
    </row>
    <row r="4" spans="1:22">
      <c r="B4" s="63" t="s">
        <v>42</v>
      </c>
      <c r="C4" s="67">
        <f>+'[1]Costos Operarios'!D33</f>
        <v>1470900</v>
      </c>
      <c r="D4" s="67">
        <f>+'[1]Costos Operarios'!I36</f>
        <v>1968955.473</v>
      </c>
      <c r="E4" s="65">
        <v>110000</v>
      </c>
    </row>
    <row r="5" spans="1:22">
      <c r="B5" s="63" t="s">
        <v>43</v>
      </c>
      <c r="C5" s="67">
        <v>0</v>
      </c>
      <c r="D5" s="67"/>
      <c r="E5" s="65">
        <v>0</v>
      </c>
    </row>
    <row r="6" spans="1:22">
      <c r="B6" s="63" t="s">
        <v>44</v>
      </c>
      <c r="C6" s="67">
        <v>574516</v>
      </c>
      <c r="D6" s="67">
        <f>+'[1]Costos Operarios'!J36</f>
        <v>794464.26299999992</v>
      </c>
      <c r="E6" s="65">
        <v>100000</v>
      </c>
    </row>
    <row r="7" spans="1:22">
      <c r="B7" s="63" t="s">
        <v>45</v>
      </c>
      <c r="C7" s="70">
        <v>0.1</v>
      </c>
      <c r="D7" s="70"/>
      <c r="E7" s="65"/>
      <c r="P7" s="62">
        <f>+P8/30*27</f>
        <v>3112487.8695</v>
      </c>
    </row>
    <row r="8" spans="1:22">
      <c r="P8" s="62">
        <f>+P13/2</f>
        <v>3458319.855</v>
      </c>
      <c r="Q8" s="62"/>
    </row>
    <row r="9" spans="1:22" ht="15.75" thickBot="1"/>
    <row r="10" spans="1:22" ht="15" customHeight="1" thickBot="1">
      <c r="A10" s="301" t="s">
        <v>46</v>
      </c>
      <c r="B10" s="302"/>
      <c r="C10" s="302"/>
      <c r="D10" s="302"/>
      <c r="E10" s="302"/>
      <c r="F10" s="302"/>
      <c r="G10" s="302"/>
      <c r="H10" s="302"/>
      <c r="I10" s="303"/>
      <c r="J10" s="341" t="s">
        <v>143</v>
      </c>
      <c r="K10" s="342"/>
      <c r="L10" s="342"/>
      <c r="M10" s="342"/>
      <c r="N10" s="342"/>
      <c r="O10" s="343"/>
      <c r="S10" s="344">
        <v>2026</v>
      </c>
      <c r="T10" s="345"/>
      <c r="U10" s="345"/>
    </row>
    <row r="11" spans="1:22">
      <c r="A11" s="293" t="s">
        <v>51</v>
      </c>
      <c r="B11" s="295" t="s">
        <v>52</v>
      </c>
      <c r="C11" s="297" t="s">
        <v>53</v>
      </c>
      <c r="D11" s="299" t="s">
        <v>54</v>
      </c>
      <c r="E11" s="299" t="s">
        <v>45</v>
      </c>
      <c r="F11" s="308" t="s">
        <v>55</v>
      </c>
      <c r="G11" s="299" t="s">
        <v>56</v>
      </c>
      <c r="H11" s="299" t="s">
        <v>57</v>
      </c>
      <c r="I11" s="310" t="s">
        <v>17</v>
      </c>
      <c r="J11" s="289" t="s">
        <v>58</v>
      </c>
      <c r="K11" s="330" t="s">
        <v>59</v>
      </c>
      <c r="L11" s="331" t="s">
        <v>144</v>
      </c>
      <c r="M11" s="332"/>
      <c r="N11" s="331" t="s">
        <v>145</v>
      </c>
      <c r="O11" s="333"/>
      <c r="P11" s="334" t="s">
        <v>146</v>
      </c>
      <c r="Q11" s="336" t="s">
        <v>147</v>
      </c>
      <c r="R11" s="329" t="s">
        <v>148</v>
      </c>
      <c r="S11" s="337" t="s">
        <v>149</v>
      </c>
      <c r="T11" s="338"/>
      <c r="U11" s="339" t="s">
        <v>150</v>
      </c>
      <c r="V11" s="328" t="s">
        <v>151</v>
      </c>
    </row>
    <row r="12" spans="1:22" ht="18.75" thickBot="1">
      <c r="A12" s="294"/>
      <c r="B12" s="296"/>
      <c r="C12" s="298"/>
      <c r="D12" s="300"/>
      <c r="E12" s="300"/>
      <c r="F12" s="309"/>
      <c r="G12" s="300"/>
      <c r="H12" s="300"/>
      <c r="I12" s="311"/>
      <c r="J12" s="290"/>
      <c r="K12" s="300"/>
      <c r="L12" s="76" t="s">
        <v>60</v>
      </c>
      <c r="M12" s="76" t="s">
        <v>61</v>
      </c>
      <c r="N12" s="76" t="s">
        <v>60</v>
      </c>
      <c r="O12" s="180" t="s">
        <v>61</v>
      </c>
      <c r="P12" s="335"/>
      <c r="Q12" s="309"/>
      <c r="R12" s="329"/>
      <c r="S12" s="181">
        <v>27</v>
      </c>
      <c r="T12" s="182">
        <v>3</v>
      </c>
      <c r="U12" s="340"/>
      <c r="V12" s="329"/>
    </row>
    <row r="13" spans="1:22" ht="13.5" customHeight="1">
      <c r="A13" s="282" t="s">
        <v>63</v>
      </c>
      <c r="B13" s="183" t="s">
        <v>64</v>
      </c>
      <c r="C13" s="78">
        <v>2</v>
      </c>
      <c r="D13" s="79">
        <f>+$C$3</f>
        <v>2576000</v>
      </c>
      <c r="E13" s="184">
        <f>+ROUND((D13*$C$7),0)</f>
        <v>257600</v>
      </c>
      <c r="F13" s="185">
        <f>+E13+D13</f>
        <v>2833600</v>
      </c>
      <c r="G13" s="184">
        <f>+ROUND((F13*10%),0)</f>
        <v>283360</v>
      </c>
      <c r="H13" s="184">
        <f>ROUND((E13*19%),0)</f>
        <v>48944</v>
      </c>
      <c r="I13" s="186">
        <f>+H13+F13</f>
        <v>2882544</v>
      </c>
      <c r="J13" s="187">
        <f t="shared" ref="J13:J76" si="0">+I13*C13</f>
        <v>5765088</v>
      </c>
      <c r="K13" s="188">
        <f t="shared" ref="K13:K27" si="1">+$E$3*C13</f>
        <v>400000</v>
      </c>
      <c r="L13" s="84">
        <f>+J13/30*12</f>
        <v>2306035.2000000002</v>
      </c>
      <c r="M13" s="84">
        <f>+K13/30*12</f>
        <v>160000</v>
      </c>
      <c r="N13" s="189">
        <f>+K13</f>
        <v>400000</v>
      </c>
      <c r="O13" s="190">
        <f>+J13</f>
        <v>5765088</v>
      </c>
      <c r="P13" s="84">
        <f t="shared" ref="P13:P41" si="2">+$D$3*C13</f>
        <v>6916639.71</v>
      </c>
      <c r="Q13" s="87">
        <f t="shared" ref="Q13:Q76" si="3">+K13</f>
        <v>400000</v>
      </c>
      <c r="R13" s="189">
        <f>+Q13+P13</f>
        <v>7316639.71</v>
      </c>
      <c r="S13" s="189">
        <f>+(P13/30*$S$12)+(Q13/30*$S$12)</f>
        <v>6584975.7390000001</v>
      </c>
      <c r="T13" s="189">
        <f>SUM('[1]ANEXO ECONOMICO MODIFICACION 3'!N13:N14)</f>
        <v>582727.6</v>
      </c>
      <c r="U13" s="189">
        <f>SUM(S13:T13)</f>
        <v>7167703.3389999997</v>
      </c>
      <c r="V13" s="191">
        <f>+U13-Q13</f>
        <v>6767703.3389999997</v>
      </c>
    </row>
    <row r="14" spans="1:22" ht="13.5" customHeight="1">
      <c r="A14" s="270"/>
      <c r="B14" s="96" t="s">
        <v>65</v>
      </c>
      <c r="C14" s="91">
        <v>2</v>
      </c>
      <c r="D14" s="92">
        <f t="shared" ref="D14:D41" si="4">+$C$3</f>
        <v>2576000</v>
      </c>
      <c r="E14" s="80">
        <f t="shared" ref="E14:E41" si="5">+ROUND((D14*$C$7),0)</f>
        <v>257600</v>
      </c>
      <c r="F14" s="81">
        <f>+E14+D14</f>
        <v>2833600</v>
      </c>
      <c r="G14" s="80">
        <f>+ROUND((F14*10%),0)</f>
        <v>283360</v>
      </c>
      <c r="H14" s="80">
        <f t="shared" ref="H14:H77" si="6">ROUND((E14*19%),0)</f>
        <v>48944</v>
      </c>
      <c r="I14" s="192">
        <f>+H14+F14</f>
        <v>2882544</v>
      </c>
      <c r="J14" s="84">
        <f t="shared" si="0"/>
        <v>5765088</v>
      </c>
      <c r="K14" s="190">
        <f t="shared" si="1"/>
        <v>400000</v>
      </c>
      <c r="L14" s="84">
        <f t="shared" ref="L14:M77" si="7">+J14/30*12</f>
        <v>2306035.2000000002</v>
      </c>
      <c r="M14" s="84">
        <f t="shared" si="7"/>
        <v>160000</v>
      </c>
      <c r="N14" s="189">
        <f t="shared" ref="N14:N46" si="8">+K14</f>
        <v>400000</v>
      </c>
      <c r="O14" s="190">
        <f t="shared" ref="O14:O41" si="9">+J14</f>
        <v>5765088</v>
      </c>
      <c r="P14" s="84">
        <f t="shared" si="2"/>
        <v>6916639.71</v>
      </c>
      <c r="Q14" s="87">
        <f t="shared" si="3"/>
        <v>400000</v>
      </c>
      <c r="R14" s="189">
        <f>+Q14+P14</f>
        <v>7316639.71</v>
      </c>
      <c r="S14" s="189">
        <f t="shared" ref="S14:S41" si="10">+(P14/30*$S$12)+(Q14/30*$S$12)</f>
        <v>6584975.7390000001</v>
      </c>
      <c r="T14" s="189">
        <f>SUM('[1]ANEXO ECONOMICO MODIFICACION 3'!N15:N16)</f>
        <v>582727.6</v>
      </c>
      <c r="U14" s="189">
        <f t="shared" ref="U14:U77" si="11">SUM(S14:T14)</f>
        <v>7167703.3389999997</v>
      </c>
      <c r="V14" s="191">
        <f t="shared" ref="V14:V41" si="12">+U14-Q14</f>
        <v>6767703.3389999997</v>
      </c>
    </row>
    <row r="15" spans="1:22" ht="13.5" customHeight="1">
      <c r="A15" s="270"/>
      <c r="B15" s="96" t="s">
        <v>66</v>
      </c>
      <c r="C15" s="91">
        <v>2</v>
      </c>
      <c r="D15" s="92">
        <f t="shared" si="4"/>
        <v>2576000</v>
      </c>
      <c r="E15" s="80">
        <f t="shared" si="5"/>
        <v>257600</v>
      </c>
      <c r="F15" s="81">
        <f t="shared" ref="F15:F26" si="13">+E15+D15</f>
        <v>2833600</v>
      </c>
      <c r="G15" s="80">
        <f>+ROUND((F15*10%),0)</f>
        <v>283360</v>
      </c>
      <c r="H15" s="80">
        <f t="shared" si="6"/>
        <v>48944</v>
      </c>
      <c r="I15" s="192">
        <f>+H15+F15</f>
        <v>2882544</v>
      </c>
      <c r="J15" s="84">
        <f t="shared" si="0"/>
        <v>5765088</v>
      </c>
      <c r="K15" s="190">
        <f t="shared" si="1"/>
        <v>400000</v>
      </c>
      <c r="L15" s="84">
        <f t="shared" si="7"/>
        <v>2306035.2000000002</v>
      </c>
      <c r="M15" s="84">
        <f t="shared" si="7"/>
        <v>160000</v>
      </c>
      <c r="N15" s="189">
        <f t="shared" si="8"/>
        <v>400000</v>
      </c>
      <c r="O15" s="190">
        <f t="shared" si="9"/>
        <v>5765088</v>
      </c>
      <c r="P15" s="84">
        <f t="shared" si="2"/>
        <v>6916639.71</v>
      </c>
      <c r="Q15" s="87">
        <f t="shared" si="3"/>
        <v>400000</v>
      </c>
      <c r="R15" s="189">
        <f t="shared" ref="R15:R78" si="14">+Q15+P15</f>
        <v>7316639.71</v>
      </c>
      <c r="S15" s="189">
        <f t="shared" si="10"/>
        <v>6584975.7390000001</v>
      </c>
      <c r="T15" s="189">
        <f>SUM('[1]ANEXO ECONOMICO MODIFICACION 3'!N17:N18)</f>
        <v>582727.6</v>
      </c>
      <c r="U15" s="189">
        <f t="shared" si="11"/>
        <v>7167703.3389999997</v>
      </c>
      <c r="V15" s="191">
        <f t="shared" si="12"/>
        <v>6767703.3389999997</v>
      </c>
    </row>
    <row r="16" spans="1:22" ht="13.5" customHeight="1">
      <c r="A16" s="270"/>
      <c r="B16" s="96" t="s">
        <v>67</v>
      </c>
      <c r="C16" s="94">
        <v>2</v>
      </c>
      <c r="D16" s="92">
        <f t="shared" si="4"/>
        <v>2576000</v>
      </c>
      <c r="E16" s="80">
        <f t="shared" si="5"/>
        <v>257600</v>
      </c>
      <c r="F16" s="81">
        <f t="shared" si="13"/>
        <v>2833600</v>
      </c>
      <c r="G16" s="80">
        <f>+ROUND((F16*10%),0)</f>
        <v>283360</v>
      </c>
      <c r="H16" s="80">
        <f t="shared" si="6"/>
        <v>48944</v>
      </c>
      <c r="I16" s="192">
        <f t="shared" ref="I16:I26" si="15">+H16+F16</f>
        <v>2882544</v>
      </c>
      <c r="J16" s="84">
        <f t="shared" si="0"/>
        <v>5765088</v>
      </c>
      <c r="K16" s="190">
        <f t="shared" si="1"/>
        <v>400000</v>
      </c>
      <c r="L16" s="84">
        <f t="shared" si="7"/>
        <v>2306035.2000000002</v>
      </c>
      <c r="M16" s="84">
        <f t="shared" si="7"/>
        <v>160000</v>
      </c>
      <c r="N16" s="189">
        <f t="shared" si="8"/>
        <v>400000</v>
      </c>
      <c r="O16" s="190">
        <f t="shared" si="9"/>
        <v>5765088</v>
      </c>
      <c r="P16" s="84">
        <f t="shared" si="2"/>
        <v>6916639.71</v>
      </c>
      <c r="Q16" s="87">
        <f t="shared" si="3"/>
        <v>400000</v>
      </c>
      <c r="R16" s="189">
        <f t="shared" si="14"/>
        <v>7316639.71</v>
      </c>
      <c r="S16" s="189">
        <f t="shared" si="10"/>
        <v>6584975.7390000001</v>
      </c>
      <c r="T16" s="189">
        <f>SUM('[1]ANEXO ECONOMICO MODIFICACION 3'!N19:N20)</f>
        <v>582727.6</v>
      </c>
      <c r="U16" s="189">
        <f t="shared" si="11"/>
        <v>7167703.3389999997</v>
      </c>
      <c r="V16" s="191">
        <f t="shared" si="12"/>
        <v>6767703.3389999997</v>
      </c>
    </row>
    <row r="17" spans="1:22" ht="26.25">
      <c r="A17" s="270"/>
      <c r="B17" s="96" t="s">
        <v>68</v>
      </c>
      <c r="C17" s="94">
        <v>1</v>
      </c>
      <c r="D17" s="92">
        <f t="shared" si="4"/>
        <v>2576000</v>
      </c>
      <c r="E17" s="80">
        <f t="shared" si="5"/>
        <v>257600</v>
      </c>
      <c r="F17" s="81">
        <f t="shared" si="13"/>
        <v>2833600</v>
      </c>
      <c r="G17" s="80">
        <f>+ROUND((F17*10%),0)</f>
        <v>283360</v>
      </c>
      <c r="H17" s="80">
        <f t="shared" si="6"/>
        <v>48944</v>
      </c>
      <c r="I17" s="192">
        <f t="shared" si="15"/>
        <v>2882544</v>
      </c>
      <c r="J17" s="84">
        <f t="shared" si="0"/>
        <v>2882544</v>
      </c>
      <c r="K17" s="190">
        <f t="shared" si="1"/>
        <v>200000</v>
      </c>
      <c r="L17" s="84">
        <f t="shared" si="7"/>
        <v>1153017.6000000001</v>
      </c>
      <c r="M17" s="84">
        <f t="shared" si="7"/>
        <v>80000</v>
      </c>
      <c r="N17" s="189">
        <f t="shared" si="8"/>
        <v>200000</v>
      </c>
      <c r="O17" s="190">
        <f t="shared" si="9"/>
        <v>2882544</v>
      </c>
      <c r="P17" s="84">
        <f t="shared" si="2"/>
        <v>3458319.855</v>
      </c>
      <c r="Q17" s="87">
        <f t="shared" si="3"/>
        <v>200000</v>
      </c>
      <c r="R17" s="189">
        <f t="shared" si="14"/>
        <v>3658319.855</v>
      </c>
      <c r="S17" s="189">
        <f t="shared" si="10"/>
        <v>3292487.8695</v>
      </c>
      <c r="T17" s="189">
        <f>+R17/30*T12</f>
        <v>365831.98549999995</v>
      </c>
      <c r="U17" s="189">
        <f t="shared" si="11"/>
        <v>3658319.855</v>
      </c>
      <c r="V17" s="191">
        <f t="shared" si="12"/>
        <v>3458319.855</v>
      </c>
    </row>
    <row r="18" spans="1:22">
      <c r="A18" s="270"/>
      <c r="B18" s="96" t="s">
        <v>69</v>
      </c>
      <c r="C18" s="94">
        <v>2</v>
      </c>
      <c r="D18" s="92">
        <f t="shared" si="4"/>
        <v>2576000</v>
      </c>
      <c r="E18" s="80">
        <f t="shared" si="5"/>
        <v>257600</v>
      </c>
      <c r="F18" s="81">
        <f>+E18+D18</f>
        <v>2833600</v>
      </c>
      <c r="G18" s="80">
        <f t="shared" ref="G18:G28" si="16">+ROUND((F18*10%),0)</f>
        <v>283360</v>
      </c>
      <c r="H18" s="80">
        <f t="shared" si="6"/>
        <v>48944</v>
      </c>
      <c r="I18" s="192">
        <f>+H18+F18</f>
        <v>2882544</v>
      </c>
      <c r="J18" s="84">
        <f t="shared" si="0"/>
        <v>5765088</v>
      </c>
      <c r="K18" s="190">
        <f t="shared" si="1"/>
        <v>400000</v>
      </c>
      <c r="L18" s="84">
        <f t="shared" si="7"/>
        <v>2306035.2000000002</v>
      </c>
      <c r="M18" s="84">
        <f t="shared" si="7"/>
        <v>160000</v>
      </c>
      <c r="N18" s="189">
        <f t="shared" si="8"/>
        <v>400000</v>
      </c>
      <c r="O18" s="190">
        <f t="shared" si="9"/>
        <v>5765088</v>
      </c>
      <c r="P18" s="84">
        <f t="shared" si="2"/>
        <v>6916639.71</v>
      </c>
      <c r="Q18" s="87">
        <f t="shared" si="3"/>
        <v>400000</v>
      </c>
      <c r="R18" s="189">
        <f t="shared" si="14"/>
        <v>7316639.71</v>
      </c>
      <c r="S18" s="189">
        <f t="shared" si="10"/>
        <v>6584975.7390000001</v>
      </c>
      <c r="T18" s="189">
        <f>SUM('[1]ANEXO ECONOMICO MODIFICACION 3'!N22:N23)</f>
        <v>582727.6</v>
      </c>
      <c r="U18" s="189">
        <f t="shared" si="11"/>
        <v>7167703.3389999997</v>
      </c>
      <c r="V18" s="191">
        <f t="shared" si="12"/>
        <v>6767703.3389999997</v>
      </c>
    </row>
    <row r="19" spans="1:22">
      <c r="A19" s="270"/>
      <c r="B19" s="96" t="s">
        <v>70</v>
      </c>
      <c r="C19" s="94">
        <v>2</v>
      </c>
      <c r="D19" s="92">
        <f t="shared" si="4"/>
        <v>2576000</v>
      </c>
      <c r="E19" s="80">
        <f t="shared" si="5"/>
        <v>257600</v>
      </c>
      <c r="F19" s="81">
        <f t="shared" si="13"/>
        <v>2833600</v>
      </c>
      <c r="G19" s="80">
        <f t="shared" si="16"/>
        <v>283360</v>
      </c>
      <c r="H19" s="80">
        <f t="shared" si="6"/>
        <v>48944</v>
      </c>
      <c r="I19" s="192">
        <f t="shared" si="15"/>
        <v>2882544</v>
      </c>
      <c r="J19" s="84">
        <f t="shared" si="0"/>
        <v>5765088</v>
      </c>
      <c r="K19" s="190">
        <f t="shared" si="1"/>
        <v>400000</v>
      </c>
      <c r="L19" s="84">
        <f t="shared" si="7"/>
        <v>2306035.2000000002</v>
      </c>
      <c r="M19" s="84">
        <f t="shared" si="7"/>
        <v>160000</v>
      </c>
      <c r="N19" s="189">
        <f t="shared" si="8"/>
        <v>400000</v>
      </c>
      <c r="O19" s="190">
        <f t="shared" si="9"/>
        <v>5765088</v>
      </c>
      <c r="P19" s="84">
        <f t="shared" si="2"/>
        <v>6916639.71</v>
      </c>
      <c r="Q19" s="87">
        <f t="shared" si="3"/>
        <v>400000</v>
      </c>
      <c r="R19" s="189">
        <f t="shared" si="14"/>
        <v>7316639.71</v>
      </c>
      <c r="S19" s="189">
        <f t="shared" si="10"/>
        <v>6584975.7390000001</v>
      </c>
      <c r="T19" s="189">
        <f>+R19/30*T12</f>
        <v>731663.9709999999</v>
      </c>
      <c r="U19" s="189">
        <f t="shared" si="11"/>
        <v>7316639.71</v>
      </c>
      <c r="V19" s="191">
        <f t="shared" si="12"/>
        <v>6916639.71</v>
      </c>
    </row>
    <row r="20" spans="1:22">
      <c r="A20" s="270"/>
      <c r="B20" s="96" t="s">
        <v>71</v>
      </c>
      <c r="C20" s="94">
        <v>2</v>
      </c>
      <c r="D20" s="92">
        <f t="shared" si="4"/>
        <v>2576000</v>
      </c>
      <c r="E20" s="80">
        <f t="shared" si="5"/>
        <v>257600</v>
      </c>
      <c r="F20" s="81">
        <f t="shared" si="13"/>
        <v>2833600</v>
      </c>
      <c r="G20" s="80">
        <f t="shared" si="16"/>
        <v>283360</v>
      </c>
      <c r="H20" s="80">
        <f t="shared" si="6"/>
        <v>48944</v>
      </c>
      <c r="I20" s="192">
        <f t="shared" si="15"/>
        <v>2882544</v>
      </c>
      <c r="J20" s="84">
        <f t="shared" si="0"/>
        <v>5765088</v>
      </c>
      <c r="K20" s="190">
        <f t="shared" si="1"/>
        <v>400000</v>
      </c>
      <c r="L20" s="84">
        <f t="shared" si="7"/>
        <v>2306035.2000000002</v>
      </c>
      <c r="M20" s="84">
        <f t="shared" si="7"/>
        <v>160000</v>
      </c>
      <c r="N20" s="189">
        <f t="shared" si="8"/>
        <v>400000</v>
      </c>
      <c r="O20" s="190">
        <f t="shared" si="9"/>
        <v>5765088</v>
      </c>
      <c r="P20" s="84">
        <f t="shared" si="2"/>
        <v>6916639.71</v>
      </c>
      <c r="Q20" s="87">
        <f t="shared" si="3"/>
        <v>400000</v>
      </c>
      <c r="R20" s="189">
        <f t="shared" si="14"/>
        <v>7316639.71</v>
      </c>
      <c r="S20" s="189">
        <f t="shared" si="10"/>
        <v>6584975.7390000001</v>
      </c>
      <c r="T20" s="189">
        <f>SUM('[1]ANEXO ECONOMICO MODIFICACION 3'!N25:N26)</f>
        <v>582727.6</v>
      </c>
      <c r="U20" s="189">
        <f t="shared" si="11"/>
        <v>7167703.3389999997</v>
      </c>
      <c r="V20" s="191">
        <f t="shared" si="12"/>
        <v>6767703.3389999997</v>
      </c>
    </row>
    <row r="21" spans="1:22">
      <c r="A21" s="270"/>
      <c r="B21" s="96" t="s">
        <v>72</v>
      </c>
      <c r="C21" s="94">
        <v>2</v>
      </c>
      <c r="D21" s="92">
        <f t="shared" si="4"/>
        <v>2576000</v>
      </c>
      <c r="E21" s="80">
        <f t="shared" si="5"/>
        <v>257600</v>
      </c>
      <c r="F21" s="81">
        <f t="shared" si="13"/>
        <v>2833600</v>
      </c>
      <c r="G21" s="80">
        <f t="shared" si="16"/>
        <v>283360</v>
      </c>
      <c r="H21" s="80">
        <f t="shared" si="6"/>
        <v>48944</v>
      </c>
      <c r="I21" s="192">
        <f t="shared" si="15"/>
        <v>2882544</v>
      </c>
      <c r="J21" s="84">
        <f t="shared" si="0"/>
        <v>5765088</v>
      </c>
      <c r="K21" s="190">
        <f t="shared" si="1"/>
        <v>400000</v>
      </c>
      <c r="L21" s="84">
        <f t="shared" si="7"/>
        <v>2306035.2000000002</v>
      </c>
      <c r="M21" s="84">
        <f t="shared" si="7"/>
        <v>160000</v>
      </c>
      <c r="N21" s="189">
        <f t="shared" si="8"/>
        <v>400000</v>
      </c>
      <c r="O21" s="190">
        <f t="shared" si="9"/>
        <v>5765088</v>
      </c>
      <c r="P21" s="84">
        <f t="shared" si="2"/>
        <v>6916639.71</v>
      </c>
      <c r="Q21" s="87">
        <f t="shared" si="3"/>
        <v>400000</v>
      </c>
      <c r="R21" s="189">
        <f t="shared" si="14"/>
        <v>7316639.71</v>
      </c>
      <c r="S21" s="189">
        <f t="shared" si="10"/>
        <v>6584975.7390000001</v>
      </c>
      <c r="T21" s="189">
        <f>+R21/30*T12</f>
        <v>731663.9709999999</v>
      </c>
      <c r="U21" s="189">
        <f t="shared" si="11"/>
        <v>7316639.71</v>
      </c>
      <c r="V21" s="191">
        <f t="shared" si="12"/>
        <v>6916639.71</v>
      </c>
    </row>
    <row r="22" spans="1:22" ht="26.25">
      <c r="A22" s="270"/>
      <c r="B22" s="96" t="s">
        <v>73</v>
      </c>
      <c r="C22" s="94">
        <v>1</v>
      </c>
      <c r="D22" s="92">
        <f t="shared" si="4"/>
        <v>2576000</v>
      </c>
      <c r="E22" s="80">
        <f t="shared" si="5"/>
        <v>257600</v>
      </c>
      <c r="F22" s="81">
        <f t="shared" si="13"/>
        <v>2833600</v>
      </c>
      <c r="G22" s="80">
        <f t="shared" si="16"/>
        <v>283360</v>
      </c>
      <c r="H22" s="80">
        <f t="shared" si="6"/>
        <v>48944</v>
      </c>
      <c r="I22" s="192">
        <f t="shared" si="15"/>
        <v>2882544</v>
      </c>
      <c r="J22" s="84">
        <f t="shared" si="0"/>
        <v>2882544</v>
      </c>
      <c r="K22" s="190">
        <f t="shared" si="1"/>
        <v>200000</v>
      </c>
      <c r="L22" s="84">
        <f t="shared" si="7"/>
        <v>1153017.6000000001</v>
      </c>
      <c r="M22" s="84">
        <f t="shared" si="7"/>
        <v>80000</v>
      </c>
      <c r="N22" s="189">
        <f t="shared" si="8"/>
        <v>200000</v>
      </c>
      <c r="O22" s="190">
        <f t="shared" si="9"/>
        <v>2882544</v>
      </c>
      <c r="P22" s="84">
        <f t="shared" si="2"/>
        <v>3458319.855</v>
      </c>
      <c r="Q22" s="87">
        <f t="shared" si="3"/>
        <v>200000</v>
      </c>
      <c r="R22" s="189">
        <f t="shared" si="14"/>
        <v>3658319.855</v>
      </c>
      <c r="S22" s="189">
        <f t="shared" si="10"/>
        <v>3292487.8695</v>
      </c>
      <c r="T22" s="189">
        <f>+R22/30*T12</f>
        <v>365831.98549999995</v>
      </c>
      <c r="U22" s="189">
        <f t="shared" si="11"/>
        <v>3658319.855</v>
      </c>
      <c r="V22" s="191">
        <f t="shared" si="12"/>
        <v>3458319.855</v>
      </c>
    </row>
    <row r="23" spans="1:22">
      <c r="A23" s="270"/>
      <c r="B23" s="96" t="s">
        <v>74</v>
      </c>
      <c r="C23" s="94">
        <v>1</v>
      </c>
      <c r="D23" s="92">
        <f t="shared" si="4"/>
        <v>2576000</v>
      </c>
      <c r="E23" s="80">
        <f t="shared" si="5"/>
        <v>257600</v>
      </c>
      <c r="F23" s="81">
        <f>+E23+D23</f>
        <v>2833600</v>
      </c>
      <c r="G23" s="80">
        <f t="shared" si="16"/>
        <v>283360</v>
      </c>
      <c r="H23" s="80">
        <f t="shared" si="6"/>
        <v>48944</v>
      </c>
      <c r="I23" s="192">
        <f>+H23+F23</f>
        <v>2882544</v>
      </c>
      <c r="J23" s="84">
        <f t="shared" si="0"/>
        <v>2882544</v>
      </c>
      <c r="K23" s="190">
        <f t="shared" si="1"/>
        <v>200000</v>
      </c>
      <c r="L23" s="84">
        <f t="shared" si="7"/>
        <v>1153017.6000000001</v>
      </c>
      <c r="M23" s="84">
        <f t="shared" si="7"/>
        <v>80000</v>
      </c>
      <c r="N23" s="189">
        <f t="shared" si="8"/>
        <v>200000</v>
      </c>
      <c r="O23" s="190">
        <f t="shared" si="9"/>
        <v>2882544</v>
      </c>
      <c r="P23" s="84">
        <f t="shared" si="2"/>
        <v>3458319.855</v>
      </c>
      <c r="Q23" s="87">
        <f t="shared" si="3"/>
        <v>200000</v>
      </c>
      <c r="R23" s="189">
        <f t="shared" si="14"/>
        <v>3658319.855</v>
      </c>
      <c r="S23" s="189">
        <f t="shared" si="10"/>
        <v>3292487.8695</v>
      </c>
      <c r="T23" s="189">
        <f>+R23/30*T12</f>
        <v>365831.98549999995</v>
      </c>
      <c r="U23" s="189">
        <f t="shared" si="11"/>
        <v>3658319.855</v>
      </c>
      <c r="V23" s="191">
        <f t="shared" si="12"/>
        <v>3458319.855</v>
      </c>
    </row>
    <row r="24" spans="1:22">
      <c r="A24" s="270"/>
      <c r="B24" s="96" t="s">
        <v>75</v>
      </c>
      <c r="C24" s="94">
        <v>1</v>
      </c>
      <c r="D24" s="92">
        <f t="shared" si="4"/>
        <v>2576000</v>
      </c>
      <c r="E24" s="80">
        <f t="shared" si="5"/>
        <v>257600</v>
      </c>
      <c r="F24" s="81">
        <f t="shared" si="13"/>
        <v>2833600</v>
      </c>
      <c r="G24" s="80">
        <f t="shared" si="16"/>
        <v>283360</v>
      </c>
      <c r="H24" s="80">
        <f t="shared" si="6"/>
        <v>48944</v>
      </c>
      <c r="I24" s="192">
        <f t="shared" si="15"/>
        <v>2882544</v>
      </c>
      <c r="J24" s="193">
        <f t="shared" si="0"/>
        <v>2882544</v>
      </c>
      <c r="K24" s="190">
        <f t="shared" si="1"/>
        <v>200000</v>
      </c>
      <c r="L24" s="84">
        <f t="shared" si="7"/>
        <v>1153017.6000000001</v>
      </c>
      <c r="M24" s="84">
        <f t="shared" si="7"/>
        <v>80000</v>
      </c>
      <c r="N24" s="189">
        <f t="shared" si="8"/>
        <v>200000</v>
      </c>
      <c r="O24" s="190">
        <f t="shared" si="9"/>
        <v>2882544</v>
      </c>
      <c r="P24" s="84">
        <f t="shared" si="2"/>
        <v>3458319.855</v>
      </c>
      <c r="Q24" s="87">
        <f t="shared" si="3"/>
        <v>200000</v>
      </c>
      <c r="R24" s="189">
        <f t="shared" si="14"/>
        <v>3658319.855</v>
      </c>
      <c r="S24" s="189">
        <f t="shared" si="10"/>
        <v>3292487.8695</v>
      </c>
      <c r="T24" s="189">
        <f>+'[1]ANEXO ECONOMICO MODIFICACION 3'!N30</f>
        <v>216895.6</v>
      </c>
      <c r="U24" s="189">
        <f t="shared" si="11"/>
        <v>3509383.4695000001</v>
      </c>
      <c r="V24" s="191">
        <f t="shared" si="12"/>
        <v>3309383.4695000001</v>
      </c>
    </row>
    <row r="25" spans="1:22">
      <c r="A25" s="270"/>
      <c r="B25" s="96" t="s">
        <v>76</v>
      </c>
      <c r="C25" s="94">
        <v>1</v>
      </c>
      <c r="D25" s="92">
        <f t="shared" si="4"/>
        <v>2576000</v>
      </c>
      <c r="E25" s="80">
        <f t="shared" si="5"/>
        <v>257600</v>
      </c>
      <c r="F25" s="81">
        <f t="shared" si="13"/>
        <v>2833600</v>
      </c>
      <c r="G25" s="80">
        <f t="shared" si="16"/>
        <v>283360</v>
      </c>
      <c r="H25" s="80">
        <f t="shared" si="6"/>
        <v>48944</v>
      </c>
      <c r="I25" s="192">
        <f t="shared" si="15"/>
        <v>2882544</v>
      </c>
      <c r="J25" s="193">
        <f t="shared" si="0"/>
        <v>2882544</v>
      </c>
      <c r="K25" s="190">
        <f t="shared" si="1"/>
        <v>200000</v>
      </c>
      <c r="L25" s="84">
        <f t="shared" si="7"/>
        <v>1153017.6000000001</v>
      </c>
      <c r="M25" s="84">
        <f t="shared" si="7"/>
        <v>80000</v>
      </c>
      <c r="N25" s="189">
        <f t="shared" si="8"/>
        <v>200000</v>
      </c>
      <c r="O25" s="190">
        <f t="shared" si="9"/>
        <v>2882544</v>
      </c>
      <c r="P25" s="84">
        <f t="shared" si="2"/>
        <v>3458319.855</v>
      </c>
      <c r="Q25" s="87">
        <f t="shared" si="3"/>
        <v>200000</v>
      </c>
      <c r="R25" s="189">
        <f t="shared" si="14"/>
        <v>3658319.855</v>
      </c>
      <c r="S25" s="189">
        <f t="shared" si="10"/>
        <v>3292487.8695</v>
      </c>
      <c r="T25" s="189">
        <f>+'[1]ANEXO ECONOMICO MODIFICACION 3'!N31</f>
        <v>216895.6</v>
      </c>
      <c r="U25" s="189">
        <f t="shared" si="11"/>
        <v>3509383.4695000001</v>
      </c>
      <c r="V25" s="191">
        <f t="shared" si="12"/>
        <v>3309383.4695000001</v>
      </c>
    </row>
    <row r="26" spans="1:22">
      <c r="A26" s="270"/>
      <c r="B26" s="96" t="s">
        <v>77</v>
      </c>
      <c r="C26" s="94">
        <v>2</v>
      </c>
      <c r="D26" s="92">
        <f t="shared" si="4"/>
        <v>2576000</v>
      </c>
      <c r="E26" s="80">
        <f t="shared" si="5"/>
        <v>257600</v>
      </c>
      <c r="F26" s="81">
        <f t="shared" si="13"/>
        <v>2833600</v>
      </c>
      <c r="G26" s="80">
        <f t="shared" si="16"/>
        <v>283360</v>
      </c>
      <c r="H26" s="80">
        <f t="shared" si="6"/>
        <v>48944</v>
      </c>
      <c r="I26" s="192">
        <f t="shared" si="15"/>
        <v>2882544</v>
      </c>
      <c r="J26" s="193">
        <f t="shared" si="0"/>
        <v>5765088</v>
      </c>
      <c r="K26" s="190">
        <f t="shared" si="1"/>
        <v>400000</v>
      </c>
      <c r="L26" s="84">
        <f t="shared" si="7"/>
        <v>2306035.2000000002</v>
      </c>
      <c r="M26" s="84">
        <f t="shared" si="7"/>
        <v>160000</v>
      </c>
      <c r="N26" s="189">
        <f t="shared" si="8"/>
        <v>400000</v>
      </c>
      <c r="O26" s="190">
        <f t="shared" si="9"/>
        <v>5765088</v>
      </c>
      <c r="P26" s="84">
        <f t="shared" si="2"/>
        <v>6916639.71</v>
      </c>
      <c r="Q26" s="87">
        <f t="shared" si="3"/>
        <v>400000</v>
      </c>
      <c r="R26" s="189">
        <f t="shared" si="14"/>
        <v>7316639.71</v>
      </c>
      <c r="S26" s="189">
        <f t="shared" si="10"/>
        <v>6584975.7390000001</v>
      </c>
      <c r="T26" s="189">
        <f>SUM('[1]ANEXO ECONOMICO MODIFICACION 3'!N32:N33)</f>
        <v>582727.6</v>
      </c>
      <c r="U26" s="189">
        <f t="shared" si="11"/>
        <v>7167703.3389999997</v>
      </c>
      <c r="V26" s="191">
        <f t="shared" si="12"/>
        <v>6767703.3389999997</v>
      </c>
    </row>
    <row r="27" spans="1:22">
      <c r="A27" s="270"/>
      <c r="B27" s="96" t="s">
        <v>78</v>
      </c>
      <c r="C27" s="94">
        <v>1</v>
      </c>
      <c r="D27" s="92">
        <f t="shared" si="4"/>
        <v>2576000</v>
      </c>
      <c r="E27" s="80">
        <f t="shared" si="5"/>
        <v>257600</v>
      </c>
      <c r="F27" s="81">
        <f>ROUND((+E27+D27),0)</f>
        <v>2833600</v>
      </c>
      <c r="G27" s="80">
        <f t="shared" si="16"/>
        <v>283360</v>
      </c>
      <c r="H27" s="80">
        <f t="shared" si="6"/>
        <v>48944</v>
      </c>
      <c r="I27" s="192">
        <f>+H27+F27</f>
        <v>2882544</v>
      </c>
      <c r="J27" s="194">
        <f t="shared" si="0"/>
        <v>2882544</v>
      </c>
      <c r="K27" s="190">
        <f t="shared" si="1"/>
        <v>200000</v>
      </c>
      <c r="L27" s="84">
        <f t="shared" si="7"/>
        <v>1153017.6000000001</v>
      </c>
      <c r="M27" s="84">
        <f t="shared" si="7"/>
        <v>80000</v>
      </c>
      <c r="N27" s="189">
        <f t="shared" si="8"/>
        <v>200000</v>
      </c>
      <c r="O27" s="190">
        <f t="shared" si="9"/>
        <v>2882544</v>
      </c>
      <c r="P27" s="84">
        <f t="shared" si="2"/>
        <v>3458319.855</v>
      </c>
      <c r="Q27" s="87">
        <f t="shared" si="3"/>
        <v>200000</v>
      </c>
      <c r="R27" s="189">
        <f t="shared" si="14"/>
        <v>3658319.855</v>
      </c>
      <c r="S27" s="189">
        <f t="shared" si="10"/>
        <v>3292487.8695</v>
      </c>
      <c r="T27" s="189">
        <f>+R27/30*T12</f>
        <v>365831.98549999995</v>
      </c>
      <c r="U27" s="189">
        <f t="shared" si="11"/>
        <v>3658319.855</v>
      </c>
      <c r="V27" s="191">
        <f t="shared" si="12"/>
        <v>3458319.855</v>
      </c>
    </row>
    <row r="28" spans="1:22">
      <c r="A28" s="270"/>
      <c r="B28" s="107" t="s">
        <v>79</v>
      </c>
      <c r="C28" s="109">
        <v>6</v>
      </c>
      <c r="D28" s="92">
        <f t="shared" si="4"/>
        <v>2576000</v>
      </c>
      <c r="E28" s="80">
        <f t="shared" si="5"/>
        <v>257600</v>
      </c>
      <c r="F28" s="81">
        <f>ROUND((+E28+D28),0)</f>
        <v>2833600</v>
      </c>
      <c r="G28" s="80">
        <f t="shared" si="16"/>
        <v>283360</v>
      </c>
      <c r="H28" s="80">
        <f t="shared" si="6"/>
        <v>48944</v>
      </c>
      <c r="I28" s="192">
        <f>+H28+F28</f>
        <v>2882544</v>
      </c>
      <c r="J28" s="194">
        <f t="shared" si="0"/>
        <v>17295264</v>
      </c>
      <c r="K28" s="195">
        <v>0</v>
      </c>
      <c r="L28" s="84">
        <f t="shared" si="7"/>
        <v>6918105.6000000006</v>
      </c>
      <c r="M28" s="84">
        <f t="shared" si="7"/>
        <v>0</v>
      </c>
      <c r="N28" s="189">
        <f t="shared" si="8"/>
        <v>0</v>
      </c>
      <c r="O28" s="190">
        <f t="shared" si="9"/>
        <v>17295264</v>
      </c>
      <c r="P28" s="84">
        <f t="shared" si="2"/>
        <v>20749919.129999999</v>
      </c>
      <c r="Q28" s="87">
        <f t="shared" si="3"/>
        <v>0</v>
      </c>
      <c r="R28" s="189">
        <f t="shared" si="14"/>
        <v>20749919.129999999</v>
      </c>
      <c r="S28" s="189">
        <f t="shared" si="10"/>
        <v>18674927.217</v>
      </c>
      <c r="T28" s="189">
        <f>+'[1]ANEXO ECONOMICO MODIFICACION 3'!N35</f>
        <v>1729160</v>
      </c>
      <c r="U28" s="189">
        <f t="shared" si="11"/>
        <v>20404087.217</v>
      </c>
      <c r="V28" s="191">
        <f t="shared" si="12"/>
        <v>20404087.217</v>
      </c>
    </row>
    <row r="29" spans="1:22">
      <c r="A29" s="267" t="s">
        <v>80</v>
      </c>
      <c r="B29" s="96" t="s">
        <v>81</v>
      </c>
      <c r="C29" s="94">
        <v>2</v>
      </c>
      <c r="D29" s="92">
        <f t="shared" si="4"/>
        <v>2576000</v>
      </c>
      <c r="E29" s="80">
        <f t="shared" si="5"/>
        <v>257600</v>
      </c>
      <c r="F29" s="81">
        <f>ROUND((+E29+D29),0)</f>
        <v>2833600</v>
      </c>
      <c r="G29" s="80">
        <f>+ROUND((F29*10%),0)</f>
        <v>283360</v>
      </c>
      <c r="H29" s="80">
        <f t="shared" si="6"/>
        <v>48944</v>
      </c>
      <c r="I29" s="192">
        <f>+H29+F29</f>
        <v>2882544</v>
      </c>
      <c r="J29" s="194">
        <f t="shared" si="0"/>
        <v>5765088</v>
      </c>
      <c r="K29" s="196">
        <f>+$E$3*C29</f>
        <v>400000</v>
      </c>
      <c r="L29" s="84">
        <f t="shared" si="7"/>
        <v>2306035.2000000002</v>
      </c>
      <c r="M29" s="84">
        <f t="shared" si="7"/>
        <v>160000</v>
      </c>
      <c r="N29" s="189">
        <f t="shared" si="8"/>
        <v>400000</v>
      </c>
      <c r="O29" s="190">
        <f t="shared" si="9"/>
        <v>5765088</v>
      </c>
      <c r="P29" s="84">
        <f t="shared" si="2"/>
        <v>6916639.71</v>
      </c>
      <c r="Q29" s="87">
        <f t="shared" si="3"/>
        <v>400000</v>
      </c>
      <c r="R29" s="189">
        <f t="shared" si="14"/>
        <v>7316639.71</v>
      </c>
      <c r="S29" s="189">
        <f t="shared" si="10"/>
        <v>6584975.7390000001</v>
      </c>
      <c r="T29" s="189">
        <f>+R29/30*T12</f>
        <v>731663.9709999999</v>
      </c>
      <c r="U29" s="189">
        <f t="shared" si="11"/>
        <v>7316639.71</v>
      </c>
      <c r="V29" s="191">
        <f t="shared" si="12"/>
        <v>6916639.71</v>
      </c>
    </row>
    <row r="30" spans="1:22">
      <c r="A30" s="267"/>
      <c r="B30" s="107" t="s">
        <v>79</v>
      </c>
      <c r="C30" s="109">
        <v>1</v>
      </c>
      <c r="D30" s="92">
        <f t="shared" si="4"/>
        <v>2576000</v>
      </c>
      <c r="E30" s="80">
        <f t="shared" si="5"/>
        <v>257600</v>
      </c>
      <c r="F30" s="81">
        <f>ROUND((+E30+D30),0)</f>
        <v>2833600</v>
      </c>
      <c r="G30" s="80">
        <f>+ROUND((F30*10%),0)</f>
        <v>283360</v>
      </c>
      <c r="H30" s="80">
        <f t="shared" si="6"/>
        <v>48944</v>
      </c>
      <c r="I30" s="192">
        <f>+H30+F30</f>
        <v>2882544</v>
      </c>
      <c r="J30" s="194">
        <f t="shared" si="0"/>
        <v>2882544</v>
      </c>
      <c r="K30" s="195">
        <v>0</v>
      </c>
      <c r="L30" s="84">
        <f t="shared" si="7"/>
        <v>1153017.6000000001</v>
      </c>
      <c r="M30" s="84">
        <f t="shared" si="7"/>
        <v>0</v>
      </c>
      <c r="N30" s="189">
        <f t="shared" si="8"/>
        <v>0</v>
      </c>
      <c r="O30" s="190">
        <f t="shared" si="9"/>
        <v>2882544</v>
      </c>
      <c r="P30" s="84">
        <f t="shared" si="2"/>
        <v>3458319.855</v>
      </c>
      <c r="Q30" s="87">
        <f t="shared" si="3"/>
        <v>0</v>
      </c>
      <c r="R30" s="189">
        <f t="shared" si="14"/>
        <v>3458319.855</v>
      </c>
      <c r="S30" s="189">
        <f t="shared" si="10"/>
        <v>3112487.8695</v>
      </c>
      <c r="T30" s="189">
        <f>+R30/30*T12</f>
        <v>345831.98550000001</v>
      </c>
      <c r="U30" s="189">
        <f t="shared" si="11"/>
        <v>3458319.855</v>
      </c>
      <c r="V30" s="191">
        <f t="shared" si="12"/>
        <v>3458319.855</v>
      </c>
    </row>
    <row r="31" spans="1:22">
      <c r="A31" s="267" t="s">
        <v>82</v>
      </c>
      <c r="B31" s="96" t="s">
        <v>83</v>
      </c>
      <c r="C31" s="94">
        <v>2</v>
      </c>
      <c r="D31" s="92">
        <f t="shared" si="4"/>
        <v>2576000</v>
      </c>
      <c r="E31" s="80">
        <f t="shared" si="5"/>
        <v>257600</v>
      </c>
      <c r="F31" s="81">
        <f t="shared" ref="F31:F41" si="17">ROUND((+E31+D31),0)</f>
        <v>2833600</v>
      </c>
      <c r="G31" s="80">
        <f t="shared" ref="G31:G41" si="18">+ROUND((F31*10%),0)</f>
        <v>283360</v>
      </c>
      <c r="H31" s="80">
        <f t="shared" si="6"/>
        <v>48944</v>
      </c>
      <c r="I31" s="192">
        <f t="shared" ref="I31:I41" si="19">+H31+F31</f>
        <v>2882544</v>
      </c>
      <c r="J31" s="194">
        <f t="shared" si="0"/>
        <v>5765088</v>
      </c>
      <c r="K31" s="196">
        <f>+$E$3*C31</f>
        <v>400000</v>
      </c>
      <c r="L31" s="84">
        <f t="shared" si="7"/>
        <v>2306035.2000000002</v>
      </c>
      <c r="M31" s="84">
        <f t="shared" si="7"/>
        <v>160000</v>
      </c>
      <c r="N31" s="189">
        <f t="shared" si="8"/>
        <v>400000</v>
      </c>
      <c r="O31" s="190">
        <f t="shared" si="9"/>
        <v>5765088</v>
      </c>
      <c r="P31" s="84">
        <f t="shared" si="2"/>
        <v>6916639.71</v>
      </c>
      <c r="Q31" s="87">
        <f t="shared" si="3"/>
        <v>400000</v>
      </c>
      <c r="R31" s="189">
        <f t="shared" si="14"/>
        <v>7316639.71</v>
      </c>
      <c r="S31" s="189">
        <f t="shared" si="10"/>
        <v>6584975.7390000001</v>
      </c>
      <c r="T31" s="189">
        <f>+R31/30*T12</f>
        <v>731663.9709999999</v>
      </c>
      <c r="U31" s="189">
        <f t="shared" si="11"/>
        <v>7316639.71</v>
      </c>
      <c r="V31" s="191">
        <f t="shared" si="12"/>
        <v>6916639.71</v>
      </c>
    </row>
    <row r="32" spans="1:22">
      <c r="A32" s="267"/>
      <c r="B32" s="107" t="s">
        <v>79</v>
      </c>
      <c r="C32" s="109">
        <v>1</v>
      </c>
      <c r="D32" s="92">
        <f t="shared" si="4"/>
        <v>2576000</v>
      </c>
      <c r="E32" s="80">
        <f t="shared" si="5"/>
        <v>257600</v>
      </c>
      <c r="F32" s="81">
        <f t="shared" si="17"/>
        <v>2833600</v>
      </c>
      <c r="G32" s="80">
        <f t="shared" si="18"/>
        <v>283360</v>
      </c>
      <c r="H32" s="80">
        <f t="shared" si="6"/>
        <v>48944</v>
      </c>
      <c r="I32" s="192">
        <f t="shared" si="19"/>
        <v>2882544</v>
      </c>
      <c r="J32" s="194">
        <f t="shared" si="0"/>
        <v>2882544</v>
      </c>
      <c r="K32" s="195">
        <v>0</v>
      </c>
      <c r="L32" s="84">
        <f t="shared" si="7"/>
        <v>1153017.6000000001</v>
      </c>
      <c r="M32" s="84">
        <f t="shared" si="7"/>
        <v>0</v>
      </c>
      <c r="N32" s="189">
        <f t="shared" si="8"/>
        <v>0</v>
      </c>
      <c r="O32" s="190">
        <f t="shared" si="9"/>
        <v>2882544</v>
      </c>
      <c r="P32" s="84">
        <f t="shared" si="2"/>
        <v>3458319.855</v>
      </c>
      <c r="Q32" s="87">
        <f t="shared" si="3"/>
        <v>0</v>
      </c>
      <c r="R32" s="189">
        <f t="shared" si="14"/>
        <v>3458319.855</v>
      </c>
      <c r="S32" s="189">
        <f t="shared" si="10"/>
        <v>3112487.8695</v>
      </c>
      <c r="T32" s="189">
        <f>+R32/30*T12</f>
        <v>345831.98550000001</v>
      </c>
      <c r="U32" s="189">
        <f t="shared" si="11"/>
        <v>3458319.855</v>
      </c>
      <c r="V32" s="191">
        <f t="shared" si="12"/>
        <v>3458319.855</v>
      </c>
    </row>
    <row r="33" spans="1:23">
      <c r="A33" s="267" t="s">
        <v>84</v>
      </c>
      <c r="B33" s="110" t="s">
        <v>85</v>
      </c>
      <c r="C33" s="94">
        <v>3</v>
      </c>
      <c r="D33" s="92">
        <f t="shared" si="4"/>
        <v>2576000</v>
      </c>
      <c r="E33" s="80">
        <f t="shared" si="5"/>
        <v>257600</v>
      </c>
      <c r="F33" s="81">
        <f t="shared" si="17"/>
        <v>2833600</v>
      </c>
      <c r="G33" s="80">
        <f t="shared" si="18"/>
        <v>283360</v>
      </c>
      <c r="H33" s="80">
        <f t="shared" si="6"/>
        <v>48944</v>
      </c>
      <c r="I33" s="192">
        <f t="shared" si="19"/>
        <v>2882544</v>
      </c>
      <c r="J33" s="194">
        <f t="shared" si="0"/>
        <v>8647632</v>
      </c>
      <c r="K33" s="196">
        <f>+$E$3*C33</f>
        <v>600000</v>
      </c>
      <c r="L33" s="84">
        <f t="shared" si="7"/>
        <v>3459052.8000000003</v>
      </c>
      <c r="M33" s="84">
        <f t="shared" si="7"/>
        <v>240000</v>
      </c>
      <c r="N33" s="189">
        <f t="shared" si="8"/>
        <v>600000</v>
      </c>
      <c r="O33" s="190">
        <f t="shared" si="9"/>
        <v>8647632</v>
      </c>
      <c r="P33" s="84">
        <f t="shared" si="2"/>
        <v>10374959.564999999</v>
      </c>
      <c r="Q33" s="87">
        <f t="shared" si="3"/>
        <v>600000</v>
      </c>
      <c r="R33" s="189">
        <f t="shared" si="14"/>
        <v>10974959.564999999</v>
      </c>
      <c r="S33" s="189">
        <f t="shared" si="10"/>
        <v>9877463.6085000001</v>
      </c>
      <c r="T33" s="189">
        <f>SUM('[1]ANEXO ECONOMICO MODIFICACION 3'!N40:N41)</f>
        <v>948559.6</v>
      </c>
      <c r="U33" s="189">
        <f t="shared" si="11"/>
        <v>10826023.2085</v>
      </c>
      <c r="V33" s="191">
        <f t="shared" si="12"/>
        <v>10226023.2085</v>
      </c>
    </row>
    <row r="34" spans="1:23">
      <c r="A34" s="267"/>
      <c r="B34" s="107" t="s">
        <v>79</v>
      </c>
      <c r="C34" s="109">
        <v>1</v>
      </c>
      <c r="D34" s="92">
        <f t="shared" si="4"/>
        <v>2576000</v>
      </c>
      <c r="E34" s="80">
        <f t="shared" si="5"/>
        <v>257600</v>
      </c>
      <c r="F34" s="81">
        <f t="shared" si="17"/>
        <v>2833600</v>
      </c>
      <c r="G34" s="80">
        <f t="shared" si="18"/>
        <v>283360</v>
      </c>
      <c r="H34" s="80">
        <f t="shared" si="6"/>
        <v>48944</v>
      </c>
      <c r="I34" s="192">
        <f t="shared" si="19"/>
        <v>2882544</v>
      </c>
      <c r="J34" s="194">
        <f t="shared" si="0"/>
        <v>2882544</v>
      </c>
      <c r="K34" s="195">
        <v>0</v>
      </c>
      <c r="L34" s="84">
        <f t="shared" si="7"/>
        <v>1153017.6000000001</v>
      </c>
      <c r="M34" s="84">
        <f t="shared" si="7"/>
        <v>0</v>
      </c>
      <c r="N34" s="189">
        <f t="shared" si="8"/>
        <v>0</v>
      </c>
      <c r="O34" s="190">
        <f t="shared" si="9"/>
        <v>2882544</v>
      </c>
      <c r="P34" s="84">
        <f t="shared" si="2"/>
        <v>3458319.855</v>
      </c>
      <c r="Q34" s="87">
        <f t="shared" si="3"/>
        <v>0</v>
      </c>
      <c r="R34" s="189">
        <f t="shared" si="14"/>
        <v>3458319.855</v>
      </c>
      <c r="S34" s="189">
        <f t="shared" si="10"/>
        <v>3112487.8695</v>
      </c>
      <c r="T34" s="189">
        <f>+R34/30*T12</f>
        <v>345831.98550000001</v>
      </c>
      <c r="U34" s="189">
        <f t="shared" si="11"/>
        <v>3458319.855</v>
      </c>
      <c r="V34" s="191">
        <f t="shared" si="12"/>
        <v>3458319.855</v>
      </c>
    </row>
    <row r="35" spans="1:23" ht="15" customHeight="1">
      <c r="A35" s="270" t="s">
        <v>86</v>
      </c>
      <c r="B35" s="110" t="s">
        <v>87</v>
      </c>
      <c r="C35" s="94">
        <v>1</v>
      </c>
      <c r="D35" s="92">
        <f t="shared" si="4"/>
        <v>2576000</v>
      </c>
      <c r="E35" s="80">
        <f t="shared" si="5"/>
        <v>257600</v>
      </c>
      <c r="F35" s="81">
        <f t="shared" si="17"/>
        <v>2833600</v>
      </c>
      <c r="G35" s="80">
        <f t="shared" si="18"/>
        <v>283360</v>
      </c>
      <c r="H35" s="80">
        <f t="shared" si="6"/>
        <v>48944</v>
      </c>
      <c r="I35" s="192">
        <f t="shared" si="19"/>
        <v>2882544</v>
      </c>
      <c r="J35" s="194">
        <f t="shared" si="0"/>
        <v>2882544</v>
      </c>
      <c r="K35" s="196">
        <f>+$E$3*C35</f>
        <v>200000</v>
      </c>
      <c r="L35" s="84">
        <f t="shared" si="7"/>
        <v>1153017.6000000001</v>
      </c>
      <c r="M35" s="84">
        <f t="shared" si="7"/>
        <v>80000</v>
      </c>
      <c r="N35" s="189">
        <f t="shared" si="8"/>
        <v>200000</v>
      </c>
      <c r="O35" s="190">
        <f t="shared" si="9"/>
        <v>2882544</v>
      </c>
      <c r="P35" s="84">
        <f t="shared" si="2"/>
        <v>3458319.855</v>
      </c>
      <c r="Q35" s="87">
        <f t="shared" si="3"/>
        <v>200000</v>
      </c>
      <c r="R35" s="189">
        <f t="shared" si="14"/>
        <v>3658319.855</v>
      </c>
      <c r="S35" s="189">
        <f t="shared" si="10"/>
        <v>3292487.8695</v>
      </c>
      <c r="T35" s="189">
        <f>+R35/30*T12</f>
        <v>365831.98549999995</v>
      </c>
      <c r="U35" s="189">
        <f t="shared" si="11"/>
        <v>3658319.855</v>
      </c>
      <c r="V35" s="191">
        <f t="shared" si="12"/>
        <v>3458319.855</v>
      </c>
    </row>
    <row r="36" spans="1:23">
      <c r="A36" s="270"/>
      <c r="B36" s="110" t="s">
        <v>88</v>
      </c>
      <c r="C36" s="94">
        <v>1</v>
      </c>
      <c r="D36" s="92">
        <f t="shared" si="4"/>
        <v>2576000</v>
      </c>
      <c r="E36" s="80">
        <f t="shared" si="5"/>
        <v>257600</v>
      </c>
      <c r="F36" s="81">
        <f t="shared" si="17"/>
        <v>2833600</v>
      </c>
      <c r="G36" s="80">
        <f t="shared" si="18"/>
        <v>283360</v>
      </c>
      <c r="H36" s="80">
        <f t="shared" si="6"/>
        <v>48944</v>
      </c>
      <c r="I36" s="192">
        <f t="shared" si="19"/>
        <v>2882544</v>
      </c>
      <c r="J36" s="194">
        <f t="shared" si="0"/>
        <v>2882544</v>
      </c>
      <c r="K36" s="196">
        <f>+$E$3*C36</f>
        <v>200000</v>
      </c>
      <c r="L36" s="84">
        <f t="shared" si="7"/>
        <v>1153017.6000000001</v>
      </c>
      <c r="M36" s="84">
        <f t="shared" si="7"/>
        <v>80000</v>
      </c>
      <c r="N36" s="189">
        <f t="shared" si="8"/>
        <v>200000</v>
      </c>
      <c r="O36" s="190">
        <f t="shared" si="9"/>
        <v>2882544</v>
      </c>
      <c r="P36" s="84">
        <f t="shared" si="2"/>
        <v>3458319.855</v>
      </c>
      <c r="Q36" s="87">
        <f t="shared" si="3"/>
        <v>200000</v>
      </c>
      <c r="R36" s="189">
        <f t="shared" si="14"/>
        <v>3658319.855</v>
      </c>
      <c r="S36" s="189">
        <f t="shared" si="10"/>
        <v>3292487.8695</v>
      </c>
      <c r="T36" s="189">
        <f>+R36/30*T12</f>
        <v>365831.98549999995</v>
      </c>
      <c r="U36" s="189">
        <f t="shared" si="11"/>
        <v>3658319.855</v>
      </c>
      <c r="V36" s="191">
        <f t="shared" si="12"/>
        <v>3458319.855</v>
      </c>
    </row>
    <row r="37" spans="1:23" ht="26.25">
      <c r="A37" s="270"/>
      <c r="B37" s="107" t="s">
        <v>89</v>
      </c>
      <c r="C37" s="109">
        <v>2</v>
      </c>
      <c r="D37" s="92">
        <f t="shared" si="4"/>
        <v>2576000</v>
      </c>
      <c r="E37" s="80">
        <f t="shared" si="5"/>
        <v>257600</v>
      </c>
      <c r="F37" s="81">
        <f t="shared" si="17"/>
        <v>2833600</v>
      </c>
      <c r="G37" s="80">
        <f t="shared" si="18"/>
        <v>283360</v>
      </c>
      <c r="H37" s="80">
        <f t="shared" si="6"/>
        <v>48944</v>
      </c>
      <c r="I37" s="192">
        <f t="shared" si="19"/>
        <v>2882544</v>
      </c>
      <c r="J37" s="194">
        <f t="shared" si="0"/>
        <v>5765088</v>
      </c>
      <c r="K37" s="195">
        <v>0</v>
      </c>
      <c r="L37" s="84">
        <f t="shared" si="7"/>
        <v>2306035.2000000002</v>
      </c>
      <c r="M37" s="84">
        <f t="shared" si="7"/>
        <v>0</v>
      </c>
      <c r="N37" s="189">
        <f t="shared" si="8"/>
        <v>0</v>
      </c>
      <c r="O37" s="190">
        <f t="shared" si="9"/>
        <v>5765088</v>
      </c>
      <c r="P37" s="84">
        <f t="shared" si="2"/>
        <v>6916639.71</v>
      </c>
      <c r="Q37" s="87">
        <f t="shared" si="3"/>
        <v>0</v>
      </c>
      <c r="R37" s="189">
        <f t="shared" si="14"/>
        <v>6916639.71</v>
      </c>
      <c r="S37" s="189">
        <f t="shared" si="10"/>
        <v>6224975.7390000001</v>
      </c>
      <c r="T37" s="189">
        <f>+R37/30*T12</f>
        <v>691663.97100000002</v>
      </c>
      <c r="U37" s="189">
        <f t="shared" si="11"/>
        <v>6916639.71</v>
      </c>
      <c r="V37" s="191">
        <f t="shared" si="12"/>
        <v>6916639.71</v>
      </c>
    </row>
    <row r="38" spans="1:23">
      <c r="A38" s="270"/>
      <c r="B38" s="110" t="s">
        <v>90</v>
      </c>
      <c r="C38" s="94">
        <v>4</v>
      </c>
      <c r="D38" s="92">
        <f t="shared" si="4"/>
        <v>2576000</v>
      </c>
      <c r="E38" s="80">
        <f t="shared" si="5"/>
        <v>257600</v>
      </c>
      <c r="F38" s="81">
        <f t="shared" si="17"/>
        <v>2833600</v>
      </c>
      <c r="G38" s="80">
        <f t="shared" si="18"/>
        <v>283360</v>
      </c>
      <c r="H38" s="80">
        <f t="shared" si="6"/>
        <v>48944</v>
      </c>
      <c r="I38" s="192">
        <f t="shared" si="19"/>
        <v>2882544</v>
      </c>
      <c r="J38" s="194">
        <f t="shared" si="0"/>
        <v>11530176</v>
      </c>
      <c r="K38" s="196">
        <f>+$E$3*C38</f>
        <v>800000</v>
      </c>
      <c r="L38" s="84">
        <f t="shared" si="7"/>
        <v>4612070.4000000004</v>
      </c>
      <c r="M38" s="84">
        <f t="shared" si="7"/>
        <v>320000</v>
      </c>
      <c r="N38" s="189">
        <f t="shared" si="8"/>
        <v>800000</v>
      </c>
      <c r="O38" s="190">
        <f t="shared" si="9"/>
        <v>11530176</v>
      </c>
      <c r="P38" s="84">
        <f t="shared" si="2"/>
        <v>13833279.42</v>
      </c>
      <c r="Q38" s="87">
        <f t="shared" si="3"/>
        <v>800000</v>
      </c>
      <c r="R38" s="189">
        <f t="shared" si="14"/>
        <v>14633279.42</v>
      </c>
      <c r="S38" s="189">
        <f t="shared" si="10"/>
        <v>13169951.478</v>
      </c>
      <c r="T38" s="189">
        <f>SUM('[1]ANEXO ECONOMICO MODIFICACION 3'!N46:N47)</f>
        <v>1314391.6000000001</v>
      </c>
      <c r="U38" s="189">
        <f t="shared" si="11"/>
        <v>14484343.078</v>
      </c>
      <c r="V38" s="191">
        <f t="shared" si="12"/>
        <v>13684343.078</v>
      </c>
    </row>
    <row r="39" spans="1:23" ht="26.25">
      <c r="A39" s="270"/>
      <c r="B39" s="107" t="s">
        <v>91</v>
      </c>
      <c r="C39" s="109">
        <v>1</v>
      </c>
      <c r="D39" s="92">
        <f t="shared" si="4"/>
        <v>2576000</v>
      </c>
      <c r="E39" s="80">
        <f t="shared" si="5"/>
        <v>257600</v>
      </c>
      <c r="F39" s="81">
        <f t="shared" si="17"/>
        <v>2833600</v>
      </c>
      <c r="G39" s="80">
        <f t="shared" si="18"/>
        <v>283360</v>
      </c>
      <c r="H39" s="80">
        <f t="shared" si="6"/>
        <v>48944</v>
      </c>
      <c r="I39" s="192">
        <f t="shared" si="19"/>
        <v>2882544</v>
      </c>
      <c r="J39" s="194">
        <f t="shared" si="0"/>
        <v>2882544</v>
      </c>
      <c r="K39" s="195">
        <v>0</v>
      </c>
      <c r="L39" s="84">
        <f t="shared" si="7"/>
        <v>1153017.6000000001</v>
      </c>
      <c r="M39" s="84">
        <f t="shared" si="7"/>
        <v>0</v>
      </c>
      <c r="N39" s="189">
        <f t="shared" si="8"/>
        <v>0</v>
      </c>
      <c r="O39" s="190">
        <f t="shared" si="9"/>
        <v>2882544</v>
      </c>
      <c r="P39" s="84">
        <f t="shared" si="2"/>
        <v>3458319.855</v>
      </c>
      <c r="Q39" s="87">
        <f t="shared" si="3"/>
        <v>0</v>
      </c>
      <c r="R39" s="189">
        <f t="shared" si="14"/>
        <v>3458319.855</v>
      </c>
      <c r="S39" s="189">
        <f t="shared" si="10"/>
        <v>3112487.8695</v>
      </c>
      <c r="T39" s="189">
        <f>+R39/30*$T$12</f>
        <v>345831.98550000001</v>
      </c>
      <c r="U39" s="189">
        <f t="shared" si="11"/>
        <v>3458319.855</v>
      </c>
      <c r="V39" s="191">
        <f t="shared" si="12"/>
        <v>3458319.855</v>
      </c>
    </row>
    <row r="40" spans="1:23" s="112" customFormat="1">
      <c r="A40" s="270"/>
      <c r="B40" s="110" t="s">
        <v>92</v>
      </c>
      <c r="C40" s="94">
        <v>1</v>
      </c>
      <c r="D40" s="92">
        <f t="shared" si="4"/>
        <v>2576000</v>
      </c>
      <c r="E40" s="80">
        <f t="shared" si="5"/>
        <v>257600</v>
      </c>
      <c r="F40" s="81">
        <f t="shared" si="17"/>
        <v>2833600</v>
      </c>
      <c r="G40" s="80">
        <f t="shared" si="18"/>
        <v>283360</v>
      </c>
      <c r="H40" s="80">
        <f t="shared" si="6"/>
        <v>48944</v>
      </c>
      <c r="I40" s="192">
        <f t="shared" si="19"/>
        <v>2882544</v>
      </c>
      <c r="J40" s="194">
        <f t="shared" si="0"/>
        <v>2882544</v>
      </c>
      <c r="K40" s="196">
        <f>+$E$3*C40</f>
        <v>200000</v>
      </c>
      <c r="L40" s="84">
        <f t="shared" si="7"/>
        <v>1153017.6000000001</v>
      </c>
      <c r="M40" s="84">
        <f t="shared" si="7"/>
        <v>80000</v>
      </c>
      <c r="N40" s="189">
        <f t="shared" si="8"/>
        <v>200000</v>
      </c>
      <c r="O40" s="190">
        <f t="shared" si="9"/>
        <v>2882544</v>
      </c>
      <c r="P40" s="84">
        <f t="shared" si="2"/>
        <v>3458319.855</v>
      </c>
      <c r="Q40" s="87">
        <f t="shared" si="3"/>
        <v>200000</v>
      </c>
      <c r="R40" s="189">
        <f t="shared" si="14"/>
        <v>3658319.855</v>
      </c>
      <c r="S40" s="189">
        <f t="shared" si="10"/>
        <v>3292487.8695</v>
      </c>
      <c r="T40" s="189">
        <f t="shared" ref="T40:T41" si="20">+R40/30*$T$12</f>
        <v>365831.98549999995</v>
      </c>
      <c r="U40" s="189">
        <f t="shared" si="11"/>
        <v>3658319.855</v>
      </c>
      <c r="V40" s="191">
        <f t="shared" si="12"/>
        <v>3458319.855</v>
      </c>
    </row>
    <row r="41" spans="1:23" ht="15.75" thickBot="1">
      <c r="A41" s="271"/>
      <c r="B41" s="113" t="s">
        <v>93</v>
      </c>
      <c r="C41" s="114">
        <v>1</v>
      </c>
      <c r="D41" s="115">
        <f t="shared" si="4"/>
        <v>2576000</v>
      </c>
      <c r="E41" s="197">
        <f t="shared" si="5"/>
        <v>257600</v>
      </c>
      <c r="F41" s="198">
        <f t="shared" si="17"/>
        <v>2833600</v>
      </c>
      <c r="G41" s="197">
        <f t="shared" si="18"/>
        <v>283360</v>
      </c>
      <c r="H41" s="197">
        <f t="shared" si="6"/>
        <v>48944</v>
      </c>
      <c r="I41" s="199">
        <f t="shared" si="19"/>
        <v>2882544</v>
      </c>
      <c r="J41" s="200">
        <f t="shared" si="0"/>
        <v>2882544</v>
      </c>
      <c r="K41" s="201">
        <f>+$E$3*C41</f>
        <v>200000</v>
      </c>
      <c r="L41" s="202">
        <f t="shared" si="7"/>
        <v>1153017.6000000001</v>
      </c>
      <c r="M41" s="202">
        <f t="shared" si="7"/>
        <v>80000</v>
      </c>
      <c r="N41" s="203">
        <f t="shared" si="8"/>
        <v>200000</v>
      </c>
      <c r="O41" s="204">
        <f t="shared" si="9"/>
        <v>2882544</v>
      </c>
      <c r="P41" s="84">
        <f t="shared" si="2"/>
        <v>3458319.855</v>
      </c>
      <c r="Q41" s="87">
        <f t="shared" si="3"/>
        <v>200000</v>
      </c>
      <c r="R41" s="83">
        <f t="shared" si="14"/>
        <v>3658319.855</v>
      </c>
      <c r="S41" s="83">
        <f t="shared" si="10"/>
        <v>3292487.8695</v>
      </c>
      <c r="T41" s="189">
        <f t="shared" si="20"/>
        <v>365831.98549999995</v>
      </c>
      <c r="U41" s="189">
        <f t="shared" si="11"/>
        <v>3658319.855</v>
      </c>
      <c r="V41" s="191">
        <f t="shared" si="12"/>
        <v>3458319.855</v>
      </c>
    </row>
    <row r="42" spans="1:23" ht="26.25">
      <c r="A42" s="116" t="s">
        <v>94</v>
      </c>
      <c r="B42" s="117" t="s">
        <v>95</v>
      </c>
      <c r="C42" s="205">
        <v>1</v>
      </c>
      <c r="D42" s="119">
        <f>+$C$4</f>
        <v>1470900</v>
      </c>
      <c r="E42" s="206">
        <f>+ROUND((D42*$C$7),0)</f>
        <v>147090</v>
      </c>
      <c r="F42" s="207">
        <f>ROUND((+E42+D42),0)</f>
        <v>1617990</v>
      </c>
      <c r="G42" s="206">
        <f>+ROUND((F42*10%),0)</f>
        <v>161799</v>
      </c>
      <c r="H42" s="206">
        <f t="shared" si="6"/>
        <v>27947</v>
      </c>
      <c r="I42" s="208">
        <f>+F42+H42</f>
        <v>1645937</v>
      </c>
      <c r="J42" s="209">
        <f t="shared" si="0"/>
        <v>1645937</v>
      </c>
      <c r="K42" s="208">
        <f t="shared" ref="K42:K53" si="21">+$E$4*C42</f>
        <v>110000</v>
      </c>
      <c r="L42" s="187">
        <f t="shared" si="7"/>
        <v>658374.80000000005</v>
      </c>
      <c r="M42" s="187">
        <f t="shared" si="7"/>
        <v>44000</v>
      </c>
      <c r="N42" s="210">
        <f>+K42/30*15</f>
        <v>55000</v>
      </c>
      <c r="O42" s="188">
        <f>+J42/30*15</f>
        <v>822968.5</v>
      </c>
      <c r="P42" s="84">
        <f t="shared" ref="P42:P53" si="22">+$D$4*C42</f>
        <v>1968955.473</v>
      </c>
      <c r="Q42" s="126">
        <f t="shared" si="3"/>
        <v>110000</v>
      </c>
      <c r="R42" s="80">
        <f t="shared" si="14"/>
        <v>2078955.473</v>
      </c>
      <c r="S42" s="83">
        <f>+(R42/2)/15*12</f>
        <v>831582.18919999991</v>
      </c>
      <c r="T42" s="83">
        <f>+'[1]ANEXO ECONOMICO MODIFICACION 3'!N51</f>
        <v>207895.6</v>
      </c>
      <c r="U42" s="189">
        <f t="shared" si="11"/>
        <v>1039477.7891999999</v>
      </c>
      <c r="V42" s="191">
        <f>+(U42)-(Q42/2)</f>
        <v>984477.78919999988</v>
      </c>
      <c r="W42" s="211"/>
    </row>
    <row r="43" spans="1:23" ht="39">
      <c r="A43" s="127" t="s">
        <v>63</v>
      </c>
      <c r="B43" s="128" t="s">
        <v>96</v>
      </c>
      <c r="C43" s="212">
        <v>1</v>
      </c>
      <c r="D43" s="130">
        <f t="shared" ref="D43:D53" si="23">+$C$4</f>
        <v>1470900</v>
      </c>
      <c r="E43" s="120">
        <f t="shared" ref="E43:E87" si="24">+ROUND((D43*$C$7),0)</f>
        <v>147090</v>
      </c>
      <c r="F43" s="121">
        <f t="shared" ref="F43:F53" si="25">ROUND((+E43+D43),0)</f>
        <v>1617990</v>
      </c>
      <c r="G43" s="120">
        <f t="shared" ref="G43:G87" si="26">+ROUND((F43*10%),0)</f>
        <v>161799</v>
      </c>
      <c r="H43" s="120">
        <f t="shared" si="6"/>
        <v>27947</v>
      </c>
      <c r="I43" s="213">
        <f t="shared" ref="I43:I53" si="27">+F43+H43</f>
        <v>1645937</v>
      </c>
      <c r="J43" s="214">
        <f t="shared" si="0"/>
        <v>1645937</v>
      </c>
      <c r="K43" s="215">
        <f t="shared" si="21"/>
        <v>110000</v>
      </c>
      <c r="L43" s="84">
        <f t="shared" si="7"/>
        <v>658374.80000000005</v>
      </c>
      <c r="M43" s="84">
        <f t="shared" si="7"/>
        <v>44000</v>
      </c>
      <c r="N43" s="189">
        <f t="shared" ref="N43:N87" si="28">+K43/30*15</f>
        <v>55000</v>
      </c>
      <c r="O43" s="190">
        <f t="shared" ref="O43:O87" si="29">+J43/30*15</f>
        <v>822968.5</v>
      </c>
      <c r="P43" s="84">
        <f t="shared" si="22"/>
        <v>1968955.473</v>
      </c>
      <c r="Q43" s="126">
        <f t="shared" si="3"/>
        <v>110000</v>
      </c>
      <c r="R43" s="80">
        <f t="shared" si="14"/>
        <v>2078955.473</v>
      </c>
      <c r="S43" s="83">
        <f>+(R43/2)/15*12</f>
        <v>831582.18919999991</v>
      </c>
      <c r="T43" s="83">
        <f>+'[1]ANEXO ECONOMICO MODIFICACION 3'!N52</f>
        <v>90446.5</v>
      </c>
      <c r="U43" s="189">
        <f t="shared" si="11"/>
        <v>922028.68919999991</v>
      </c>
      <c r="V43" s="191">
        <f t="shared" ref="V43:V87" si="30">+(U43)-(Q43/2)</f>
        <v>867028.68919999991</v>
      </c>
    </row>
    <row r="44" spans="1:23">
      <c r="A44" s="127" t="s">
        <v>97</v>
      </c>
      <c r="B44" s="128" t="s">
        <v>98</v>
      </c>
      <c r="C44" s="212">
        <v>1</v>
      </c>
      <c r="D44" s="130">
        <f t="shared" si="23"/>
        <v>1470900</v>
      </c>
      <c r="E44" s="120">
        <f t="shared" si="24"/>
        <v>147090</v>
      </c>
      <c r="F44" s="121">
        <f t="shared" si="25"/>
        <v>1617990</v>
      </c>
      <c r="G44" s="120">
        <f t="shared" si="26"/>
        <v>161799</v>
      </c>
      <c r="H44" s="120">
        <f t="shared" si="6"/>
        <v>27947</v>
      </c>
      <c r="I44" s="213">
        <f t="shared" si="27"/>
        <v>1645937</v>
      </c>
      <c r="J44" s="214">
        <f t="shared" si="0"/>
        <v>1645937</v>
      </c>
      <c r="K44" s="215">
        <f t="shared" si="21"/>
        <v>110000</v>
      </c>
      <c r="L44" s="84">
        <f t="shared" si="7"/>
        <v>658374.80000000005</v>
      </c>
      <c r="M44" s="84">
        <f t="shared" si="7"/>
        <v>44000</v>
      </c>
      <c r="N44" s="189">
        <f t="shared" si="28"/>
        <v>55000</v>
      </c>
      <c r="O44" s="190">
        <f t="shared" si="29"/>
        <v>822968.5</v>
      </c>
      <c r="P44" s="84">
        <f t="shared" si="22"/>
        <v>1968955.473</v>
      </c>
      <c r="Q44" s="126">
        <f t="shared" si="3"/>
        <v>110000</v>
      </c>
      <c r="R44" s="80">
        <f t="shared" si="14"/>
        <v>2078955.473</v>
      </c>
      <c r="S44" s="83">
        <f>+(R44/2)/15*12</f>
        <v>831582.18919999991</v>
      </c>
      <c r="T44" s="83">
        <f>+'[1]ANEXO ECONOMICO MODIFICACION 3'!N53</f>
        <v>90446.5</v>
      </c>
      <c r="U44" s="189">
        <f t="shared" si="11"/>
        <v>922028.68919999991</v>
      </c>
      <c r="V44" s="191">
        <f t="shared" si="30"/>
        <v>867028.68919999991</v>
      </c>
    </row>
    <row r="45" spans="1:23">
      <c r="A45" s="127" t="s">
        <v>99</v>
      </c>
      <c r="B45" s="128" t="s">
        <v>100</v>
      </c>
      <c r="C45" s="212">
        <v>1</v>
      </c>
      <c r="D45" s="130">
        <f t="shared" si="23"/>
        <v>1470900</v>
      </c>
      <c r="E45" s="120">
        <f t="shared" si="24"/>
        <v>147090</v>
      </c>
      <c r="F45" s="121">
        <f t="shared" si="25"/>
        <v>1617990</v>
      </c>
      <c r="G45" s="120">
        <f t="shared" si="26"/>
        <v>161799</v>
      </c>
      <c r="H45" s="120">
        <f t="shared" si="6"/>
        <v>27947</v>
      </c>
      <c r="I45" s="213">
        <f t="shared" si="27"/>
        <v>1645937</v>
      </c>
      <c r="J45" s="214">
        <f t="shared" si="0"/>
        <v>1645937</v>
      </c>
      <c r="K45" s="215">
        <f t="shared" si="21"/>
        <v>110000</v>
      </c>
      <c r="L45" s="84">
        <f t="shared" si="7"/>
        <v>658374.80000000005</v>
      </c>
      <c r="M45" s="84">
        <f t="shared" si="7"/>
        <v>44000</v>
      </c>
      <c r="N45" s="189">
        <f t="shared" si="28"/>
        <v>55000</v>
      </c>
      <c r="O45" s="190">
        <f t="shared" si="29"/>
        <v>822968.5</v>
      </c>
      <c r="P45" s="84">
        <f t="shared" si="22"/>
        <v>1968955.473</v>
      </c>
      <c r="Q45" s="126">
        <f t="shared" si="3"/>
        <v>110000</v>
      </c>
      <c r="R45" s="80">
        <f t="shared" si="14"/>
        <v>2078955.473</v>
      </c>
      <c r="S45" s="83">
        <f>+(R45/2)/15*12</f>
        <v>831582.18919999991</v>
      </c>
      <c r="T45" s="83">
        <f>+'[1]ANEXO ECONOMICO MODIFICACION 3'!N54</f>
        <v>90446.5</v>
      </c>
      <c r="U45" s="189">
        <f t="shared" si="11"/>
        <v>922028.68919999991</v>
      </c>
      <c r="V45" s="191">
        <f t="shared" si="30"/>
        <v>867028.68919999991</v>
      </c>
    </row>
    <row r="46" spans="1:23">
      <c r="A46" s="127" t="s">
        <v>63</v>
      </c>
      <c r="B46" s="131" t="s">
        <v>101</v>
      </c>
      <c r="C46" s="212">
        <v>1</v>
      </c>
      <c r="D46" s="130">
        <f t="shared" si="23"/>
        <v>1470900</v>
      </c>
      <c r="E46" s="120">
        <f t="shared" si="24"/>
        <v>147090</v>
      </c>
      <c r="F46" s="121">
        <f t="shared" si="25"/>
        <v>1617990</v>
      </c>
      <c r="G46" s="120">
        <f t="shared" si="26"/>
        <v>161799</v>
      </c>
      <c r="H46" s="120">
        <f t="shared" si="6"/>
        <v>27947</v>
      </c>
      <c r="I46" s="213">
        <f t="shared" si="27"/>
        <v>1645937</v>
      </c>
      <c r="J46" s="214">
        <f t="shared" si="0"/>
        <v>1645937</v>
      </c>
      <c r="K46" s="215">
        <f t="shared" si="21"/>
        <v>110000</v>
      </c>
      <c r="L46" s="84">
        <f t="shared" si="7"/>
        <v>658374.80000000005</v>
      </c>
      <c r="M46" s="84">
        <f t="shared" si="7"/>
        <v>44000</v>
      </c>
      <c r="N46" s="189">
        <f t="shared" si="8"/>
        <v>110000</v>
      </c>
      <c r="O46" s="216">
        <f>+J46</f>
        <v>1645937</v>
      </c>
      <c r="P46" s="84">
        <f t="shared" si="22"/>
        <v>1968955.473</v>
      </c>
      <c r="Q46" s="126">
        <f t="shared" si="3"/>
        <v>110000</v>
      </c>
      <c r="R46" s="80">
        <f t="shared" si="14"/>
        <v>2078955.473</v>
      </c>
      <c r="S46" s="83">
        <f>+R46/30*S12</f>
        <v>1871059.9257</v>
      </c>
      <c r="T46" s="83">
        <f>+R46/30*T12</f>
        <v>207895.54729999998</v>
      </c>
      <c r="U46" s="189">
        <f t="shared" si="11"/>
        <v>2078955.473</v>
      </c>
      <c r="V46" s="191">
        <f t="shared" ref="V46" si="31">+U46-Q46</f>
        <v>1968955.473</v>
      </c>
    </row>
    <row r="47" spans="1:23">
      <c r="A47" s="272" t="s">
        <v>86</v>
      </c>
      <c r="B47" s="217" t="s">
        <v>102</v>
      </c>
      <c r="C47" s="212">
        <v>1</v>
      </c>
      <c r="D47" s="130">
        <f t="shared" si="23"/>
        <v>1470900</v>
      </c>
      <c r="E47" s="120">
        <f t="shared" si="24"/>
        <v>147090</v>
      </c>
      <c r="F47" s="121">
        <f t="shared" si="25"/>
        <v>1617990</v>
      </c>
      <c r="G47" s="120">
        <f t="shared" si="26"/>
        <v>161799</v>
      </c>
      <c r="H47" s="120">
        <f t="shared" si="6"/>
        <v>27947</v>
      </c>
      <c r="I47" s="213">
        <f t="shared" si="27"/>
        <v>1645937</v>
      </c>
      <c r="J47" s="214">
        <f t="shared" si="0"/>
        <v>1645937</v>
      </c>
      <c r="K47" s="215">
        <f t="shared" si="21"/>
        <v>110000</v>
      </c>
      <c r="L47" s="84">
        <f t="shared" si="7"/>
        <v>658374.80000000005</v>
      </c>
      <c r="M47" s="84">
        <f t="shared" si="7"/>
        <v>44000</v>
      </c>
      <c r="N47" s="189">
        <f t="shared" si="28"/>
        <v>55000</v>
      </c>
      <c r="O47" s="190">
        <f t="shared" si="29"/>
        <v>822968.5</v>
      </c>
      <c r="P47" s="84">
        <f t="shared" si="22"/>
        <v>1968955.473</v>
      </c>
      <c r="Q47" s="126">
        <f t="shared" si="3"/>
        <v>110000</v>
      </c>
      <c r="R47" s="80">
        <f t="shared" si="14"/>
        <v>2078955.473</v>
      </c>
      <c r="S47" s="83">
        <f t="shared" ref="S47:S87" si="32">+(R47/2)/15*12</f>
        <v>831582.18919999991</v>
      </c>
      <c r="T47" s="83">
        <f>+'[1]ANEXO ECONOMICO MODIFICACION 3'!N56</f>
        <v>90446.5</v>
      </c>
      <c r="U47" s="189">
        <f t="shared" si="11"/>
        <v>922028.68919999991</v>
      </c>
      <c r="V47" s="191">
        <f t="shared" si="30"/>
        <v>867028.68919999991</v>
      </c>
    </row>
    <row r="48" spans="1:23">
      <c r="A48" s="272"/>
      <c r="B48" s="143" t="s">
        <v>93</v>
      </c>
      <c r="C48" s="212">
        <v>1</v>
      </c>
      <c r="D48" s="130">
        <f t="shared" si="23"/>
        <v>1470900</v>
      </c>
      <c r="E48" s="120">
        <f t="shared" si="24"/>
        <v>147090</v>
      </c>
      <c r="F48" s="121">
        <f t="shared" si="25"/>
        <v>1617990</v>
      </c>
      <c r="G48" s="120">
        <f t="shared" si="26"/>
        <v>161799</v>
      </c>
      <c r="H48" s="120">
        <f t="shared" si="6"/>
        <v>27947</v>
      </c>
      <c r="I48" s="213">
        <f t="shared" si="27"/>
        <v>1645937</v>
      </c>
      <c r="J48" s="214">
        <f t="shared" si="0"/>
        <v>1645937</v>
      </c>
      <c r="K48" s="215">
        <f t="shared" si="21"/>
        <v>110000</v>
      </c>
      <c r="L48" s="84">
        <f t="shared" si="7"/>
        <v>658374.80000000005</v>
      </c>
      <c r="M48" s="84">
        <f t="shared" si="7"/>
        <v>44000</v>
      </c>
      <c r="N48" s="189">
        <f t="shared" si="28"/>
        <v>55000</v>
      </c>
      <c r="O48" s="190">
        <f t="shared" si="29"/>
        <v>822968.5</v>
      </c>
      <c r="P48" s="84">
        <f t="shared" si="22"/>
        <v>1968955.473</v>
      </c>
      <c r="Q48" s="126">
        <f t="shared" si="3"/>
        <v>110000</v>
      </c>
      <c r="R48" s="80">
        <f t="shared" si="14"/>
        <v>2078955.473</v>
      </c>
      <c r="S48" s="83">
        <f t="shared" si="32"/>
        <v>831582.18919999991</v>
      </c>
      <c r="T48" s="83">
        <f>+'[1]ANEXO ECONOMICO MODIFICACION 3'!N57</f>
        <v>207895.6</v>
      </c>
      <c r="U48" s="189">
        <f t="shared" si="11"/>
        <v>1039477.7891999999</v>
      </c>
      <c r="V48" s="191">
        <f t="shared" si="30"/>
        <v>984477.78919999988</v>
      </c>
    </row>
    <row r="49" spans="1:22">
      <c r="A49" s="272"/>
      <c r="B49" s="144" t="s">
        <v>103</v>
      </c>
      <c r="C49" s="212">
        <v>1</v>
      </c>
      <c r="D49" s="130">
        <f t="shared" si="23"/>
        <v>1470900</v>
      </c>
      <c r="E49" s="120">
        <f t="shared" si="24"/>
        <v>147090</v>
      </c>
      <c r="F49" s="121">
        <f t="shared" si="25"/>
        <v>1617990</v>
      </c>
      <c r="G49" s="120">
        <f t="shared" si="26"/>
        <v>161799</v>
      </c>
      <c r="H49" s="120">
        <f t="shared" si="6"/>
        <v>27947</v>
      </c>
      <c r="I49" s="213">
        <f t="shared" si="27"/>
        <v>1645937</v>
      </c>
      <c r="J49" s="214">
        <f t="shared" si="0"/>
        <v>1645937</v>
      </c>
      <c r="K49" s="215">
        <f t="shared" si="21"/>
        <v>110000</v>
      </c>
      <c r="L49" s="84">
        <f t="shared" si="7"/>
        <v>658374.80000000005</v>
      </c>
      <c r="M49" s="84">
        <f t="shared" si="7"/>
        <v>44000</v>
      </c>
      <c r="N49" s="189">
        <f t="shared" si="28"/>
        <v>55000</v>
      </c>
      <c r="O49" s="190">
        <f t="shared" si="29"/>
        <v>822968.5</v>
      </c>
      <c r="P49" s="84">
        <f t="shared" si="22"/>
        <v>1968955.473</v>
      </c>
      <c r="Q49" s="126">
        <f t="shared" si="3"/>
        <v>110000</v>
      </c>
      <c r="R49" s="80">
        <f t="shared" si="14"/>
        <v>2078955.473</v>
      </c>
      <c r="S49" s="83">
        <f t="shared" si="32"/>
        <v>831582.18919999991</v>
      </c>
      <c r="T49" s="83">
        <f>+'[1]ANEXO ECONOMICO MODIFICACION 3'!N58</f>
        <v>90446.5</v>
      </c>
      <c r="U49" s="189">
        <f t="shared" si="11"/>
        <v>922028.68919999991</v>
      </c>
      <c r="V49" s="191">
        <f t="shared" si="30"/>
        <v>867028.68919999991</v>
      </c>
    </row>
    <row r="50" spans="1:22">
      <c r="A50" s="272"/>
      <c r="B50" s="131" t="s">
        <v>104</v>
      </c>
      <c r="C50" s="212">
        <v>1</v>
      </c>
      <c r="D50" s="130">
        <f t="shared" si="23"/>
        <v>1470900</v>
      </c>
      <c r="E50" s="120">
        <f t="shared" si="24"/>
        <v>147090</v>
      </c>
      <c r="F50" s="121">
        <f t="shared" si="25"/>
        <v>1617990</v>
      </c>
      <c r="G50" s="120">
        <f t="shared" si="26"/>
        <v>161799</v>
      </c>
      <c r="H50" s="120">
        <f t="shared" si="6"/>
        <v>27947</v>
      </c>
      <c r="I50" s="213">
        <f t="shared" si="27"/>
        <v>1645937</v>
      </c>
      <c r="J50" s="214">
        <f t="shared" si="0"/>
        <v>1645937</v>
      </c>
      <c r="K50" s="215">
        <f t="shared" si="21"/>
        <v>110000</v>
      </c>
      <c r="L50" s="84">
        <f t="shared" si="7"/>
        <v>658374.80000000005</v>
      </c>
      <c r="M50" s="84">
        <f t="shared" si="7"/>
        <v>44000</v>
      </c>
      <c r="N50" s="189">
        <f t="shared" si="28"/>
        <v>55000</v>
      </c>
      <c r="O50" s="190">
        <f t="shared" si="29"/>
        <v>822968.5</v>
      </c>
      <c r="P50" s="84">
        <f t="shared" si="22"/>
        <v>1968955.473</v>
      </c>
      <c r="Q50" s="126">
        <f t="shared" si="3"/>
        <v>110000</v>
      </c>
      <c r="R50" s="80">
        <f t="shared" si="14"/>
        <v>2078955.473</v>
      </c>
      <c r="S50" s="83">
        <f t="shared" si="32"/>
        <v>831582.18919999991</v>
      </c>
      <c r="T50" s="83">
        <f>+'[1]ANEXO ECONOMICO MODIFICACION 3'!N59</f>
        <v>90446.5</v>
      </c>
      <c r="U50" s="189">
        <f t="shared" si="11"/>
        <v>922028.68919999991</v>
      </c>
      <c r="V50" s="191">
        <f t="shared" si="30"/>
        <v>867028.68919999991</v>
      </c>
    </row>
    <row r="51" spans="1:22">
      <c r="A51" s="272"/>
      <c r="B51" s="131" t="s">
        <v>105</v>
      </c>
      <c r="C51" s="212">
        <v>1</v>
      </c>
      <c r="D51" s="130">
        <f t="shared" si="23"/>
        <v>1470900</v>
      </c>
      <c r="E51" s="120">
        <f t="shared" si="24"/>
        <v>147090</v>
      </c>
      <c r="F51" s="121">
        <f t="shared" si="25"/>
        <v>1617990</v>
      </c>
      <c r="G51" s="120">
        <f t="shared" si="26"/>
        <v>161799</v>
      </c>
      <c r="H51" s="120">
        <f t="shared" si="6"/>
        <v>27947</v>
      </c>
      <c r="I51" s="213">
        <f t="shared" si="27"/>
        <v>1645937</v>
      </c>
      <c r="J51" s="214">
        <f t="shared" si="0"/>
        <v>1645937</v>
      </c>
      <c r="K51" s="215">
        <f t="shared" si="21"/>
        <v>110000</v>
      </c>
      <c r="L51" s="84">
        <f t="shared" si="7"/>
        <v>658374.80000000005</v>
      </c>
      <c r="M51" s="84">
        <f t="shared" si="7"/>
        <v>44000</v>
      </c>
      <c r="N51" s="189">
        <f t="shared" si="28"/>
        <v>55000</v>
      </c>
      <c r="O51" s="190">
        <f t="shared" si="29"/>
        <v>822968.5</v>
      </c>
      <c r="P51" s="84">
        <f t="shared" si="22"/>
        <v>1968955.473</v>
      </c>
      <c r="Q51" s="126">
        <f t="shared" si="3"/>
        <v>110000</v>
      </c>
      <c r="R51" s="80">
        <f t="shared" si="14"/>
        <v>2078955.473</v>
      </c>
      <c r="S51" s="83">
        <f t="shared" si="32"/>
        <v>831582.18919999991</v>
      </c>
      <c r="T51" s="83">
        <f>+'[1]ANEXO ECONOMICO MODIFICACION 3'!N60</f>
        <v>90446.5</v>
      </c>
      <c r="U51" s="189">
        <f t="shared" si="11"/>
        <v>922028.68919999991</v>
      </c>
      <c r="V51" s="191">
        <f t="shared" si="30"/>
        <v>867028.68919999991</v>
      </c>
    </row>
    <row r="52" spans="1:22">
      <c r="A52" s="272"/>
      <c r="B52" s="131" t="s">
        <v>106</v>
      </c>
      <c r="C52" s="212">
        <v>1</v>
      </c>
      <c r="D52" s="130">
        <f t="shared" si="23"/>
        <v>1470900</v>
      </c>
      <c r="E52" s="120">
        <f t="shared" si="24"/>
        <v>147090</v>
      </c>
      <c r="F52" s="121">
        <f t="shared" si="25"/>
        <v>1617990</v>
      </c>
      <c r="G52" s="120">
        <f t="shared" si="26"/>
        <v>161799</v>
      </c>
      <c r="H52" s="120">
        <f t="shared" si="6"/>
        <v>27947</v>
      </c>
      <c r="I52" s="213">
        <f t="shared" si="27"/>
        <v>1645937</v>
      </c>
      <c r="J52" s="214">
        <f t="shared" si="0"/>
        <v>1645937</v>
      </c>
      <c r="K52" s="215">
        <f t="shared" si="21"/>
        <v>110000</v>
      </c>
      <c r="L52" s="84">
        <f t="shared" si="7"/>
        <v>658374.80000000005</v>
      </c>
      <c r="M52" s="84">
        <f t="shared" si="7"/>
        <v>44000</v>
      </c>
      <c r="N52" s="189">
        <f t="shared" si="28"/>
        <v>55000</v>
      </c>
      <c r="O52" s="190">
        <f t="shared" si="29"/>
        <v>822968.5</v>
      </c>
      <c r="P52" s="84">
        <f t="shared" si="22"/>
        <v>1968955.473</v>
      </c>
      <c r="Q52" s="126">
        <f t="shared" si="3"/>
        <v>110000</v>
      </c>
      <c r="R52" s="80">
        <f t="shared" si="14"/>
        <v>2078955.473</v>
      </c>
      <c r="S52" s="83">
        <f t="shared" si="32"/>
        <v>831582.18919999991</v>
      </c>
      <c r="T52" s="83">
        <f>+'[1]ANEXO ECONOMICO MODIFICACION 3'!N61</f>
        <v>90446.5</v>
      </c>
      <c r="U52" s="189">
        <f t="shared" si="11"/>
        <v>922028.68919999991</v>
      </c>
      <c r="V52" s="191">
        <f t="shared" si="30"/>
        <v>867028.68919999991</v>
      </c>
    </row>
    <row r="53" spans="1:22" ht="15.75" thickBot="1">
      <c r="A53" s="327"/>
      <c r="B53" s="218" t="s">
        <v>107</v>
      </c>
      <c r="C53" s="219">
        <v>1</v>
      </c>
      <c r="D53" s="220">
        <f t="shared" si="23"/>
        <v>1470900</v>
      </c>
      <c r="E53" s="221">
        <f t="shared" si="24"/>
        <v>147090</v>
      </c>
      <c r="F53" s="222">
        <f t="shared" si="25"/>
        <v>1617990</v>
      </c>
      <c r="G53" s="221">
        <f t="shared" si="26"/>
        <v>161799</v>
      </c>
      <c r="H53" s="221">
        <f t="shared" si="6"/>
        <v>27947</v>
      </c>
      <c r="I53" s="223">
        <f t="shared" si="27"/>
        <v>1645937</v>
      </c>
      <c r="J53" s="224">
        <f t="shared" si="0"/>
        <v>1645937</v>
      </c>
      <c r="K53" s="225">
        <f t="shared" si="21"/>
        <v>110000</v>
      </c>
      <c r="L53" s="84">
        <f t="shared" si="7"/>
        <v>658374.80000000005</v>
      </c>
      <c r="M53" s="84">
        <f t="shared" si="7"/>
        <v>44000</v>
      </c>
      <c r="N53" s="189">
        <f t="shared" si="28"/>
        <v>55000</v>
      </c>
      <c r="O53" s="190">
        <f t="shared" si="29"/>
        <v>822968.5</v>
      </c>
      <c r="P53" s="84">
        <f t="shared" si="22"/>
        <v>1968955.473</v>
      </c>
      <c r="Q53" s="126">
        <f t="shared" si="3"/>
        <v>110000</v>
      </c>
      <c r="R53" s="80">
        <f t="shared" si="14"/>
        <v>2078955.473</v>
      </c>
      <c r="S53" s="83">
        <f t="shared" si="32"/>
        <v>831582.18919999991</v>
      </c>
      <c r="T53" s="83">
        <f>+'[1]ANEXO ECONOMICO MODIFICACION 3'!N62</f>
        <v>90446.5</v>
      </c>
      <c r="U53" s="189">
        <f t="shared" si="11"/>
        <v>922028.68919999991</v>
      </c>
      <c r="V53" s="191">
        <f t="shared" si="30"/>
        <v>867028.68919999991</v>
      </c>
    </row>
    <row r="54" spans="1:22">
      <c r="A54" s="274" t="s">
        <v>108</v>
      </c>
      <c r="B54" s="151" t="s">
        <v>109</v>
      </c>
      <c r="C54" s="152">
        <v>1</v>
      </c>
      <c r="D54" s="153">
        <f>+$C$6</f>
        <v>574516</v>
      </c>
      <c r="E54" s="154">
        <f t="shared" si="24"/>
        <v>57452</v>
      </c>
      <c r="F54" s="155">
        <f>ROUND((+E54+D54),0)</f>
        <v>631968</v>
      </c>
      <c r="G54" s="154">
        <f t="shared" si="26"/>
        <v>63197</v>
      </c>
      <c r="H54" s="154">
        <f t="shared" si="6"/>
        <v>10916</v>
      </c>
      <c r="I54" s="226">
        <f>+F54+H54</f>
        <v>642884</v>
      </c>
      <c r="J54" s="227">
        <f t="shared" si="0"/>
        <v>642884</v>
      </c>
      <c r="K54" s="226">
        <f t="shared" ref="K54:K87" si="33">+$E$6*C54</f>
        <v>100000</v>
      </c>
      <c r="L54" s="84">
        <f t="shared" si="7"/>
        <v>257153.6</v>
      </c>
      <c r="M54" s="84">
        <f t="shared" si="7"/>
        <v>40000</v>
      </c>
      <c r="N54" s="189">
        <f t="shared" si="28"/>
        <v>50000</v>
      </c>
      <c r="O54" s="190">
        <f t="shared" si="29"/>
        <v>321442</v>
      </c>
      <c r="P54" s="84">
        <f t="shared" ref="P54:P87" si="34">+$D$6*C54</f>
        <v>794464.26299999992</v>
      </c>
      <c r="Q54" s="87">
        <f t="shared" si="3"/>
        <v>100000</v>
      </c>
      <c r="R54" s="83">
        <f t="shared" si="14"/>
        <v>894464.26299999992</v>
      </c>
      <c r="S54" s="83">
        <f t="shared" si="32"/>
        <v>357785.70519999997</v>
      </c>
      <c r="T54" s="83">
        <f t="shared" ref="T54:T87" si="35">+(R54/2)/15*3</f>
        <v>89446.426299999992</v>
      </c>
      <c r="U54" s="189">
        <f t="shared" si="11"/>
        <v>447232.13149999996</v>
      </c>
      <c r="V54" s="191">
        <f t="shared" si="30"/>
        <v>397232.13149999996</v>
      </c>
    </row>
    <row r="55" spans="1:22">
      <c r="A55" s="275"/>
      <c r="B55" s="157" t="s">
        <v>110</v>
      </c>
      <c r="C55" s="158">
        <v>1</v>
      </c>
      <c r="D55" s="228">
        <f t="shared" ref="D55:D87" si="36">+$C$6</f>
        <v>574516</v>
      </c>
      <c r="E55" s="160">
        <f t="shared" si="24"/>
        <v>57452</v>
      </c>
      <c r="F55" s="161">
        <f t="shared" ref="F55:F87" si="37">ROUND((+E55+D55),0)</f>
        <v>631968</v>
      </c>
      <c r="G55" s="160">
        <f t="shared" si="26"/>
        <v>63197</v>
      </c>
      <c r="H55" s="160">
        <f t="shared" si="6"/>
        <v>10916</v>
      </c>
      <c r="I55" s="229">
        <f t="shared" ref="I55:I87" si="38">+F55+H55</f>
        <v>642884</v>
      </c>
      <c r="J55" s="230">
        <f t="shared" si="0"/>
        <v>642884</v>
      </c>
      <c r="K55" s="231">
        <f t="shared" si="33"/>
        <v>100000</v>
      </c>
      <c r="L55" s="84">
        <f t="shared" si="7"/>
        <v>257153.6</v>
      </c>
      <c r="M55" s="84">
        <f t="shared" si="7"/>
        <v>40000</v>
      </c>
      <c r="N55" s="189">
        <f t="shared" si="28"/>
        <v>50000</v>
      </c>
      <c r="O55" s="190">
        <f t="shared" si="29"/>
        <v>321442</v>
      </c>
      <c r="P55" s="84">
        <f t="shared" si="34"/>
        <v>794464.26299999992</v>
      </c>
      <c r="Q55" s="87">
        <f t="shared" si="3"/>
        <v>100000</v>
      </c>
      <c r="R55" s="83">
        <f t="shared" si="14"/>
        <v>894464.26299999992</v>
      </c>
      <c r="S55" s="83">
        <f t="shared" si="32"/>
        <v>357785.70519999997</v>
      </c>
      <c r="T55" s="83">
        <f t="shared" si="35"/>
        <v>89446.426299999992</v>
      </c>
      <c r="U55" s="189">
        <f t="shared" si="11"/>
        <v>447232.13149999996</v>
      </c>
      <c r="V55" s="191">
        <f t="shared" si="30"/>
        <v>397232.13149999996</v>
      </c>
    </row>
    <row r="56" spans="1:22">
      <c r="A56" s="275"/>
      <c r="B56" s="157" t="s">
        <v>111</v>
      </c>
      <c r="C56" s="158">
        <v>1</v>
      </c>
      <c r="D56" s="228">
        <f t="shared" si="36"/>
        <v>574516</v>
      </c>
      <c r="E56" s="160">
        <f t="shared" si="24"/>
        <v>57452</v>
      </c>
      <c r="F56" s="161">
        <f t="shared" si="37"/>
        <v>631968</v>
      </c>
      <c r="G56" s="160">
        <f t="shared" si="26"/>
        <v>63197</v>
      </c>
      <c r="H56" s="160">
        <f t="shared" si="6"/>
        <v>10916</v>
      </c>
      <c r="I56" s="229">
        <f t="shared" si="38"/>
        <v>642884</v>
      </c>
      <c r="J56" s="230">
        <f t="shared" si="0"/>
        <v>642884</v>
      </c>
      <c r="K56" s="231">
        <f t="shared" si="33"/>
        <v>100000</v>
      </c>
      <c r="L56" s="84">
        <f t="shared" si="7"/>
        <v>257153.6</v>
      </c>
      <c r="M56" s="84">
        <f t="shared" si="7"/>
        <v>40000</v>
      </c>
      <c r="N56" s="189">
        <f t="shared" si="28"/>
        <v>50000</v>
      </c>
      <c r="O56" s="190">
        <f t="shared" si="29"/>
        <v>321442</v>
      </c>
      <c r="P56" s="84">
        <f t="shared" si="34"/>
        <v>794464.26299999992</v>
      </c>
      <c r="Q56" s="87">
        <f t="shared" si="3"/>
        <v>100000</v>
      </c>
      <c r="R56" s="83">
        <f t="shared" si="14"/>
        <v>894464.26299999992</v>
      </c>
      <c r="S56" s="83">
        <f t="shared" si="32"/>
        <v>357785.70519999997</v>
      </c>
      <c r="T56" s="83">
        <f t="shared" si="35"/>
        <v>89446.426299999992</v>
      </c>
      <c r="U56" s="189">
        <f t="shared" si="11"/>
        <v>447232.13149999996</v>
      </c>
      <c r="V56" s="191">
        <f t="shared" si="30"/>
        <v>397232.13149999996</v>
      </c>
    </row>
    <row r="57" spans="1:22">
      <c r="A57" s="275"/>
      <c r="B57" s="157" t="s">
        <v>112</v>
      </c>
      <c r="C57" s="158">
        <v>1</v>
      </c>
      <c r="D57" s="228">
        <f t="shared" si="36"/>
        <v>574516</v>
      </c>
      <c r="E57" s="160">
        <f t="shared" si="24"/>
        <v>57452</v>
      </c>
      <c r="F57" s="161">
        <f t="shared" si="37"/>
        <v>631968</v>
      </c>
      <c r="G57" s="160">
        <f t="shared" si="26"/>
        <v>63197</v>
      </c>
      <c r="H57" s="160">
        <f t="shared" si="6"/>
        <v>10916</v>
      </c>
      <c r="I57" s="229">
        <f t="shared" si="38"/>
        <v>642884</v>
      </c>
      <c r="J57" s="230">
        <f t="shared" si="0"/>
        <v>642884</v>
      </c>
      <c r="K57" s="231">
        <f t="shared" si="33"/>
        <v>100000</v>
      </c>
      <c r="L57" s="84">
        <f t="shared" si="7"/>
        <v>257153.6</v>
      </c>
      <c r="M57" s="84">
        <f t="shared" si="7"/>
        <v>40000</v>
      </c>
      <c r="N57" s="189">
        <f t="shared" si="28"/>
        <v>50000</v>
      </c>
      <c r="O57" s="190">
        <f t="shared" si="29"/>
        <v>321442</v>
      </c>
      <c r="P57" s="84">
        <f t="shared" si="34"/>
        <v>794464.26299999992</v>
      </c>
      <c r="Q57" s="87">
        <f t="shared" si="3"/>
        <v>100000</v>
      </c>
      <c r="R57" s="83">
        <f t="shared" si="14"/>
        <v>894464.26299999992</v>
      </c>
      <c r="S57" s="83">
        <f t="shared" si="32"/>
        <v>357785.70519999997</v>
      </c>
      <c r="T57" s="83">
        <f t="shared" si="35"/>
        <v>89446.426299999992</v>
      </c>
      <c r="U57" s="189">
        <f t="shared" si="11"/>
        <v>447232.13149999996</v>
      </c>
      <c r="V57" s="191">
        <f t="shared" si="30"/>
        <v>397232.13149999996</v>
      </c>
    </row>
    <row r="58" spans="1:22">
      <c r="A58" s="275"/>
      <c r="B58" s="157" t="s">
        <v>113</v>
      </c>
      <c r="C58" s="158">
        <v>1</v>
      </c>
      <c r="D58" s="228">
        <f t="shared" si="36"/>
        <v>574516</v>
      </c>
      <c r="E58" s="160">
        <f t="shared" si="24"/>
        <v>57452</v>
      </c>
      <c r="F58" s="161">
        <f t="shared" si="37"/>
        <v>631968</v>
      </c>
      <c r="G58" s="160">
        <f t="shared" si="26"/>
        <v>63197</v>
      </c>
      <c r="H58" s="160">
        <f t="shared" si="6"/>
        <v>10916</v>
      </c>
      <c r="I58" s="229">
        <f t="shared" si="38"/>
        <v>642884</v>
      </c>
      <c r="J58" s="230">
        <f t="shared" si="0"/>
        <v>642884</v>
      </c>
      <c r="K58" s="231">
        <f t="shared" si="33"/>
        <v>100000</v>
      </c>
      <c r="L58" s="84">
        <f t="shared" si="7"/>
        <v>257153.6</v>
      </c>
      <c r="M58" s="84">
        <f t="shared" si="7"/>
        <v>40000</v>
      </c>
      <c r="N58" s="189">
        <f t="shared" si="28"/>
        <v>50000</v>
      </c>
      <c r="O58" s="190">
        <f t="shared" si="29"/>
        <v>321442</v>
      </c>
      <c r="P58" s="84">
        <f t="shared" si="34"/>
        <v>794464.26299999992</v>
      </c>
      <c r="Q58" s="87">
        <f t="shared" si="3"/>
        <v>100000</v>
      </c>
      <c r="R58" s="83">
        <f t="shared" si="14"/>
        <v>894464.26299999992</v>
      </c>
      <c r="S58" s="83">
        <f t="shared" si="32"/>
        <v>357785.70519999997</v>
      </c>
      <c r="T58" s="83">
        <f t="shared" si="35"/>
        <v>89446.426299999992</v>
      </c>
      <c r="U58" s="189">
        <f t="shared" si="11"/>
        <v>447232.13149999996</v>
      </c>
      <c r="V58" s="191">
        <f t="shared" si="30"/>
        <v>397232.13149999996</v>
      </c>
    </row>
    <row r="59" spans="1:22">
      <c r="A59" s="275"/>
      <c r="B59" s="163" t="s">
        <v>114</v>
      </c>
      <c r="C59" s="158">
        <v>1</v>
      </c>
      <c r="D59" s="228">
        <f t="shared" si="36"/>
        <v>574516</v>
      </c>
      <c r="E59" s="160">
        <f t="shared" si="24"/>
        <v>57452</v>
      </c>
      <c r="F59" s="161">
        <f t="shared" si="37"/>
        <v>631968</v>
      </c>
      <c r="G59" s="160">
        <f t="shared" si="26"/>
        <v>63197</v>
      </c>
      <c r="H59" s="160">
        <f t="shared" si="6"/>
        <v>10916</v>
      </c>
      <c r="I59" s="229">
        <f t="shared" si="38"/>
        <v>642884</v>
      </c>
      <c r="J59" s="230">
        <f t="shared" si="0"/>
        <v>642884</v>
      </c>
      <c r="K59" s="231">
        <f t="shared" si="33"/>
        <v>100000</v>
      </c>
      <c r="L59" s="84">
        <f t="shared" si="7"/>
        <v>257153.6</v>
      </c>
      <c r="M59" s="84">
        <f t="shared" si="7"/>
        <v>40000</v>
      </c>
      <c r="N59" s="189">
        <f t="shared" si="28"/>
        <v>50000</v>
      </c>
      <c r="O59" s="190">
        <f t="shared" si="29"/>
        <v>321442</v>
      </c>
      <c r="P59" s="84">
        <f t="shared" si="34"/>
        <v>794464.26299999992</v>
      </c>
      <c r="Q59" s="87">
        <f t="shared" si="3"/>
        <v>100000</v>
      </c>
      <c r="R59" s="83">
        <f t="shared" si="14"/>
        <v>894464.26299999992</v>
      </c>
      <c r="S59" s="83">
        <f t="shared" si="32"/>
        <v>357785.70519999997</v>
      </c>
      <c r="T59" s="83">
        <f t="shared" si="35"/>
        <v>89446.426299999992</v>
      </c>
      <c r="U59" s="189">
        <f t="shared" si="11"/>
        <v>447232.13149999996</v>
      </c>
      <c r="V59" s="191">
        <f t="shared" si="30"/>
        <v>397232.13149999996</v>
      </c>
    </row>
    <row r="60" spans="1:22">
      <c r="A60" s="275"/>
      <c r="B60" s="163" t="s">
        <v>115</v>
      </c>
      <c r="C60" s="158">
        <v>1</v>
      </c>
      <c r="D60" s="228">
        <f t="shared" si="36"/>
        <v>574516</v>
      </c>
      <c r="E60" s="160">
        <f t="shared" si="24"/>
        <v>57452</v>
      </c>
      <c r="F60" s="161">
        <f t="shared" si="37"/>
        <v>631968</v>
      </c>
      <c r="G60" s="160">
        <f t="shared" si="26"/>
        <v>63197</v>
      </c>
      <c r="H60" s="160">
        <f t="shared" si="6"/>
        <v>10916</v>
      </c>
      <c r="I60" s="229">
        <f t="shared" si="38"/>
        <v>642884</v>
      </c>
      <c r="J60" s="230">
        <f t="shared" si="0"/>
        <v>642884</v>
      </c>
      <c r="K60" s="231">
        <f t="shared" si="33"/>
        <v>100000</v>
      </c>
      <c r="L60" s="84">
        <f t="shared" si="7"/>
        <v>257153.6</v>
      </c>
      <c r="M60" s="84">
        <f t="shared" si="7"/>
        <v>40000</v>
      </c>
      <c r="N60" s="189">
        <f t="shared" si="28"/>
        <v>50000</v>
      </c>
      <c r="O60" s="190">
        <f t="shared" si="29"/>
        <v>321442</v>
      </c>
      <c r="P60" s="84">
        <f t="shared" si="34"/>
        <v>794464.26299999992</v>
      </c>
      <c r="Q60" s="87">
        <f t="shared" si="3"/>
        <v>100000</v>
      </c>
      <c r="R60" s="83">
        <f t="shared" si="14"/>
        <v>894464.26299999992</v>
      </c>
      <c r="S60" s="83">
        <f t="shared" si="32"/>
        <v>357785.70519999997</v>
      </c>
      <c r="T60" s="83">
        <f t="shared" si="35"/>
        <v>89446.426299999992</v>
      </c>
      <c r="U60" s="189">
        <f t="shared" si="11"/>
        <v>447232.13149999996</v>
      </c>
      <c r="V60" s="191">
        <f t="shared" si="30"/>
        <v>397232.13149999996</v>
      </c>
    </row>
    <row r="61" spans="1:22">
      <c r="A61" s="275"/>
      <c r="B61" s="163" t="s">
        <v>116</v>
      </c>
      <c r="C61" s="158">
        <v>1</v>
      </c>
      <c r="D61" s="228">
        <f t="shared" si="36"/>
        <v>574516</v>
      </c>
      <c r="E61" s="160">
        <f t="shared" si="24"/>
        <v>57452</v>
      </c>
      <c r="F61" s="161">
        <f t="shared" si="37"/>
        <v>631968</v>
      </c>
      <c r="G61" s="160">
        <f t="shared" si="26"/>
        <v>63197</v>
      </c>
      <c r="H61" s="160">
        <f t="shared" si="6"/>
        <v>10916</v>
      </c>
      <c r="I61" s="229">
        <f t="shared" si="38"/>
        <v>642884</v>
      </c>
      <c r="J61" s="230">
        <f t="shared" si="0"/>
        <v>642884</v>
      </c>
      <c r="K61" s="231">
        <f t="shared" si="33"/>
        <v>100000</v>
      </c>
      <c r="L61" s="84">
        <f t="shared" si="7"/>
        <v>257153.6</v>
      </c>
      <c r="M61" s="84">
        <f t="shared" si="7"/>
        <v>40000</v>
      </c>
      <c r="N61" s="189">
        <f t="shared" si="28"/>
        <v>50000</v>
      </c>
      <c r="O61" s="190">
        <f t="shared" si="29"/>
        <v>321442</v>
      </c>
      <c r="P61" s="84">
        <f t="shared" si="34"/>
        <v>794464.26299999992</v>
      </c>
      <c r="Q61" s="87">
        <f t="shared" si="3"/>
        <v>100000</v>
      </c>
      <c r="R61" s="83">
        <f t="shared" si="14"/>
        <v>894464.26299999992</v>
      </c>
      <c r="S61" s="83">
        <f t="shared" si="32"/>
        <v>357785.70519999997</v>
      </c>
      <c r="T61" s="83">
        <f t="shared" si="35"/>
        <v>89446.426299999992</v>
      </c>
      <c r="U61" s="189">
        <f t="shared" si="11"/>
        <v>447232.13149999996</v>
      </c>
      <c r="V61" s="191">
        <f t="shared" si="30"/>
        <v>397232.13149999996</v>
      </c>
    </row>
    <row r="62" spans="1:22">
      <c r="A62" s="275"/>
      <c r="B62" s="163" t="s">
        <v>117</v>
      </c>
      <c r="C62" s="158">
        <v>1</v>
      </c>
      <c r="D62" s="228">
        <f t="shared" si="36"/>
        <v>574516</v>
      </c>
      <c r="E62" s="160">
        <f t="shared" si="24"/>
        <v>57452</v>
      </c>
      <c r="F62" s="161">
        <f t="shared" si="37"/>
        <v>631968</v>
      </c>
      <c r="G62" s="160">
        <f t="shared" si="26"/>
        <v>63197</v>
      </c>
      <c r="H62" s="160">
        <f t="shared" si="6"/>
        <v>10916</v>
      </c>
      <c r="I62" s="229">
        <f t="shared" si="38"/>
        <v>642884</v>
      </c>
      <c r="J62" s="230">
        <f t="shared" si="0"/>
        <v>642884</v>
      </c>
      <c r="K62" s="231">
        <f t="shared" si="33"/>
        <v>100000</v>
      </c>
      <c r="L62" s="84">
        <f t="shared" si="7"/>
        <v>257153.6</v>
      </c>
      <c r="M62" s="84">
        <f t="shared" si="7"/>
        <v>40000</v>
      </c>
      <c r="N62" s="189">
        <f t="shared" si="28"/>
        <v>50000</v>
      </c>
      <c r="O62" s="190">
        <f t="shared" si="29"/>
        <v>321442</v>
      </c>
      <c r="P62" s="84">
        <f t="shared" si="34"/>
        <v>794464.26299999992</v>
      </c>
      <c r="Q62" s="87">
        <f t="shared" si="3"/>
        <v>100000</v>
      </c>
      <c r="R62" s="189">
        <f t="shared" si="14"/>
        <v>894464.26299999992</v>
      </c>
      <c r="S62" s="83">
        <f t="shared" si="32"/>
        <v>357785.70519999997</v>
      </c>
      <c r="T62" s="83">
        <f t="shared" si="35"/>
        <v>89446.426299999992</v>
      </c>
      <c r="U62" s="189">
        <f t="shared" si="11"/>
        <v>447232.13149999996</v>
      </c>
      <c r="V62" s="191">
        <f t="shared" si="30"/>
        <v>397232.13149999996</v>
      </c>
    </row>
    <row r="63" spans="1:22">
      <c r="A63" s="275"/>
      <c r="B63" s="163" t="s">
        <v>118</v>
      </c>
      <c r="C63" s="158">
        <v>1</v>
      </c>
      <c r="D63" s="228">
        <f t="shared" si="36"/>
        <v>574516</v>
      </c>
      <c r="E63" s="160">
        <f t="shared" si="24"/>
        <v>57452</v>
      </c>
      <c r="F63" s="161">
        <f t="shared" si="37"/>
        <v>631968</v>
      </c>
      <c r="G63" s="160">
        <f t="shared" si="26"/>
        <v>63197</v>
      </c>
      <c r="H63" s="160">
        <f t="shared" si="6"/>
        <v>10916</v>
      </c>
      <c r="I63" s="229">
        <f t="shared" si="38"/>
        <v>642884</v>
      </c>
      <c r="J63" s="230">
        <f t="shared" si="0"/>
        <v>642884</v>
      </c>
      <c r="K63" s="231">
        <f t="shared" si="33"/>
        <v>100000</v>
      </c>
      <c r="L63" s="84">
        <f t="shared" si="7"/>
        <v>257153.6</v>
      </c>
      <c r="M63" s="84">
        <f t="shared" si="7"/>
        <v>40000</v>
      </c>
      <c r="N63" s="189">
        <f t="shared" si="28"/>
        <v>50000</v>
      </c>
      <c r="O63" s="190">
        <f t="shared" si="29"/>
        <v>321442</v>
      </c>
      <c r="P63" s="84">
        <f t="shared" si="34"/>
        <v>794464.26299999992</v>
      </c>
      <c r="Q63" s="87">
        <f t="shared" si="3"/>
        <v>100000</v>
      </c>
      <c r="R63" s="189">
        <f t="shared" si="14"/>
        <v>894464.26299999992</v>
      </c>
      <c r="S63" s="83">
        <f t="shared" si="32"/>
        <v>357785.70519999997</v>
      </c>
      <c r="T63" s="83">
        <f t="shared" si="35"/>
        <v>89446.426299999992</v>
      </c>
      <c r="U63" s="189">
        <f t="shared" si="11"/>
        <v>447232.13149999996</v>
      </c>
      <c r="V63" s="191">
        <f t="shared" si="30"/>
        <v>397232.13149999996</v>
      </c>
    </row>
    <row r="64" spans="1:22">
      <c r="A64" s="275"/>
      <c r="B64" s="163" t="s">
        <v>119</v>
      </c>
      <c r="C64" s="158">
        <v>1</v>
      </c>
      <c r="D64" s="228">
        <f t="shared" si="36"/>
        <v>574516</v>
      </c>
      <c r="E64" s="160">
        <f t="shared" si="24"/>
        <v>57452</v>
      </c>
      <c r="F64" s="161">
        <f t="shared" si="37"/>
        <v>631968</v>
      </c>
      <c r="G64" s="160">
        <f t="shared" si="26"/>
        <v>63197</v>
      </c>
      <c r="H64" s="160">
        <f t="shared" si="6"/>
        <v>10916</v>
      </c>
      <c r="I64" s="229">
        <f t="shared" si="38"/>
        <v>642884</v>
      </c>
      <c r="J64" s="230">
        <f t="shared" si="0"/>
        <v>642884</v>
      </c>
      <c r="K64" s="231">
        <f t="shared" si="33"/>
        <v>100000</v>
      </c>
      <c r="L64" s="84">
        <f t="shared" si="7"/>
        <v>257153.6</v>
      </c>
      <c r="M64" s="84">
        <f t="shared" si="7"/>
        <v>40000</v>
      </c>
      <c r="N64" s="189">
        <f t="shared" si="28"/>
        <v>50000</v>
      </c>
      <c r="O64" s="190">
        <f t="shared" si="29"/>
        <v>321442</v>
      </c>
      <c r="P64" s="84">
        <f t="shared" si="34"/>
        <v>794464.26299999992</v>
      </c>
      <c r="Q64" s="87">
        <f t="shared" si="3"/>
        <v>100000</v>
      </c>
      <c r="R64" s="189">
        <f t="shared" si="14"/>
        <v>894464.26299999992</v>
      </c>
      <c r="S64" s="83">
        <f t="shared" si="32"/>
        <v>357785.70519999997</v>
      </c>
      <c r="T64" s="83">
        <f t="shared" si="35"/>
        <v>89446.426299999992</v>
      </c>
      <c r="U64" s="189">
        <f t="shared" si="11"/>
        <v>447232.13149999996</v>
      </c>
      <c r="V64" s="191">
        <f t="shared" si="30"/>
        <v>397232.13149999996</v>
      </c>
    </row>
    <row r="65" spans="1:22">
      <c r="A65" s="275"/>
      <c r="B65" s="163" t="s">
        <v>120</v>
      </c>
      <c r="C65" s="158">
        <v>1</v>
      </c>
      <c r="D65" s="228">
        <f t="shared" si="36"/>
        <v>574516</v>
      </c>
      <c r="E65" s="160">
        <f t="shared" si="24"/>
        <v>57452</v>
      </c>
      <c r="F65" s="161">
        <f t="shared" si="37"/>
        <v>631968</v>
      </c>
      <c r="G65" s="160">
        <f t="shared" si="26"/>
        <v>63197</v>
      </c>
      <c r="H65" s="160">
        <f t="shared" si="6"/>
        <v>10916</v>
      </c>
      <c r="I65" s="229">
        <f t="shared" si="38"/>
        <v>642884</v>
      </c>
      <c r="J65" s="230">
        <f t="shared" si="0"/>
        <v>642884</v>
      </c>
      <c r="K65" s="231">
        <f t="shared" si="33"/>
        <v>100000</v>
      </c>
      <c r="L65" s="84">
        <f t="shared" si="7"/>
        <v>257153.6</v>
      </c>
      <c r="M65" s="84">
        <f t="shared" si="7"/>
        <v>40000</v>
      </c>
      <c r="N65" s="189">
        <f t="shared" si="28"/>
        <v>50000</v>
      </c>
      <c r="O65" s="190">
        <f t="shared" si="29"/>
        <v>321442</v>
      </c>
      <c r="P65" s="84">
        <f t="shared" si="34"/>
        <v>794464.26299999992</v>
      </c>
      <c r="Q65" s="87">
        <f t="shared" si="3"/>
        <v>100000</v>
      </c>
      <c r="R65" s="189">
        <f t="shared" si="14"/>
        <v>894464.26299999992</v>
      </c>
      <c r="S65" s="83">
        <f t="shared" si="32"/>
        <v>357785.70519999997</v>
      </c>
      <c r="T65" s="83">
        <f>+(R65/2)/15*3</f>
        <v>89446.426299999992</v>
      </c>
      <c r="U65" s="189">
        <f t="shared" si="11"/>
        <v>447232.13149999996</v>
      </c>
      <c r="V65" s="191">
        <f t="shared" si="30"/>
        <v>397232.13149999996</v>
      </c>
    </row>
    <row r="66" spans="1:22">
      <c r="A66" s="275"/>
      <c r="B66" s="163" t="s">
        <v>121</v>
      </c>
      <c r="C66" s="158">
        <v>1</v>
      </c>
      <c r="D66" s="228">
        <f t="shared" si="36"/>
        <v>574516</v>
      </c>
      <c r="E66" s="160">
        <f t="shared" si="24"/>
        <v>57452</v>
      </c>
      <c r="F66" s="161">
        <f t="shared" si="37"/>
        <v>631968</v>
      </c>
      <c r="G66" s="160">
        <f t="shared" si="26"/>
        <v>63197</v>
      </c>
      <c r="H66" s="160">
        <f t="shared" si="6"/>
        <v>10916</v>
      </c>
      <c r="I66" s="229">
        <f t="shared" si="38"/>
        <v>642884</v>
      </c>
      <c r="J66" s="230">
        <f t="shared" si="0"/>
        <v>642884</v>
      </c>
      <c r="K66" s="231">
        <f t="shared" si="33"/>
        <v>100000</v>
      </c>
      <c r="L66" s="84">
        <f t="shared" si="7"/>
        <v>257153.6</v>
      </c>
      <c r="M66" s="84">
        <f t="shared" si="7"/>
        <v>40000</v>
      </c>
      <c r="N66" s="189">
        <f t="shared" si="28"/>
        <v>50000</v>
      </c>
      <c r="O66" s="190">
        <f t="shared" si="29"/>
        <v>321442</v>
      </c>
      <c r="P66" s="84">
        <f t="shared" si="34"/>
        <v>794464.26299999992</v>
      </c>
      <c r="Q66" s="87">
        <f t="shared" si="3"/>
        <v>100000</v>
      </c>
      <c r="R66" s="189">
        <f t="shared" si="14"/>
        <v>894464.26299999992</v>
      </c>
      <c r="S66" s="83">
        <f t="shared" si="32"/>
        <v>357785.70519999997</v>
      </c>
      <c r="T66" s="83">
        <f t="shared" si="35"/>
        <v>89446.426299999992</v>
      </c>
      <c r="U66" s="189">
        <f t="shared" si="11"/>
        <v>447232.13149999996</v>
      </c>
      <c r="V66" s="191">
        <f t="shared" si="30"/>
        <v>397232.13149999996</v>
      </c>
    </row>
    <row r="67" spans="1:22">
      <c r="A67" s="275"/>
      <c r="B67" s="163" t="s">
        <v>122</v>
      </c>
      <c r="C67" s="158">
        <v>1</v>
      </c>
      <c r="D67" s="228">
        <f t="shared" si="36"/>
        <v>574516</v>
      </c>
      <c r="E67" s="160">
        <f t="shared" si="24"/>
        <v>57452</v>
      </c>
      <c r="F67" s="161">
        <f t="shared" si="37"/>
        <v>631968</v>
      </c>
      <c r="G67" s="160">
        <f t="shared" si="26"/>
        <v>63197</v>
      </c>
      <c r="H67" s="160">
        <f t="shared" si="6"/>
        <v>10916</v>
      </c>
      <c r="I67" s="229">
        <f t="shared" si="38"/>
        <v>642884</v>
      </c>
      <c r="J67" s="230">
        <f t="shared" si="0"/>
        <v>642884</v>
      </c>
      <c r="K67" s="231">
        <f t="shared" si="33"/>
        <v>100000</v>
      </c>
      <c r="L67" s="84">
        <f t="shared" si="7"/>
        <v>257153.6</v>
      </c>
      <c r="M67" s="84">
        <f t="shared" si="7"/>
        <v>40000</v>
      </c>
      <c r="N67" s="189">
        <f t="shared" si="28"/>
        <v>50000</v>
      </c>
      <c r="O67" s="190">
        <f t="shared" si="29"/>
        <v>321442</v>
      </c>
      <c r="P67" s="84">
        <f t="shared" si="34"/>
        <v>794464.26299999992</v>
      </c>
      <c r="Q67" s="87">
        <f t="shared" si="3"/>
        <v>100000</v>
      </c>
      <c r="R67" s="189">
        <f t="shared" si="14"/>
        <v>894464.26299999992</v>
      </c>
      <c r="S67" s="83">
        <f t="shared" si="32"/>
        <v>357785.70519999997</v>
      </c>
      <c r="T67" s="83">
        <f t="shared" si="35"/>
        <v>89446.426299999992</v>
      </c>
      <c r="U67" s="189">
        <f t="shared" si="11"/>
        <v>447232.13149999996</v>
      </c>
      <c r="V67" s="191">
        <f t="shared" si="30"/>
        <v>397232.13149999996</v>
      </c>
    </row>
    <row r="68" spans="1:22">
      <c r="A68" s="275"/>
      <c r="B68" s="163" t="s">
        <v>123</v>
      </c>
      <c r="C68" s="158">
        <v>1</v>
      </c>
      <c r="D68" s="228">
        <f t="shared" si="36"/>
        <v>574516</v>
      </c>
      <c r="E68" s="160">
        <f t="shared" si="24"/>
        <v>57452</v>
      </c>
      <c r="F68" s="161">
        <f t="shared" si="37"/>
        <v>631968</v>
      </c>
      <c r="G68" s="160">
        <f t="shared" si="26"/>
        <v>63197</v>
      </c>
      <c r="H68" s="160">
        <f t="shared" si="6"/>
        <v>10916</v>
      </c>
      <c r="I68" s="229">
        <f t="shared" si="38"/>
        <v>642884</v>
      </c>
      <c r="J68" s="230">
        <f t="shared" si="0"/>
        <v>642884</v>
      </c>
      <c r="K68" s="231">
        <f t="shared" si="33"/>
        <v>100000</v>
      </c>
      <c r="L68" s="84">
        <f t="shared" si="7"/>
        <v>257153.6</v>
      </c>
      <c r="M68" s="84">
        <f t="shared" si="7"/>
        <v>40000</v>
      </c>
      <c r="N68" s="189">
        <f t="shared" si="28"/>
        <v>50000</v>
      </c>
      <c r="O68" s="190">
        <f t="shared" si="29"/>
        <v>321442</v>
      </c>
      <c r="P68" s="84">
        <f t="shared" si="34"/>
        <v>794464.26299999992</v>
      </c>
      <c r="Q68" s="87">
        <f t="shared" si="3"/>
        <v>100000</v>
      </c>
      <c r="R68" s="189">
        <f t="shared" si="14"/>
        <v>894464.26299999992</v>
      </c>
      <c r="S68" s="83">
        <f t="shared" si="32"/>
        <v>357785.70519999997</v>
      </c>
      <c r="T68" s="83">
        <f t="shared" si="35"/>
        <v>89446.426299999992</v>
      </c>
      <c r="U68" s="189">
        <f t="shared" si="11"/>
        <v>447232.13149999996</v>
      </c>
      <c r="V68" s="191">
        <f t="shared" si="30"/>
        <v>397232.13149999996</v>
      </c>
    </row>
    <row r="69" spans="1:22">
      <c r="A69" s="275"/>
      <c r="B69" s="163" t="s">
        <v>124</v>
      </c>
      <c r="C69" s="158">
        <v>1</v>
      </c>
      <c r="D69" s="228">
        <f t="shared" si="36"/>
        <v>574516</v>
      </c>
      <c r="E69" s="160">
        <f t="shared" si="24"/>
        <v>57452</v>
      </c>
      <c r="F69" s="161">
        <f t="shared" si="37"/>
        <v>631968</v>
      </c>
      <c r="G69" s="160">
        <f t="shared" si="26"/>
        <v>63197</v>
      </c>
      <c r="H69" s="160">
        <f t="shared" si="6"/>
        <v>10916</v>
      </c>
      <c r="I69" s="229">
        <f t="shared" si="38"/>
        <v>642884</v>
      </c>
      <c r="J69" s="230">
        <f t="shared" si="0"/>
        <v>642884</v>
      </c>
      <c r="K69" s="231">
        <f t="shared" si="33"/>
        <v>100000</v>
      </c>
      <c r="L69" s="84">
        <f t="shared" si="7"/>
        <v>257153.6</v>
      </c>
      <c r="M69" s="84">
        <f t="shared" si="7"/>
        <v>40000</v>
      </c>
      <c r="N69" s="189">
        <f t="shared" si="28"/>
        <v>50000</v>
      </c>
      <c r="O69" s="190">
        <f t="shared" si="29"/>
        <v>321442</v>
      </c>
      <c r="P69" s="84">
        <f t="shared" si="34"/>
        <v>794464.26299999992</v>
      </c>
      <c r="Q69" s="87">
        <f t="shared" si="3"/>
        <v>100000</v>
      </c>
      <c r="R69" s="189">
        <f t="shared" si="14"/>
        <v>894464.26299999992</v>
      </c>
      <c r="S69" s="83">
        <f t="shared" si="32"/>
        <v>357785.70519999997</v>
      </c>
      <c r="T69" s="83">
        <f t="shared" si="35"/>
        <v>89446.426299999992</v>
      </c>
      <c r="U69" s="189">
        <f t="shared" si="11"/>
        <v>447232.13149999996</v>
      </c>
      <c r="V69" s="191">
        <f t="shared" si="30"/>
        <v>397232.13149999996</v>
      </c>
    </row>
    <row r="70" spans="1:22">
      <c r="A70" s="275"/>
      <c r="B70" s="163" t="s">
        <v>125</v>
      </c>
      <c r="C70" s="158">
        <v>1</v>
      </c>
      <c r="D70" s="228">
        <f t="shared" si="36"/>
        <v>574516</v>
      </c>
      <c r="E70" s="160">
        <f t="shared" si="24"/>
        <v>57452</v>
      </c>
      <c r="F70" s="161">
        <f t="shared" si="37"/>
        <v>631968</v>
      </c>
      <c r="G70" s="160">
        <f t="shared" si="26"/>
        <v>63197</v>
      </c>
      <c r="H70" s="160">
        <f t="shared" si="6"/>
        <v>10916</v>
      </c>
      <c r="I70" s="229">
        <f t="shared" si="38"/>
        <v>642884</v>
      </c>
      <c r="J70" s="230">
        <f t="shared" si="0"/>
        <v>642884</v>
      </c>
      <c r="K70" s="231">
        <f t="shared" si="33"/>
        <v>100000</v>
      </c>
      <c r="L70" s="84">
        <f t="shared" si="7"/>
        <v>257153.6</v>
      </c>
      <c r="M70" s="84">
        <f t="shared" si="7"/>
        <v>40000</v>
      </c>
      <c r="N70" s="189">
        <f t="shared" si="28"/>
        <v>50000</v>
      </c>
      <c r="O70" s="190">
        <f t="shared" si="29"/>
        <v>321442</v>
      </c>
      <c r="P70" s="84">
        <f t="shared" si="34"/>
        <v>794464.26299999992</v>
      </c>
      <c r="Q70" s="87">
        <f t="shared" si="3"/>
        <v>100000</v>
      </c>
      <c r="R70" s="189">
        <f t="shared" si="14"/>
        <v>894464.26299999992</v>
      </c>
      <c r="S70" s="83">
        <f t="shared" si="32"/>
        <v>357785.70519999997</v>
      </c>
      <c r="T70" s="83">
        <f t="shared" si="35"/>
        <v>89446.426299999992</v>
      </c>
      <c r="U70" s="189">
        <f t="shared" si="11"/>
        <v>447232.13149999996</v>
      </c>
      <c r="V70" s="191">
        <f t="shared" si="30"/>
        <v>397232.13149999996</v>
      </c>
    </row>
    <row r="71" spans="1:22">
      <c r="A71" s="275"/>
      <c r="B71" s="163" t="s">
        <v>126</v>
      </c>
      <c r="C71" s="158">
        <v>1</v>
      </c>
      <c r="D71" s="228">
        <f t="shared" si="36"/>
        <v>574516</v>
      </c>
      <c r="E71" s="160">
        <f t="shared" si="24"/>
        <v>57452</v>
      </c>
      <c r="F71" s="161">
        <f t="shared" si="37"/>
        <v>631968</v>
      </c>
      <c r="G71" s="160">
        <f t="shared" si="26"/>
        <v>63197</v>
      </c>
      <c r="H71" s="160">
        <f t="shared" si="6"/>
        <v>10916</v>
      </c>
      <c r="I71" s="229">
        <f t="shared" si="38"/>
        <v>642884</v>
      </c>
      <c r="J71" s="230">
        <f t="shared" si="0"/>
        <v>642884</v>
      </c>
      <c r="K71" s="231">
        <f t="shared" si="33"/>
        <v>100000</v>
      </c>
      <c r="L71" s="84">
        <f t="shared" si="7"/>
        <v>257153.6</v>
      </c>
      <c r="M71" s="84">
        <f t="shared" si="7"/>
        <v>40000</v>
      </c>
      <c r="N71" s="189">
        <f t="shared" si="28"/>
        <v>50000</v>
      </c>
      <c r="O71" s="190">
        <f t="shared" si="29"/>
        <v>321442</v>
      </c>
      <c r="P71" s="84">
        <f t="shared" si="34"/>
        <v>794464.26299999992</v>
      </c>
      <c r="Q71" s="87">
        <f t="shared" si="3"/>
        <v>100000</v>
      </c>
      <c r="R71" s="189">
        <f t="shared" si="14"/>
        <v>894464.26299999992</v>
      </c>
      <c r="S71" s="83">
        <f t="shared" si="32"/>
        <v>357785.70519999997</v>
      </c>
      <c r="T71" s="83">
        <f t="shared" si="35"/>
        <v>89446.426299999992</v>
      </c>
      <c r="U71" s="189">
        <f t="shared" si="11"/>
        <v>447232.13149999996</v>
      </c>
      <c r="V71" s="191">
        <f t="shared" si="30"/>
        <v>397232.13149999996</v>
      </c>
    </row>
    <row r="72" spans="1:22">
      <c r="A72" s="275"/>
      <c r="B72" s="163" t="s">
        <v>127</v>
      </c>
      <c r="C72" s="158">
        <v>1</v>
      </c>
      <c r="D72" s="228">
        <f t="shared" si="36"/>
        <v>574516</v>
      </c>
      <c r="E72" s="160">
        <f t="shared" si="24"/>
        <v>57452</v>
      </c>
      <c r="F72" s="161">
        <f t="shared" si="37"/>
        <v>631968</v>
      </c>
      <c r="G72" s="160">
        <f t="shared" si="26"/>
        <v>63197</v>
      </c>
      <c r="H72" s="160">
        <f t="shared" si="6"/>
        <v>10916</v>
      </c>
      <c r="I72" s="229">
        <f t="shared" si="38"/>
        <v>642884</v>
      </c>
      <c r="J72" s="230">
        <f t="shared" si="0"/>
        <v>642884</v>
      </c>
      <c r="K72" s="231">
        <f t="shared" si="33"/>
        <v>100000</v>
      </c>
      <c r="L72" s="84">
        <f t="shared" si="7"/>
        <v>257153.6</v>
      </c>
      <c r="M72" s="84">
        <f t="shared" si="7"/>
        <v>40000</v>
      </c>
      <c r="N72" s="189">
        <f t="shared" si="28"/>
        <v>50000</v>
      </c>
      <c r="O72" s="190">
        <f t="shared" si="29"/>
        <v>321442</v>
      </c>
      <c r="P72" s="84">
        <f t="shared" si="34"/>
        <v>794464.26299999992</v>
      </c>
      <c r="Q72" s="87">
        <f t="shared" si="3"/>
        <v>100000</v>
      </c>
      <c r="R72" s="189">
        <f t="shared" si="14"/>
        <v>894464.26299999992</v>
      </c>
      <c r="S72" s="83">
        <f t="shared" si="32"/>
        <v>357785.70519999997</v>
      </c>
      <c r="T72" s="83">
        <f t="shared" si="35"/>
        <v>89446.426299999992</v>
      </c>
      <c r="U72" s="189">
        <f t="shared" si="11"/>
        <v>447232.13149999996</v>
      </c>
      <c r="V72" s="191">
        <f t="shared" si="30"/>
        <v>397232.13149999996</v>
      </c>
    </row>
    <row r="73" spans="1:22">
      <c r="A73" s="275"/>
      <c r="B73" s="163" t="s">
        <v>128</v>
      </c>
      <c r="C73" s="158">
        <v>1</v>
      </c>
      <c r="D73" s="228">
        <f t="shared" si="36"/>
        <v>574516</v>
      </c>
      <c r="E73" s="160">
        <f t="shared" si="24"/>
        <v>57452</v>
      </c>
      <c r="F73" s="161">
        <f t="shared" si="37"/>
        <v>631968</v>
      </c>
      <c r="G73" s="160">
        <f t="shared" si="26"/>
        <v>63197</v>
      </c>
      <c r="H73" s="160">
        <f t="shared" si="6"/>
        <v>10916</v>
      </c>
      <c r="I73" s="229">
        <f t="shared" si="38"/>
        <v>642884</v>
      </c>
      <c r="J73" s="230">
        <f t="shared" si="0"/>
        <v>642884</v>
      </c>
      <c r="K73" s="231">
        <f t="shared" si="33"/>
        <v>100000</v>
      </c>
      <c r="L73" s="84">
        <f t="shared" si="7"/>
        <v>257153.6</v>
      </c>
      <c r="M73" s="84">
        <f t="shared" si="7"/>
        <v>40000</v>
      </c>
      <c r="N73" s="189">
        <f t="shared" si="28"/>
        <v>50000</v>
      </c>
      <c r="O73" s="190">
        <f t="shared" si="29"/>
        <v>321442</v>
      </c>
      <c r="P73" s="84">
        <f t="shared" si="34"/>
        <v>794464.26299999992</v>
      </c>
      <c r="Q73" s="87">
        <f t="shared" si="3"/>
        <v>100000</v>
      </c>
      <c r="R73" s="189">
        <f t="shared" si="14"/>
        <v>894464.26299999992</v>
      </c>
      <c r="S73" s="83">
        <f t="shared" si="32"/>
        <v>357785.70519999997</v>
      </c>
      <c r="T73" s="83">
        <f t="shared" si="35"/>
        <v>89446.426299999992</v>
      </c>
      <c r="U73" s="189">
        <f t="shared" si="11"/>
        <v>447232.13149999996</v>
      </c>
      <c r="V73" s="191">
        <f t="shared" si="30"/>
        <v>397232.13149999996</v>
      </c>
    </row>
    <row r="74" spans="1:22">
      <c r="A74" s="275"/>
      <c r="B74" s="163" t="s">
        <v>129</v>
      </c>
      <c r="C74" s="158">
        <v>1</v>
      </c>
      <c r="D74" s="228">
        <f t="shared" si="36"/>
        <v>574516</v>
      </c>
      <c r="E74" s="160">
        <f t="shared" si="24"/>
        <v>57452</v>
      </c>
      <c r="F74" s="161">
        <f t="shared" si="37"/>
        <v>631968</v>
      </c>
      <c r="G74" s="160">
        <f t="shared" si="26"/>
        <v>63197</v>
      </c>
      <c r="H74" s="160">
        <f t="shared" si="6"/>
        <v>10916</v>
      </c>
      <c r="I74" s="229">
        <f t="shared" si="38"/>
        <v>642884</v>
      </c>
      <c r="J74" s="230">
        <f t="shared" si="0"/>
        <v>642884</v>
      </c>
      <c r="K74" s="231">
        <f t="shared" si="33"/>
        <v>100000</v>
      </c>
      <c r="L74" s="84">
        <f t="shared" si="7"/>
        <v>257153.6</v>
      </c>
      <c r="M74" s="84">
        <f t="shared" si="7"/>
        <v>40000</v>
      </c>
      <c r="N74" s="189">
        <f t="shared" si="28"/>
        <v>50000</v>
      </c>
      <c r="O74" s="190">
        <f t="shared" si="29"/>
        <v>321442</v>
      </c>
      <c r="P74" s="84">
        <f t="shared" si="34"/>
        <v>794464.26299999992</v>
      </c>
      <c r="Q74" s="87">
        <f t="shared" si="3"/>
        <v>100000</v>
      </c>
      <c r="R74" s="189">
        <f t="shared" si="14"/>
        <v>894464.26299999992</v>
      </c>
      <c r="S74" s="83">
        <f t="shared" si="32"/>
        <v>357785.70519999997</v>
      </c>
      <c r="T74" s="83">
        <f t="shared" si="35"/>
        <v>89446.426299999992</v>
      </c>
      <c r="U74" s="189">
        <f t="shared" si="11"/>
        <v>447232.13149999996</v>
      </c>
      <c r="V74" s="191">
        <f t="shared" si="30"/>
        <v>397232.13149999996</v>
      </c>
    </row>
    <row r="75" spans="1:22">
      <c r="A75" s="275"/>
      <c r="B75" s="163" t="s">
        <v>130</v>
      </c>
      <c r="C75" s="158">
        <v>1</v>
      </c>
      <c r="D75" s="228">
        <f t="shared" si="36"/>
        <v>574516</v>
      </c>
      <c r="E75" s="160">
        <f t="shared" si="24"/>
        <v>57452</v>
      </c>
      <c r="F75" s="161">
        <f t="shared" si="37"/>
        <v>631968</v>
      </c>
      <c r="G75" s="160">
        <f t="shared" si="26"/>
        <v>63197</v>
      </c>
      <c r="H75" s="160">
        <f t="shared" si="6"/>
        <v>10916</v>
      </c>
      <c r="I75" s="229">
        <f t="shared" si="38"/>
        <v>642884</v>
      </c>
      <c r="J75" s="230">
        <f t="shared" si="0"/>
        <v>642884</v>
      </c>
      <c r="K75" s="231">
        <f t="shared" si="33"/>
        <v>100000</v>
      </c>
      <c r="L75" s="84">
        <f t="shared" si="7"/>
        <v>257153.6</v>
      </c>
      <c r="M75" s="84">
        <f t="shared" si="7"/>
        <v>40000</v>
      </c>
      <c r="N75" s="189">
        <f t="shared" si="28"/>
        <v>50000</v>
      </c>
      <c r="O75" s="190">
        <f t="shared" si="29"/>
        <v>321442</v>
      </c>
      <c r="P75" s="84">
        <f t="shared" si="34"/>
        <v>794464.26299999992</v>
      </c>
      <c r="Q75" s="87">
        <f t="shared" si="3"/>
        <v>100000</v>
      </c>
      <c r="R75" s="189">
        <f t="shared" si="14"/>
        <v>894464.26299999992</v>
      </c>
      <c r="S75" s="83">
        <f t="shared" si="32"/>
        <v>357785.70519999997</v>
      </c>
      <c r="T75" s="83">
        <f t="shared" si="35"/>
        <v>89446.426299999992</v>
      </c>
      <c r="U75" s="189">
        <f t="shared" si="11"/>
        <v>447232.13149999996</v>
      </c>
      <c r="V75" s="191">
        <f t="shared" si="30"/>
        <v>397232.13149999996</v>
      </c>
    </row>
    <row r="76" spans="1:22">
      <c r="A76" s="275"/>
      <c r="B76" s="163" t="s">
        <v>131</v>
      </c>
      <c r="C76" s="158">
        <v>1</v>
      </c>
      <c r="D76" s="228">
        <f t="shared" si="36"/>
        <v>574516</v>
      </c>
      <c r="E76" s="160">
        <f t="shared" si="24"/>
        <v>57452</v>
      </c>
      <c r="F76" s="161">
        <f t="shared" si="37"/>
        <v>631968</v>
      </c>
      <c r="G76" s="160">
        <f t="shared" si="26"/>
        <v>63197</v>
      </c>
      <c r="H76" s="160">
        <f t="shared" si="6"/>
        <v>10916</v>
      </c>
      <c r="I76" s="229">
        <f t="shared" si="38"/>
        <v>642884</v>
      </c>
      <c r="J76" s="230">
        <f t="shared" si="0"/>
        <v>642884</v>
      </c>
      <c r="K76" s="231">
        <f t="shared" si="33"/>
        <v>100000</v>
      </c>
      <c r="L76" s="84">
        <f t="shared" si="7"/>
        <v>257153.6</v>
      </c>
      <c r="M76" s="84">
        <f t="shared" si="7"/>
        <v>40000</v>
      </c>
      <c r="N76" s="189">
        <f t="shared" si="28"/>
        <v>50000</v>
      </c>
      <c r="O76" s="190">
        <f t="shared" si="29"/>
        <v>321442</v>
      </c>
      <c r="P76" s="84">
        <f t="shared" si="34"/>
        <v>794464.26299999992</v>
      </c>
      <c r="Q76" s="87">
        <f t="shared" si="3"/>
        <v>100000</v>
      </c>
      <c r="R76" s="189">
        <f t="shared" si="14"/>
        <v>894464.26299999992</v>
      </c>
      <c r="S76" s="83">
        <f t="shared" si="32"/>
        <v>357785.70519999997</v>
      </c>
      <c r="T76" s="83">
        <f t="shared" si="35"/>
        <v>89446.426299999992</v>
      </c>
      <c r="U76" s="189">
        <f t="shared" si="11"/>
        <v>447232.13149999996</v>
      </c>
      <c r="V76" s="191">
        <f t="shared" si="30"/>
        <v>397232.13149999996</v>
      </c>
    </row>
    <row r="77" spans="1:22">
      <c r="A77" s="275"/>
      <c r="B77" s="163" t="s">
        <v>132</v>
      </c>
      <c r="C77" s="158">
        <v>1</v>
      </c>
      <c r="D77" s="228">
        <f t="shared" si="36"/>
        <v>574516</v>
      </c>
      <c r="E77" s="160">
        <f t="shared" si="24"/>
        <v>57452</v>
      </c>
      <c r="F77" s="161">
        <f t="shared" si="37"/>
        <v>631968</v>
      </c>
      <c r="G77" s="160">
        <f t="shared" si="26"/>
        <v>63197</v>
      </c>
      <c r="H77" s="160">
        <f t="shared" si="6"/>
        <v>10916</v>
      </c>
      <c r="I77" s="229">
        <f t="shared" si="38"/>
        <v>642884</v>
      </c>
      <c r="J77" s="230">
        <f t="shared" ref="J77:J87" si="39">+I77*C77</f>
        <v>642884</v>
      </c>
      <c r="K77" s="231">
        <f t="shared" si="33"/>
        <v>100000</v>
      </c>
      <c r="L77" s="84">
        <f t="shared" si="7"/>
        <v>257153.6</v>
      </c>
      <c r="M77" s="84">
        <f t="shared" si="7"/>
        <v>40000</v>
      </c>
      <c r="N77" s="189">
        <f t="shared" si="28"/>
        <v>50000</v>
      </c>
      <c r="O77" s="190">
        <f t="shared" si="29"/>
        <v>321442</v>
      </c>
      <c r="P77" s="84">
        <f t="shared" si="34"/>
        <v>794464.26299999992</v>
      </c>
      <c r="Q77" s="87">
        <f t="shared" ref="Q77:Q88" si="40">+K77</f>
        <v>100000</v>
      </c>
      <c r="R77" s="189">
        <f t="shared" si="14"/>
        <v>894464.26299999992</v>
      </c>
      <c r="S77" s="83">
        <f t="shared" si="32"/>
        <v>357785.70519999997</v>
      </c>
      <c r="T77" s="83">
        <f t="shared" si="35"/>
        <v>89446.426299999992</v>
      </c>
      <c r="U77" s="189">
        <f t="shared" si="11"/>
        <v>447232.13149999996</v>
      </c>
      <c r="V77" s="191">
        <f t="shared" si="30"/>
        <v>397232.13149999996</v>
      </c>
    </row>
    <row r="78" spans="1:22">
      <c r="A78" s="275"/>
      <c r="B78" s="163" t="s">
        <v>133</v>
      </c>
      <c r="C78" s="158">
        <v>1</v>
      </c>
      <c r="D78" s="228">
        <f t="shared" si="36"/>
        <v>574516</v>
      </c>
      <c r="E78" s="160">
        <f t="shared" si="24"/>
        <v>57452</v>
      </c>
      <c r="F78" s="161">
        <f t="shared" si="37"/>
        <v>631968</v>
      </c>
      <c r="G78" s="160">
        <f t="shared" si="26"/>
        <v>63197</v>
      </c>
      <c r="H78" s="160">
        <f t="shared" ref="H78:H87" si="41">ROUND((E78*19%),0)</f>
        <v>10916</v>
      </c>
      <c r="I78" s="229">
        <f t="shared" si="38"/>
        <v>642884</v>
      </c>
      <c r="J78" s="230">
        <f t="shared" si="39"/>
        <v>642884</v>
      </c>
      <c r="K78" s="231">
        <f t="shared" si="33"/>
        <v>100000</v>
      </c>
      <c r="L78" s="84">
        <f t="shared" ref="L78:M87" si="42">+J78/30*12</f>
        <v>257153.6</v>
      </c>
      <c r="M78" s="84">
        <f t="shared" si="42"/>
        <v>40000</v>
      </c>
      <c r="N78" s="189">
        <f t="shared" si="28"/>
        <v>50000</v>
      </c>
      <c r="O78" s="190">
        <f t="shared" si="29"/>
        <v>321442</v>
      </c>
      <c r="P78" s="84">
        <f t="shared" si="34"/>
        <v>794464.26299999992</v>
      </c>
      <c r="Q78" s="87">
        <f t="shared" si="40"/>
        <v>100000</v>
      </c>
      <c r="R78" s="189">
        <f t="shared" si="14"/>
        <v>894464.26299999992</v>
      </c>
      <c r="S78" s="83">
        <f t="shared" si="32"/>
        <v>357785.70519999997</v>
      </c>
      <c r="T78" s="83">
        <f>+(R78/2)/15*3</f>
        <v>89446.426299999992</v>
      </c>
      <c r="U78" s="189">
        <f t="shared" ref="U78:U87" si="43">SUM(S78:T78)</f>
        <v>447232.13149999996</v>
      </c>
      <c r="V78" s="191">
        <f t="shared" si="30"/>
        <v>397232.13149999996</v>
      </c>
    </row>
    <row r="79" spans="1:22">
      <c r="A79" s="275"/>
      <c r="B79" s="163" t="s">
        <v>134</v>
      </c>
      <c r="C79" s="158">
        <v>1</v>
      </c>
      <c r="D79" s="228">
        <f t="shared" si="36"/>
        <v>574516</v>
      </c>
      <c r="E79" s="160">
        <f t="shared" si="24"/>
        <v>57452</v>
      </c>
      <c r="F79" s="161">
        <f t="shared" si="37"/>
        <v>631968</v>
      </c>
      <c r="G79" s="160">
        <f t="shared" si="26"/>
        <v>63197</v>
      </c>
      <c r="H79" s="160">
        <f t="shared" si="41"/>
        <v>10916</v>
      </c>
      <c r="I79" s="229">
        <f t="shared" si="38"/>
        <v>642884</v>
      </c>
      <c r="J79" s="230">
        <f t="shared" si="39"/>
        <v>642884</v>
      </c>
      <c r="K79" s="231">
        <f t="shared" si="33"/>
        <v>100000</v>
      </c>
      <c r="L79" s="84">
        <f t="shared" si="42"/>
        <v>257153.6</v>
      </c>
      <c r="M79" s="84">
        <f t="shared" si="42"/>
        <v>40000</v>
      </c>
      <c r="N79" s="189">
        <f t="shared" si="28"/>
        <v>50000</v>
      </c>
      <c r="O79" s="190">
        <f t="shared" si="29"/>
        <v>321442</v>
      </c>
      <c r="P79" s="84">
        <f t="shared" si="34"/>
        <v>794464.26299999992</v>
      </c>
      <c r="Q79" s="87">
        <f t="shared" si="40"/>
        <v>100000</v>
      </c>
      <c r="R79" s="189">
        <f t="shared" ref="R79:R87" si="44">+Q79+P79</f>
        <v>894464.26299999992</v>
      </c>
      <c r="S79" s="83">
        <f t="shared" si="32"/>
        <v>357785.70519999997</v>
      </c>
      <c r="T79" s="83">
        <f t="shared" si="35"/>
        <v>89446.426299999992</v>
      </c>
      <c r="U79" s="189">
        <f t="shared" si="43"/>
        <v>447232.13149999996</v>
      </c>
      <c r="V79" s="191">
        <f t="shared" si="30"/>
        <v>397232.13149999996</v>
      </c>
    </row>
    <row r="80" spans="1:22">
      <c r="A80" s="275"/>
      <c r="B80" s="163" t="s">
        <v>135</v>
      </c>
      <c r="C80" s="158">
        <v>1</v>
      </c>
      <c r="D80" s="228">
        <f t="shared" si="36"/>
        <v>574516</v>
      </c>
      <c r="E80" s="160">
        <f t="shared" si="24"/>
        <v>57452</v>
      </c>
      <c r="F80" s="161">
        <f t="shared" si="37"/>
        <v>631968</v>
      </c>
      <c r="G80" s="160">
        <f t="shared" si="26"/>
        <v>63197</v>
      </c>
      <c r="H80" s="160">
        <f t="shared" si="41"/>
        <v>10916</v>
      </c>
      <c r="I80" s="229">
        <f t="shared" si="38"/>
        <v>642884</v>
      </c>
      <c r="J80" s="230">
        <f t="shared" si="39"/>
        <v>642884</v>
      </c>
      <c r="K80" s="231">
        <f t="shared" si="33"/>
        <v>100000</v>
      </c>
      <c r="L80" s="84">
        <f t="shared" si="42"/>
        <v>257153.6</v>
      </c>
      <c r="M80" s="84">
        <f t="shared" si="42"/>
        <v>40000</v>
      </c>
      <c r="N80" s="189">
        <f t="shared" si="28"/>
        <v>50000</v>
      </c>
      <c r="O80" s="190">
        <f t="shared" si="29"/>
        <v>321442</v>
      </c>
      <c r="P80" s="84">
        <f t="shared" si="34"/>
        <v>794464.26299999992</v>
      </c>
      <c r="Q80" s="87">
        <f t="shared" si="40"/>
        <v>100000</v>
      </c>
      <c r="R80" s="189">
        <f t="shared" si="44"/>
        <v>894464.26299999992</v>
      </c>
      <c r="S80" s="83">
        <f t="shared" si="32"/>
        <v>357785.70519999997</v>
      </c>
      <c r="T80" s="83">
        <f t="shared" si="35"/>
        <v>89446.426299999992</v>
      </c>
      <c r="U80" s="189">
        <f t="shared" si="43"/>
        <v>447232.13149999996</v>
      </c>
      <c r="V80" s="191">
        <f t="shared" si="30"/>
        <v>397232.13149999996</v>
      </c>
    </row>
    <row r="81" spans="1:23">
      <c r="A81" s="275"/>
      <c r="B81" s="163" t="s">
        <v>136</v>
      </c>
      <c r="C81" s="158">
        <v>1</v>
      </c>
      <c r="D81" s="228">
        <f t="shared" si="36"/>
        <v>574516</v>
      </c>
      <c r="E81" s="160">
        <f t="shared" si="24"/>
        <v>57452</v>
      </c>
      <c r="F81" s="161">
        <f t="shared" si="37"/>
        <v>631968</v>
      </c>
      <c r="G81" s="160">
        <f t="shared" si="26"/>
        <v>63197</v>
      </c>
      <c r="H81" s="160">
        <f t="shared" si="41"/>
        <v>10916</v>
      </c>
      <c r="I81" s="229">
        <f t="shared" si="38"/>
        <v>642884</v>
      </c>
      <c r="J81" s="230">
        <f t="shared" si="39"/>
        <v>642884</v>
      </c>
      <c r="K81" s="231">
        <f t="shared" si="33"/>
        <v>100000</v>
      </c>
      <c r="L81" s="84">
        <f t="shared" si="42"/>
        <v>257153.6</v>
      </c>
      <c r="M81" s="84">
        <f t="shared" si="42"/>
        <v>40000</v>
      </c>
      <c r="N81" s="189">
        <f t="shared" si="28"/>
        <v>50000</v>
      </c>
      <c r="O81" s="190">
        <f t="shared" si="29"/>
        <v>321442</v>
      </c>
      <c r="P81" s="84">
        <f t="shared" si="34"/>
        <v>794464.26299999992</v>
      </c>
      <c r="Q81" s="87">
        <f t="shared" si="40"/>
        <v>100000</v>
      </c>
      <c r="R81" s="189">
        <f t="shared" si="44"/>
        <v>894464.26299999992</v>
      </c>
      <c r="S81" s="83">
        <f t="shared" si="32"/>
        <v>357785.70519999997</v>
      </c>
      <c r="T81" s="83">
        <f t="shared" si="35"/>
        <v>89446.426299999992</v>
      </c>
      <c r="U81" s="189">
        <f t="shared" si="43"/>
        <v>447232.13149999996</v>
      </c>
      <c r="V81" s="191">
        <f t="shared" si="30"/>
        <v>397232.13149999996</v>
      </c>
    </row>
    <row r="82" spans="1:23">
      <c r="A82" s="275"/>
      <c r="B82" s="163" t="s">
        <v>137</v>
      </c>
      <c r="C82" s="158">
        <v>1</v>
      </c>
      <c r="D82" s="228">
        <f t="shared" si="36"/>
        <v>574516</v>
      </c>
      <c r="E82" s="160">
        <f t="shared" si="24"/>
        <v>57452</v>
      </c>
      <c r="F82" s="161">
        <f t="shared" si="37"/>
        <v>631968</v>
      </c>
      <c r="G82" s="160">
        <f t="shared" si="26"/>
        <v>63197</v>
      </c>
      <c r="H82" s="160">
        <f t="shared" si="41"/>
        <v>10916</v>
      </c>
      <c r="I82" s="229">
        <f t="shared" si="38"/>
        <v>642884</v>
      </c>
      <c r="J82" s="230">
        <f t="shared" si="39"/>
        <v>642884</v>
      </c>
      <c r="K82" s="231">
        <f t="shared" si="33"/>
        <v>100000</v>
      </c>
      <c r="L82" s="84">
        <f t="shared" si="42"/>
        <v>257153.6</v>
      </c>
      <c r="M82" s="84">
        <f t="shared" si="42"/>
        <v>40000</v>
      </c>
      <c r="N82" s="189">
        <f t="shared" si="28"/>
        <v>50000</v>
      </c>
      <c r="O82" s="190">
        <f t="shared" si="29"/>
        <v>321442</v>
      </c>
      <c r="P82" s="84">
        <f t="shared" si="34"/>
        <v>794464.26299999992</v>
      </c>
      <c r="Q82" s="87">
        <f t="shared" si="40"/>
        <v>100000</v>
      </c>
      <c r="R82" s="189">
        <f t="shared" si="44"/>
        <v>894464.26299999992</v>
      </c>
      <c r="S82" s="83">
        <f t="shared" si="32"/>
        <v>357785.70519999997</v>
      </c>
      <c r="T82" s="83">
        <f t="shared" si="35"/>
        <v>89446.426299999992</v>
      </c>
      <c r="U82" s="189">
        <f t="shared" si="43"/>
        <v>447232.13149999996</v>
      </c>
      <c r="V82" s="191">
        <f t="shared" si="30"/>
        <v>397232.13149999996</v>
      </c>
    </row>
    <row r="83" spans="1:23">
      <c r="A83" s="275"/>
      <c r="B83" s="163" t="s">
        <v>138</v>
      </c>
      <c r="C83" s="158">
        <v>1</v>
      </c>
      <c r="D83" s="228">
        <f t="shared" si="36"/>
        <v>574516</v>
      </c>
      <c r="E83" s="160">
        <f t="shared" si="24"/>
        <v>57452</v>
      </c>
      <c r="F83" s="161">
        <f t="shared" si="37"/>
        <v>631968</v>
      </c>
      <c r="G83" s="160">
        <f t="shared" si="26"/>
        <v>63197</v>
      </c>
      <c r="H83" s="160">
        <f t="shared" si="41"/>
        <v>10916</v>
      </c>
      <c r="I83" s="229">
        <f t="shared" si="38"/>
        <v>642884</v>
      </c>
      <c r="J83" s="230">
        <f t="shared" si="39"/>
        <v>642884</v>
      </c>
      <c r="K83" s="231">
        <f t="shared" si="33"/>
        <v>100000</v>
      </c>
      <c r="L83" s="84">
        <f t="shared" si="42"/>
        <v>257153.6</v>
      </c>
      <c r="M83" s="84">
        <f t="shared" si="42"/>
        <v>40000</v>
      </c>
      <c r="N83" s="189">
        <f t="shared" si="28"/>
        <v>50000</v>
      </c>
      <c r="O83" s="190">
        <f t="shared" si="29"/>
        <v>321442</v>
      </c>
      <c r="P83" s="84">
        <f t="shared" si="34"/>
        <v>794464.26299999992</v>
      </c>
      <c r="Q83" s="87">
        <f t="shared" si="40"/>
        <v>100000</v>
      </c>
      <c r="R83" s="189">
        <f t="shared" si="44"/>
        <v>894464.26299999992</v>
      </c>
      <c r="S83" s="83">
        <f t="shared" si="32"/>
        <v>357785.70519999997</v>
      </c>
      <c r="T83" s="83">
        <f t="shared" si="35"/>
        <v>89446.426299999992</v>
      </c>
      <c r="U83" s="189">
        <f t="shared" si="43"/>
        <v>447232.13149999996</v>
      </c>
      <c r="V83" s="191">
        <f t="shared" si="30"/>
        <v>397232.13149999996</v>
      </c>
    </row>
    <row r="84" spans="1:23">
      <c r="A84" s="275"/>
      <c r="B84" s="163" t="s">
        <v>139</v>
      </c>
      <c r="C84" s="158">
        <v>1</v>
      </c>
      <c r="D84" s="228">
        <f t="shared" si="36"/>
        <v>574516</v>
      </c>
      <c r="E84" s="160">
        <f t="shared" si="24"/>
        <v>57452</v>
      </c>
      <c r="F84" s="161">
        <f t="shared" si="37"/>
        <v>631968</v>
      </c>
      <c r="G84" s="160">
        <f t="shared" si="26"/>
        <v>63197</v>
      </c>
      <c r="H84" s="160">
        <f t="shared" si="41"/>
        <v>10916</v>
      </c>
      <c r="I84" s="229">
        <f t="shared" si="38"/>
        <v>642884</v>
      </c>
      <c r="J84" s="230">
        <f t="shared" si="39"/>
        <v>642884</v>
      </c>
      <c r="K84" s="231">
        <f t="shared" si="33"/>
        <v>100000</v>
      </c>
      <c r="L84" s="84">
        <f t="shared" si="42"/>
        <v>257153.6</v>
      </c>
      <c r="M84" s="84">
        <f t="shared" si="42"/>
        <v>40000</v>
      </c>
      <c r="N84" s="189">
        <f t="shared" si="28"/>
        <v>50000</v>
      </c>
      <c r="O84" s="190">
        <f t="shared" si="29"/>
        <v>321442</v>
      </c>
      <c r="P84" s="84">
        <f t="shared" si="34"/>
        <v>794464.26299999992</v>
      </c>
      <c r="Q84" s="87">
        <f t="shared" si="40"/>
        <v>100000</v>
      </c>
      <c r="R84" s="189">
        <f t="shared" si="44"/>
        <v>894464.26299999992</v>
      </c>
      <c r="S84" s="83">
        <f t="shared" si="32"/>
        <v>357785.70519999997</v>
      </c>
      <c r="T84" s="83">
        <f t="shared" si="35"/>
        <v>89446.426299999992</v>
      </c>
      <c r="U84" s="189">
        <f t="shared" si="43"/>
        <v>447232.13149999996</v>
      </c>
      <c r="V84" s="191">
        <f t="shared" si="30"/>
        <v>397232.13149999996</v>
      </c>
    </row>
    <row r="85" spans="1:23">
      <c r="A85" s="275"/>
      <c r="B85" s="163" t="s">
        <v>140</v>
      </c>
      <c r="C85" s="158">
        <v>1</v>
      </c>
      <c r="D85" s="228">
        <f t="shared" si="36"/>
        <v>574516</v>
      </c>
      <c r="E85" s="160">
        <f t="shared" si="24"/>
        <v>57452</v>
      </c>
      <c r="F85" s="161">
        <f t="shared" si="37"/>
        <v>631968</v>
      </c>
      <c r="G85" s="160">
        <f t="shared" si="26"/>
        <v>63197</v>
      </c>
      <c r="H85" s="160">
        <f t="shared" si="41"/>
        <v>10916</v>
      </c>
      <c r="I85" s="229">
        <f t="shared" si="38"/>
        <v>642884</v>
      </c>
      <c r="J85" s="230">
        <f t="shared" si="39"/>
        <v>642884</v>
      </c>
      <c r="K85" s="231">
        <f t="shared" si="33"/>
        <v>100000</v>
      </c>
      <c r="L85" s="84">
        <f t="shared" si="42"/>
        <v>257153.6</v>
      </c>
      <c r="M85" s="84">
        <f t="shared" si="42"/>
        <v>40000</v>
      </c>
      <c r="N85" s="189">
        <f t="shared" si="28"/>
        <v>50000</v>
      </c>
      <c r="O85" s="190">
        <f t="shared" si="29"/>
        <v>321442</v>
      </c>
      <c r="P85" s="84">
        <f t="shared" si="34"/>
        <v>794464.26299999992</v>
      </c>
      <c r="Q85" s="87">
        <f t="shared" si="40"/>
        <v>100000</v>
      </c>
      <c r="R85" s="189">
        <f t="shared" si="44"/>
        <v>894464.26299999992</v>
      </c>
      <c r="S85" s="83">
        <f t="shared" si="32"/>
        <v>357785.70519999997</v>
      </c>
      <c r="T85" s="83">
        <f t="shared" si="35"/>
        <v>89446.426299999992</v>
      </c>
      <c r="U85" s="189">
        <f t="shared" si="43"/>
        <v>447232.13149999996</v>
      </c>
      <c r="V85" s="191">
        <f t="shared" si="30"/>
        <v>397232.13149999996</v>
      </c>
    </row>
    <row r="86" spans="1:23">
      <c r="A86" s="275"/>
      <c r="B86" s="163" t="s">
        <v>141</v>
      </c>
      <c r="C86" s="158">
        <v>1</v>
      </c>
      <c r="D86" s="228">
        <f t="shared" si="36"/>
        <v>574516</v>
      </c>
      <c r="E86" s="160">
        <f t="shared" si="24"/>
        <v>57452</v>
      </c>
      <c r="F86" s="161">
        <f t="shared" si="37"/>
        <v>631968</v>
      </c>
      <c r="G86" s="160">
        <f t="shared" si="26"/>
        <v>63197</v>
      </c>
      <c r="H86" s="160">
        <f t="shared" si="41"/>
        <v>10916</v>
      </c>
      <c r="I86" s="229">
        <f t="shared" si="38"/>
        <v>642884</v>
      </c>
      <c r="J86" s="230">
        <f t="shared" si="39"/>
        <v>642884</v>
      </c>
      <c r="K86" s="231">
        <f t="shared" si="33"/>
        <v>100000</v>
      </c>
      <c r="L86" s="84">
        <f t="shared" si="42"/>
        <v>257153.6</v>
      </c>
      <c r="M86" s="84">
        <f t="shared" si="42"/>
        <v>40000</v>
      </c>
      <c r="N86" s="189">
        <f t="shared" si="28"/>
        <v>50000</v>
      </c>
      <c r="O86" s="190">
        <f t="shared" si="29"/>
        <v>321442</v>
      </c>
      <c r="P86" s="84">
        <f t="shared" si="34"/>
        <v>794464.26299999992</v>
      </c>
      <c r="Q86" s="87">
        <f t="shared" si="40"/>
        <v>100000</v>
      </c>
      <c r="R86" s="189">
        <f t="shared" si="44"/>
        <v>894464.26299999992</v>
      </c>
      <c r="S86" s="83">
        <f t="shared" si="32"/>
        <v>357785.70519999997</v>
      </c>
      <c r="T86" s="83">
        <f t="shared" si="35"/>
        <v>89446.426299999992</v>
      </c>
      <c r="U86" s="189">
        <f t="shared" si="43"/>
        <v>447232.13149999996</v>
      </c>
      <c r="V86" s="191">
        <f t="shared" si="30"/>
        <v>397232.13149999996</v>
      </c>
    </row>
    <row r="87" spans="1:23" ht="15.75" thickBot="1">
      <c r="A87" s="276"/>
      <c r="B87" s="164" t="s">
        <v>142</v>
      </c>
      <c r="C87" s="165">
        <v>1</v>
      </c>
      <c r="D87" s="232">
        <f t="shared" si="36"/>
        <v>574516</v>
      </c>
      <c r="E87" s="167">
        <f t="shared" si="24"/>
        <v>57452</v>
      </c>
      <c r="F87" s="168">
        <f t="shared" si="37"/>
        <v>631968</v>
      </c>
      <c r="G87" s="167">
        <f t="shared" si="26"/>
        <v>63197</v>
      </c>
      <c r="H87" s="167">
        <f t="shared" si="41"/>
        <v>10916</v>
      </c>
      <c r="I87" s="233">
        <f t="shared" si="38"/>
        <v>642884</v>
      </c>
      <c r="J87" s="234">
        <f t="shared" si="39"/>
        <v>642884</v>
      </c>
      <c r="K87" s="235">
        <f t="shared" si="33"/>
        <v>100000</v>
      </c>
      <c r="L87" s="236">
        <f t="shared" si="42"/>
        <v>257153.6</v>
      </c>
      <c r="M87" s="236">
        <f t="shared" si="42"/>
        <v>40000</v>
      </c>
      <c r="N87" s="237">
        <f t="shared" si="28"/>
        <v>50000</v>
      </c>
      <c r="O87" s="238">
        <f t="shared" si="29"/>
        <v>321442</v>
      </c>
      <c r="P87" s="84">
        <f t="shared" si="34"/>
        <v>794464.26299999992</v>
      </c>
      <c r="Q87" s="87">
        <f t="shared" si="40"/>
        <v>100000</v>
      </c>
      <c r="R87" s="189">
        <f t="shared" si="44"/>
        <v>894464.26299999992</v>
      </c>
      <c r="S87" s="83">
        <f t="shared" si="32"/>
        <v>357785.70519999997</v>
      </c>
      <c r="T87" s="83">
        <f t="shared" si="35"/>
        <v>89446.426299999992</v>
      </c>
      <c r="U87" s="189">
        <f t="shared" si="43"/>
        <v>447232.13149999996</v>
      </c>
      <c r="V87" s="191">
        <f t="shared" si="30"/>
        <v>397232.13149999996</v>
      </c>
    </row>
    <row r="88" spans="1:23">
      <c r="D88" s="170"/>
      <c r="E88" s="171"/>
      <c r="F88" s="172"/>
      <c r="G88" s="171"/>
      <c r="H88" s="171"/>
      <c r="I88" s="171"/>
      <c r="J88" s="189">
        <f>SUM(J13:J87)</f>
        <v>188619044</v>
      </c>
      <c r="K88" s="189">
        <f>SUM(K13:K87)</f>
        <v>12520000</v>
      </c>
      <c r="L88" s="323">
        <f>SUM(L13:M87)</f>
        <v>80455617.599999785</v>
      </c>
      <c r="M88" s="324"/>
      <c r="N88" s="325">
        <f>SUM(N13:O87)</f>
        <v>178852362.5</v>
      </c>
      <c r="O88" s="326"/>
      <c r="P88" s="83">
        <f>SUM(P13:P87)</f>
        <v>227013563.2230002</v>
      </c>
      <c r="Q88" s="88">
        <f t="shared" si="40"/>
        <v>12520000</v>
      </c>
      <c r="R88" s="83">
        <f>+Q88+P88</f>
        <v>239533563.2230002</v>
      </c>
      <c r="S88" s="173">
        <f>SUM(S13:S87)</f>
        <v>188940059.32819968</v>
      </c>
      <c r="T88" s="173">
        <f>SUM(T13:T87)</f>
        <v>20912183.02250002</v>
      </c>
      <c r="U88" s="83">
        <f>SUM(U13:U87)</f>
        <v>209852242.35070029</v>
      </c>
      <c r="V88" s="239">
        <f>SUM(V13:V87)</f>
        <v>199637242.35070029</v>
      </c>
      <c r="W88" s="240"/>
    </row>
    <row r="89" spans="1:23" ht="15" customHeight="1">
      <c r="A89" s="277"/>
      <c r="B89" s="277"/>
      <c r="C89" s="175"/>
      <c r="L89" s="241"/>
      <c r="M89" s="241"/>
      <c r="O89" s="171">
        <v>64148872</v>
      </c>
      <c r="P89" s="61"/>
      <c r="Q89" s="172"/>
      <c r="R89" s="171"/>
      <c r="S89" s="171"/>
      <c r="T89" s="171"/>
      <c r="U89" s="171"/>
    </row>
    <row r="90" spans="1:23" ht="15" customHeight="1">
      <c r="A90" s="278"/>
      <c r="B90" s="279"/>
      <c r="C90" s="176"/>
      <c r="O90" s="242"/>
      <c r="P90" s="61"/>
      <c r="Q90" s="60"/>
      <c r="R90" s="61"/>
      <c r="S90" s="61"/>
      <c r="T90" s="61"/>
      <c r="U90" s="61"/>
    </row>
    <row r="91" spans="1:23" ht="15.75" customHeight="1">
      <c r="A91" s="280"/>
      <c r="B91" s="281"/>
      <c r="C91" s="177"/>
      <c r="P91" s="243"/>
      <c r="Q91" s="244"/>
      <c r="R91" s="243"/>
      <c r="S91" s="61"/>
      <c r="T91" s="61"/>
      <c r="U91" s="61"/>
    </row>
    <row r="92" spans="1:23" ht="25.5" customHeight="1">
      <c r="A92" s="265"/>
      <c r="B92" s="266"/>
      <c r="C92" s="178"/>
      <c r="P92" s="245"/>
      <c r="Q92" s="246"/>
      <c r="R92" s="245"/>
    </row>
    <row r="93" spans="1:23" ht="15.75" thickBot="1">
      <c r="P93" s="245"/>
      <c r="Q93" s="245"/>
      <c r="R93" s="245"/>
    </row>
    <row r="94" spans="1:23">
      <c r="L94" s="320"/>
      <c r="M94" s="321"/>
      <c r="N94" s="322"/>
      <c r="O94" s="247"/>
      <c r="P94" s="248"/>
      <c r="R94" s="245"/>
    </row>
    <row r="95" spans="1:23">
      <c r="D95" s="312"/>
      <c r="E95" s="312"/>
      <c r="F95" s="62"/>
      <c r="L95" s="313"/>
      <c r="M95" s="314"/>
      <c r="N95" s="314"/>
      <c r="O95" s="250"/>
      <c r="P95" s="248"/>
      <c r="R95" s="245"/>
    </row>
    <row r="96" spans="1:23" ht="15.75" thickBot="1">
      <c r="A96" s="277"/>
      <c r="B96" s="277"/>
      <c r="C96" s="175"/>
      <c r="E96" s="242"/>
      <c r="F96" s="251"/>
      <c r="H96" s="249"/>
      <c r="L96" s="315"/>
      <c r="M96" s="316"/>
      <c r="N96" s="317"/>
      <c r="O96" s="252"/>
      <c r="P96" s="253"/>
      <c r="Q96" s="254"/>
      <c r="R96" s="245"/>
    </row>
    <row r="97" spans="1:18" ht="26.25" customHeight="1" thickBot="1">
      <c r="A97" s="318"/>
      <c r="B97" s="318"/>
      <c r="C97" s="319"/>
      <c r="E97" s="242"/>
      <c r="F97" s="251"/>
      <c r="H97" s="249"/>
      <c r="L97" s="255"/>
      <c r="M97" s="256"/>
      <c r="N97" s="256"/>
      <c r="O97" s="257"/>
      <c r="P97" s="248"/>
      <c r="Q97" s="258"/>
      <c r="R97" s="245"/>
    </row>
    <row r="98" spans="1:18" ht="15" customHeight="1">
      <c r="A98" s="318"/>
      <c r="B98" s="318"/>
      <c r="C98" s="319"/>
      <c r="E98" s="242"/>
      <c r="F98" s="251"/>
      <c r="H98" s="249"/>
      <c r="P98" s="245"/>
      <c r="R98" s="245"/>
    </row>
    <row r="99" spans="1:18" ht="15" customHeight="1">
      <c r="A99" s="280"/>
      <c r="B99" s="281"/>
      <c r="C99" s="177"/>
      <c r="E99" s="242"/>
      <c r="F99" s="259"/>
      <c r="G99" s="65"/>
      <c r="H99" s="249"/>
      <c r="P99" s="245"/>
      <c r="R99" s="245"/>
    </row>
    <row r="100" spans="1:18" ht="25.5" customHeight="1">
      <c r="A100" s="265"/>
      <c r="B100" s="266"/>
      <c r="C100" s="178"/>
      <c r="F100" s="66"/>
      <c r="G100" s="260"/>
      <c r="P100" s="245"/>
      <c r="R100" s="245"/>
    </row>
    <row r="101" spans="1:18">
      <c r="P101" s="245"/>
      <c r="R101" s="245"/>
    </row>
    <row r="102" spans="1:18">
      <c r="P102" s="245"/>
      <c r="R102" s="245"/>
    </row>
    <row r="103" spans="1:18">
      <c r="P103" s="245"/>
      <c r="R103" s="245"/>
    </row>
    <row r="105" spans="1:18">
      <c r="R105" s="62">
        <f>+R103*5.13</f>
        <v>0</v>
      </c>
    </row>
    <row r="108" spans="1:18">
      <c r="O108" s="261"/>
    </row>
  </sheetData>
  <sheetProtection algorithmName="SHA-512" hashValue="rHsqgpozOIOKCdcquduiDtjJFRqocbYK4NzT4VVzsD36NwYaf/Ju2oOCO6mNaoF96LK98Cv6/DpvzEL5huBx8Q==" saltValue="nWeF8qXjRHRQo9v/w/8UHw==" spinCount="100000" sheet="1" objects="1" scenarios="1" selectLockedCells="1" selectUnlockedCells="1"/>
  <mergeCells count="44">
    <mergeCell ref="A13:A28"/>
    <mergeCell ref="A29:A30"/>
    <mergeCell ref="A10:I10"/>
    <mergeCell ref="J10:O10"/>
    <mergeCell ref="S10:U10"/>
    <mergeCell ref="A11:A12"/>
    <mergeCell ref="B11:B12"/>
    <mergeCell ref="C11:C12"/>
    <mergeCell ref="D11:D12"/>
    <mergeCell ref="E11:E12"/>
    <mergeCell ref="F11:F12"/>
    <mergeCell ref="G11:G12"/>
    <mergeCell ref="V11:V12"/>
    <mergeCell ref="H11:H12"/>
    <mergeCell ref="I11:I12"/>
    <mergeCell ref="J11:J12"/>
    <mergeCell ref="K11:K12"/>
    <mergeCell ref="L11:M11"/>
    <mergeCell ref="N11:O11"/>
    <mergeCell ref="P11:P12"/>
    <mergeCell ref="Q11:Q12"/>
    <mergeCell ref="R11:R12"/>
    <mergeCell ref="S11:T11"/>
    <mergeCell ref="U11:U12"/>
    <mergeCell ref="A31:A32"/>
    <mergeCell ref="A33:A34"/>
    <mergeCell ref="A35:A41"/>
    <mergeCell ref="L88:M88"/>
    <mergeCell ref="N88:O88"/>
    <mergeCell ref="A47:A53"/>
    <mergeCell ref="A54:A87"/>
    <mergeCell ref="A89:B89"/>
    <mergeCell ref="A90:B90"/>
    <mergeCell ref="L94:N94"/>
    <mergeCell ref="A91:B91"/>
    <mergeCell ref="A99:B99"/>
    <mergeCell ref="A100:B100"/>
    <mergeCell ref="A92:B92"/>
    <mergeCell ref="D95:E95"/>
    <mergeCell ref="L95:N95"/>
    <mergeCell ref="A96:B96"/>
    <mergeCell ref="L96:N96"/>
    <mergeCell ref="A97:B98"/>
    <mergeCell ref="C97:C98"/>
  </mergeCells>
  <pageMargins left="0.7" right="0.7" top="0.75" bottom="0.75" header="0.3" footer="0.3"/>
  <pageSetup paperSize="1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76A3-A785-4F54-8201-33438157D40D}">
  <dimension ref="A2:Y104"/>
  <sheetViews>
    <sheetView tabSelected="1" topLeftCell="A7" zoomScale="130" zoomScaleNormal="130" workbookViewId="0">
      <pane xSplit="9" ySplit="6" topLeftCell="J86" activePane="bottomRight" state="frozen"/>
      <selection activeCell="A7" sqref="A7"/>
      <selection pane="topRight" activeCell="J7" sqref="J7"/>
      <selection pane="bottomLeft" activeCell="A13" sqref="A13"/>
      <selection pane="bottomRight" activeCell="Q100" sqref="Q100"/>
    </sheetView>
  </sheetViews>
  <sheetFormatPr baseColWidth="10" defaultColWidth="13" defaultRowHeight="15"/>
  <cols>
    <col min="1" max="1" width="14.28515625" bestFit="1" customWidth="1"/>
    <col min="2" max="2" width="37.42578125" customWidth="1"/>
    <col min="3" max="3" width="14.5703125" bestFit="1" customWidth="1"/>
    <col min="4" max="4" width="16.5703125" style="62" bestFit="1" customWidth="1"/>
    <col min="5" max="5" width="15" style="62" bestFit="1" customWidth="1"/>
    <col min="6" max="6" width="13.85546875" bestFit="1" customWidth="1"/>
    <col min="7" max="7" width="12.28515625" style="62" bestFit="1" customWidth="1"/>
    <col min="8" max="8" width="8.7109375" style="62" bestFit="1" customWidth="1"/>
    <col min="9" max="9" width="10.85546875" style="62" bestFit="1" customWidth="1"/>
    <col min="10" max="15" width="16.42578125" style="62" customWidth="1"/>
    <col min="16" max="16" width="17.7109375" style="62" bestFit="1" customWidth="1"/>
    <col min="17" max="17" width="26" style="62" customWidth="1"/>
    <col min="18" max="18" width="23" style="62" customWidth="1"/>
    <col min="19" max="19" width="20.7109375" hidden="1" customWidth="1"/>
    <col min="20" max="20" width="19.42578125" hidden="1" customWidth="1"/>
    <col min="21" max="21" width="21.5703125" hidden="1" customWidth="1"/>
    <col min="22" max="22" width="21.42578125" hidden="1" customWidth="1"/>
    <col min="23" max="23" width="18.42578125" hidden="1" customWidth="1"/>
    <col min="25" max="25" width="13.85546875" bestFit="1" customWidth="1"/>
  </cols>
  <sheetData>
    <row r="2" spans="1:23">
      <c r="C2" s="60" t="s">
        <v>38</v>
      </c>
      <c r="D2" s="60" t="s">
        <v>39</v>
      </c>
      <c r="E2" s="61" t="s">
        <v>40</v>
      </c>
    </row>
    <row r="3" spans="1:23">
      <c r="B3" s="63" t="s">
        <v>41</v>
      </c>
      <c r="C3" s="64">
        <f>+'[1]Costos Operarios'!C33</f>
        <v>2576000</v>
      </c>
      <c r="D3" s="64">
        <f>+'[1]Costos Operarios'!H33</f>
        <v>3090545</v>
      </c>
      <c r="E3" s="65">
        <v>200000</v>
      </c>
      <c r="F3" s="66">
        <f>D3-D4</f>
        <v>1330978</v>
      </c>
    </row>
    <row r="4" spans="1:23">
      <c r="B4" s="63" t="s">
        <v>42</v>
      </c>
      <c r="C4" s="67">
        <f>+'[1]Costos Operarios'!D33</f>
        <v>1470900</v>
      </c>
      <c r="D4" s="68">
        <f>+'[1]Costos Operarios'!I33</f>
        <v>1759567</v>
      </c>
      <c r="E4" s="65">
        <v>110000</v>
      </c>
    </row>
    <row r="5" spans="1:23">
      <c r="B5" s="63" t="s">
        <v>43</v>
      </c>
      <c r="C5" s="67">
        <v>0</v>
      </c>
      <c r="D5" s="67"/>
      <c r="E5" s="65">
        <v>0</v>
      </c>
    </row>
    <row r="6" spans="1:23">
      <c r="B6" s="63" t="s">
        <v>44</v>
      </c>
      <c r="C6" s="67">
        <v>574516</v>
      </c>
      <c r="D6" s="69">
        <f>+'[1]Costos Operarios'!J33</f>
        <v>709977</v>
      </c>
      <c r="E6" s="65">
        <v>100000</v>
      </c>
    </row>
    <row r="7" spans="1:23">
      <c r="B7" s="63" t="s">
        <v>45</v>
      </c>
      <c r="C7" s="70">
        <v>0.1</v>
      </c>
      <c r="D7" s="70"/>
      <c r="E7" s="65"/>
    </row>
    <row r="9" spans="1:23">
      <c r="J9" s="71"/>
    </row>
    <row r="10" spans="1:23" ht="15" customHeight="1">
      <c r="A10" s="359" t="s">
        <v>158</v>
      </c>
      <c r="B10" s="360"/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90" t="s">
        <v>159</v>
      </c>
      <c r="R10" s="391"/>
      <c r="S10" s="304" t="s">
        <v>47</v>
      </c>
      <c r="T10" s="305" t="s">
        <v>48</v>
      </c>
      <c r="U10" s="305" t="s">
        <v>49</v>
      </c>
      <c r="V10" s="305" t="s">
        <v>50</v>
      </c>
      <c r="W10" s="291"/>
    </row>
    <row r="11" spans="1:23">
      <c r="A11" s="294" t="s">
        <v>51</v>
      </c>
      <c r="B11" s="296" t="s">
        <v>52</v>
      </c>
      <c r="C11" s="298" t="s">
        <v>53</v>
      </c>
      <c r="D11" s="300" t="s">
        <v>54</v>
      </c>
      <c r="E11" s="300" t="s">
        <v>45</v>
      </c>
      <c r="F11" s="309" t="s">
        <v>55</v>
      </c>
      <c r="G11" s="300" t="s">
        <v>56</v>
      </c>
      <c r="H11" s="300" t="s">
        <v>57</v>
      </c>
      <c r="I11" s="311" t="s">
        <v>17</v>
      </c>
      <c r="J11" s="290" t="s">
        <v>58</v>
      </c>
      <c r="K11" s="368" t="s">
        <v>155</v>
      </c>
      <c r="L11" s="369"/>
      <c r="M11" s="370"/>
      <c r="N11" s="386" t="s">
        <v>156</v>
      </c>
      <c r="O11" s="387" t="s">
        <v>160</v>
      </c>
      <c r="P11" s="264" t="s">
        <v>161</v>
      </c>
      <c r="Q11" s="388" t="s">
        <v>162</v>
      </c>
      <c r="R11" s="388" t="s">
        <v>163</v>
      </c>
      <c r="S11" s="389"/>
      <c r="T11" s="306"/>
      <c r="U11" s="306"/>
      <c r="V11" s="307"/>
      <c r="W11" s="292"/>
    </row>
    <row r="12" spans="1:23" ht="15.75" thickBot="1">
      <c r="A12" s="294"/>
      <c r="B12" s="296"/>
      <c r="C12" s="298"/>
      <c r="D12" s="300"/>
      <c r="E12" s="300"/>
      <c r="F12" s="309"/>
      <c r="G12" s="300"/>
      <c r="H12" s="300"/>
      <c r="I12" s="311"/>
      <c r="J12" s="290"/>
      <c r="K12" s="385">
        <v>27</v>
      </c>
      <c r="L12" s="384">
        <v>3</v>
      </c>
      <c r="M12" s="371" t="s">
        <v>62</v>
      </c>
      <c r="N12" s="378" t="s">
        <v>157</v>
      </c>
      <c r="O12" s="381">
        <v>30</v>
      </c>
      <c r="P12" s="392" t="s">
        <v>157</v>
      </c>
      <c r="Q12" s="392" t="s">
        <v>157</v>
      </c>
      <c r="R12" s="392" t="s">
        <v>157</v>
      </c>
      <c r="S12" s="72"/>
      <c r="T12" s="77"/>
      <c r="U12" s="73"/>
      <c r="V12" s="74"/>
      <c r="W12" s="75"/>
    </row>
    <row r="13" spans="1:23" ht="13.5" customHeight="1">
      <c r="A13" s="282" t="s">
        <v>63</v>
      </c>
      <c r="B13" s="284" t="s">
        <v>64</v>
      </c>
      <c r="C13" s="78">
        <v>1</v>
      </c>
      <c r="D13" s="79">
        <f>+D3</f>
        <v>3090545</v>
      </c>
      <c r="E13" s="80">
        <f>+ROUND((D13*$C$7),0)</f>
        <v>309055</v>
      </c>
      <c r="F13" s="81">
        <f>+E13+D13</f>
        <v>3399600</v>
      </c>
      <c r="G13" s="80">
        <f>+ROUND((F13*10%),0)</f>
        <v>339960</v>
      </c>
      <c r="H13" s="80">
        <f>ROUND((E13*19%),0)</f>
        <v>58720</v>
      </c>
      <c r="I13" s="82">
        <f>+H13+F13</f>
        <v>3458320</v>
      </c>
      <c r="J13" s="83">
        <f>+I13*C13</f>
        <v>3458320</v>
      </c>
      <c r="K13" s="372">
        <f>+('ANEXO ECONOMICO nov, dic y ener'!D3/30)*27</f>
        <v>3112487.8695</v>
      </c>
      <c r="L13" s="372">
        <f t="shared" ref="L13:L50" si="0">+J13/30*3</f>
        <v>345832</v>
      </c>
      <c r="M13" s="372">
        <f>SUM(K13:L13)</f>
        <v>3458319.8695</v>
      </c>
      <c r="N13" s="377">
        <f>SUM($J13)</f>
        <v>3458320</v>
      </c>
      <c r="O13" s="382">
        <f>+J13/30*O12</f>
        <v>3458320</v>
      </c>
      <c r="P13" s="84">
        <f>SUM($J13)</f>
        <v>3458320</v>
      </c>
      <c r="Q13" s="84">
        <f>+P13</f>
        <v>3458320</v>
      </c>
      <c r="R13" s="84">
        <f>+P13</f>
        <v>3458320</v>
      </c>
      <c r="S13" s="85" t="e">
        <f>ROUND((#REF!+(#REF!*$D$13)),0)</f>
        <v>#REF!</v>
      </c>
      <c r="T13" s="86" t="e">
        <f>+#REF!</f>
        <v>#REF!</v>
      </c>
      <c r="U13" s="87" t="e">
        <f>S13+T13</f>
        <v>#REF!</v>
      </c>
      <c r="V13" s="87" t="e">
        <f>+U13*6</f>
        <v>#REF!</v>
      </c>
      <c r="W13" s="88" t="e">
        <f>+V13+#REF!</f>
        <v>#REF!</v>
      </c>
    </row>
    <row r="14" spans="1:23" ht="13.5" customHeight="1">
      <c r="A14" s="283"/>
      <c r="B14" s="285"/>
      <c r="C14" s="89">
        <v>1</v>
      </c>
      <c r="D14" s="90">
        <f>+D4</f>
        <v>1759567</v>
      </c>
      <c r="E14" s="80">
        <f>+ROUND((D14*$C$7),0)</f>
        <v>175957</v>
      </c>
      <c r="F14" s="81">
        <f t="shared" ref="F14:F50" si="1">+E14+D14</f>
        <v>1935524</v>
      </c>
      <c r="G14" s="80">
        <f t="shared" ref="G14:G50" si="2">+ROUND((F14*10%),0)</f>
        <v>193552</v>
      </c>
      <c r="H14" s="80">
        <f t="shared" ref="H14:H77" si="3">ROUND((E14*19%),0)</f>
        <v>33432</v>
      </c>
      <c r="I14" s="82">
        <f t="shared" ref="I14:I50" si="4">+H14+F14</f>
        <v>1968956</v>
      </c>
      <c r="J14" s="83">
        <f t="shared" ref="J14:J77" si="5">+I14*C14</f>
        <v>1968956</v>
      </c>
      <c r="K14" s="372">
        <f>+'ANEXO ECONOMICO nov, dic y ener'!D3/30*27</f>
        <v>3112487.8695</v>
      </c>
      <c r="L14" s="372">
        <f t="shared" si="0"/>
        <v>196895.6</v>
      </c>
      <c r="M14" s="372">
        <f t="shared" ref="M14:M77" si="6">SUM(K14:L14)</f>
        <v>3309383.4695000001</v>
      </c>
      <c r="N14" s="377">
        <f t="shared" ref="N14:N77" si="7">SUM($J14)</f>
        <v>1968956</v>
      </c>
      <c r="O14" s="382">
        <f>+J14/30*O12</f>
        <v>1968956</v>
      </c>
      <c r="P14" s="262">
        <f>SUM($J14)</f>
        <v>1968956</v>
      </c>
      <c r="Q14" s="262">
        <f>SUM($J13)</f>
        <v>3458320</v>
      </c>
      <c r="R14" s="84">
        <f>SUM($J13)</f>
        <v>3458320</v>
      </c>
      <c r="S14" s="85"/>
      <c r="T14" s="86"/>
      <c r="U14" s="87"/>
      <c r="V14" s="87"/>
      <c r="W14" s="88"/>
    </row>
    <row r="15" spans="1:23" ht="13.5" customHeight="1">
      <c r="A15" s="270"/>
      <c r="B15" s="286" t="s">
        <v>65</v>
      </c>
      <c r="C15" s="91">
        <v>1</v>
      </c>
      <c r="D15" s="92">
        <f>+D3</f>
        <v>3090545</v>
      </c>
      <c r="E15" s="80">
        <f>+ROUND((D15*$C$7),0)</f>
        <v>309055</v>
      </c>
      <c r="F15" s="81">
        <f t="shared" si="1"/>
        <v>3399600</v>
      </c>
      <c r="G15" s="80">
        <f t="shared" si="2"/>
        <v>339960</v>
      </c>
      <c r="H15" s="80">
        <f t="shared" si="3"/>
        <v>58720</v>
      </c>
      <c r="I15" s="82">
        <f t="shared" si="4"/>
        <v>3458320</v>
      </c>
      <c r="J15" s="83">
        <f t="shared" si="5"/>
        <v>3458320</v>
      </c>
      <c r="K15" s="372">
        <f>+$K$13</f>
        <v>3112487.8695</v>
      </c>
      <c r="L15" s="372">
        <f t="shared" si="0"/>
        <v>345832</v>
      </c>
      <c r="M15" s="372">
        <f t="shared" si="6"/>
        <v>3458319.8695</v>
      </c>
      <c r="N15" s="377">
        <f t="shared" si="7"/>
        <v>3458320</v>
      </c>
      <c r="O15" s="382">
        <f>+J15/30*O12</f>
        <v>3458320</v>
      </c>
      <c r="P15" s="84">
        <f t="shared" ref="P15:P78" si="8">SUM($J15)</f>
        <v>3458320</v>
      </c>
      <c r="Q15" s="84">
        <f t="shared" ref="Q15:Q77" si="9">+P15</f>
        <v>3458320</v>
      </c>
      <c r="R15" s="84">
        <f t="shared" ref="R15:R77" si="10">+P15</f>
        <v>3458320</v>
      </c>
      <c r="S15" s="85" t="e">
        <f>ROUND((#REF!+(#REF!*$D$13)),0)</f>
        <v>#REF!</v>
      </c>
      <c r="T15" s="86" t="e">
        <f>+#REF!</f>
        <v>#REF!</v>
      </c>
      <c r="U15" s="87" t="e">
        <f t="shared" ref="U15:U86" si="11">S15+T15</f>
        <v>#REF!</v>
      </c>
      <c r="V15" s="87" t="e">
        <f>+U15*6</f>
        <v>#REF!</v>
      </c>
      <c r="W15" s="88" t="e">
        <f>+V15+#REF!</f>
        <v>#REF!</v>
      </c>
    </row>
    <row r="16" spans="1:23" ht="13.5" customHeight="1">
      <c r="A16" s="270"/>
      <c r="B16" s="285"/>
      <c r="C16" s="93">
        <v>1</v>
      </c>
      <c r="D16" s="92">
        <f>+D4</f>
        <v>1759567</v>
      </c>
      <c r="E16" s="80">
        <f>+ROUND((D16*$C$7),0)</f>
        <v>175957</v>
      </c>
      <c r="F16" s="81">
        <f t="shared" si="1"/>
        <v>1935524</v>
      </c>
      <c r="G16" s="80">
        <f t="shared" si="2"/>
        <v>193552</v>
      </c>
      <c r="H16" s="80">
        <f t="shared" si="3"/>
        <v>33432</v>
      </c>
      <c r="I16" s="82">
        <f t="shared" si="4"/>
        <v>1968956</v>
      </c>
      <c r="J16" s="83">
        <f t="shared" si="5"/>
        <v>1968956</v>
      </c>
      <c r="K16" s="372">
        <f t="shared" ref="K16:K23" si="12">+$K$13</f>
        <v>3112487.8695</v>
      </c>
      <c r="L16" s="372">
        <f t="shared" si="0"/>
        <v>196895.6</v>
      </c>
      <c r="M16" s="372">
        <f t="shared" si="6"/>
        <v>3309383.4695000001</v>
      </c>
      <c r="N16" s="377">
        <f t="shared" si="7"/>
        <v>1968956</v>
      </c>
      <c r="O16" s="382">
        <f>+J16/30*O12</f>
        <v>1968956</v>
      </c>
      <c r="P16" s="84">
        <f t="shared" si="8"/>
        <v>1968956</v>
      </c>
      <c r="Q16" s="84">
        <f t="shared" si="9"/>
        <v>1968956</v>
      </c>
      <c r="R16" s="84">
        <f t="shared" si="10"/>
        <v>1968956</v>
      </c>
      <c r="S16" s="85"/>
      <c r="T16" s="86"/>
      <c r="U16" s="87"/>
      <c r="V16" s="87"/>
      <c r="W16" s="88"/>
    </row>
    <row r="17" spans="1:23" ht="13.5" customHeight="1">
      <c r="A17" s="270"/>
      <c r="B17" s="286" t="s">
        <v>66</v>
      </c>
      <c r="C17" s="91">
        <v>1</v>
      </c>
      <c r="D17" s="92">
        <f>+D3</f>
        <v>3090545</v>
      </c>
      <c r="E17" s="80">
        <f>+ROUND((D17*$C$7),0)</f>
        <v>309055</v>
      </c>
      <c r="F17" s="81">
        <f t="shared" si="1"/>
        <v>3399600</v>
      </c>
      <c r="G17" s="80">
        <f t="shared" si="2"/>
        <v>339960</v>
      </c>
      <c r="H17" s="80">
        <f t="shared" si="3"/>
        <v>58720</v>
      </c>
      <c r="I17" s="82">
        <f t="shared" si="4"/>
        <v>3458320</v>
      </c>
      <c r="J17" s="83">
        <f t="shared" si="5"/>
        <v>3458320</v>
      </c>
      <c r="K17" s="372">
        <f t="shared" si="12"/>
        <v>3112487.8695</v>
      </c>
      <c r="L17" s="372">
        <f t="shared" si="0"/>
        <v>345832</v>
      </c>
      <c r="M17" s="372">
        <f t="shared" si="6"/>
        <v>3458319.8695</v>
      </c>
      <c r="N17" s="377">
        <f t="shared" si="7"/>
        <v>3458320</v>
      </c>
      <c r="O17" s="382">
        <f>+J17/30*O12</f>
        <v>3458320</v>
      </c>
      <c r="P17" s="84">
        <f t="shared" si="8"/>
        <v>3458320</v>
      </c>
      <c r="Q17" s="84">
        <f t="shared" si="9"/>
        <v>3458320</v>
      </c>
      <c r="R17" s="84">
        <f t="shared" si="10"/>
        <v>3458320</v>
      </c>
      <c r="S17" s="85" t="e">
        <f>ROUND((#REF!+(#REF!*$D$13)),0)</f>
        <v>#REF!</v>
      </c>
      <c r="T17" s="86" t="e">
        <f>+#REF!</f>
        <v>#REF!</v>
      </c>
      <c r="U17" s="87" t="e">
        <f t="shared" si="11"/>
        <v>#REF!</v>
      </c>
      <c r="V17" s="87" t="e">
        <f t="shared" ref="V17:V87" si="13">+U17*6</f>
        <v>#REF!</v>
      </c>
      <c r="W17" s="88" t="e">
        <f>+V17+#REF!</f>
        <v>#REF!</v>
      </c>
    </row>
    <row r="18" spans="1:23" ht="13.5" customHeight="1">
      <c r="A18" s="270"/>
      <c r="B18" s="285"/>
      <c r="C18" s="93">
        <v>1</v>
      </c>
      <c r="D18" s="92">
        <f>+D4</f>
        <v>1759567</v>
      </c>
      <c r="E18" s="80">
        <f>+ROUND((D18*$C$7),0)</f>
        <v>175957</v>
      </c>
      <c r="F18" s="81">
        <f t="shared" si="1"/>
        <v>1935524</v>
      </c>
      <c r="G18" s="80">
        <f t="shared" si="2"/>
        <v>193552</v>
      </c>
      <c r="H18" s="80">
        <f t="shared" si="3"/>
        <v>33432</v>
      </c>
      <c r="I18" s="82">
        <f t="shared" si="4"/>
        <v>1968956</v>
      </c>
      <c r="J18" s="83">
        <f t="shared" si="5"/>
        <v>1968956</v>
      </c>
      <c r="K18" s="372">
        <f t="shared" si="12"/>
        <v>3112487.8695</v>
      </c>
      <c r="L18" s="372">
        <f t="shared" si="0"/>
        <v>196895.6</v>
      </c>
      <c r="M18" s="372">
        <f t="shared" si="6"/>
        <v>3309383.4695000001</v>
      </c>
      <c r="N18" s="377">
        <f t="shared" si="7"/>
        <v>1968956</v>
      </c>
      <c r="O18" s="382">
        <f>+J18/30*O12</f>
        <v>1968956</v>
      </c>
      <c r="P18" s="84">
        <f t="shared" si="8"/>
        <v>1968956</v>
      </c>
      <c r="Q18" s="84">
        <f t="shared" si="9"/>
        <v>1968956</v>
      </c>
      <c r="R18" s="84">
        <f t="shared" si="10"/>
        <v>1968956</v>
      </c>
      <c r="S18" s="85"/>
      <c r="T18" s="86"/>
      <c r="U18" s="87"/>
      <c r="V18" s="87"/>
      <c r="W18" s="88"/>
    </row>
    <row r="19" spans="1:23" ht="13.5" customHeight="1">
      <c r="A19" s="270"/>
      <c r="B19" s="286" t="s">
        <v>67</v>
      </c>
      <c r="C19" s="94">
        <v>1</v>
      </c>
      <c r="D19" s="92">
        <f>+D3</f>
        <v>3090545</v>
      </c>
      <c r="E19" s="80">
        <f>+ROUND((D19*$C$7),0)</f>
        <v>309055</v>
      </c>
      <c r="F19" s="81">
        <f t="shared" si="1"/>
        <v>3399600</v>
      </c>
      <c r="G19" s="80">
        <f t="shared" si="2"/>
        <v>339960</v>
      </c>
      <c r="H19" s="80">
        <f t="shared" si="3"/>
        <v>58720</v>
      </c>
      <c r="I19" s="82">
        <f t="shared" si="4"/>
        <v>3458320</v>
      </c>
      <c r="J19" s="83">
        <f t="shared" si="5"/>
        <v>3458320</v>
      </c>
      <c r="K19" s="372">
        <f t="shared" si="12"/>
        <v>3112487.8695</v>
      </c>
      <c r="L19" s="372">
        <f t="shared" si="0"/>
        <v>345832</v>
      </c>
      <c r="M19" s="372">
        <f t="shared" si="6"/>
        <v>3458319.8695</v>
      </c>
      <c r="N19" s="377">
        <f t="shared" si="7"/>
        <v>3458320</v>
      </c>
      <c r="O19" s="382">
        <f>+J19/30*O12</f>
        <v>3458320</v>
      </c>
      <c r="P19" s="84">
        <f t="shared" si="8"/>
        <v>3458320</v>
      </c>
      <c r="Q19" s="84">
        <f t="shared" si="9"/>
        <v>3458320</v>
      </c>
      <c r="R19" s="84">
        <f t="shared" si="10"/>
        <v>3458320</v>
      </c>
      <c r="S19" s="85" t="e">
        <f>ROUND((#REF!+(#REF!*$D$13)),0)</f>
        <v>#REF!</v>
      </c>
      <c r="T19" s="86" t="e">
        <f>+#REF!</f>
        <v>#REF!</v>
      </c>
      <c r="U19" s="87" t="e">
        <f t="shared" si="11"/>
        <v>#REF!</v>
      </c>
      <c r="V19" s="87" t="e">
        <f t="shared" si="13"/>
        <v>#REF!</v>
      </c>
      <c r="W19" s="88" t="e">
        <f>+V19+#REF!</f>
        <v>#REF!</v>
      </c>
    </row>
    <row r="20" spans="1:23" ht="13.5" customHeight="1">
      <c r="A20" s="270"/>
      <c r="B20" s="285"/>
      <c r="C20" s="95">
        <v>1</v>
      </c>
      <c r="D20" s="92">
        <f>+D4</f>
        <v>1759567</v>
      </c>
      <c r="E20" s="80">
        <f>+ROUND((D20*$C$7),0)</f>
        <v>175957</v>
      </c>
      <c r="F20" s="81">
        <f t="shared" si="1"/>
        <v>1935524</v>
      </c>
      <c r="G20" s="80">
        <f t="shared" si="2"/>
        <v>193552</v>
      </c>
      <c r="H20" s="80">
        <f t="shared" si="3"/>
        <v>33432</v>
      </c>
      <c r="I20" s="82">
        <f t="shared" si="4"/>
        <v>1968956</v>
      </c>
      <c r="J20" s="83">
        <f t="shared" si="5"/>
        <v>1968956</v>
      </c>
      <c r="K20" s="372">
        <f t="shared" si="12"/>
        <v>3112487.8695</v>
      </c>
      <c r="L20" s="372">
        <f t="shared" si="0"/>
        <v>196895.6</v>
      </c>
      <c r="M20" s="372">
        <f t="shared" si="6"/>
        <v>3309383.4695000001</v>
      </c>
      <c r="N20" s="377">
        <f t="shared" si="7"/>
        <v>1968956</v>
      </c>
      <c r="O20" s="382">
        <f>+J20/30*O12</f>
        <v>1968956</v>
      </c>
      <c r="P20" s="84">
        <f t="shared" si="8"/>
        <v>1968956</v>
      </c>
      <c r="Q20" s="84">
        <f t="shared" si="9"/>
        <v>1968956</v>
      </c>
      <c r="R20" s="84">
        <f t="shared" si="10"/>
        <v>1968956</v>
      </c>
      <c r="S20" s="85"/>
      <c r="T20" s="86"/>
      <c r="U20" s="87"/>
      <c r="V20" s="87"/>
      <c r="W20" s="88"/>
    </row>
    <row r="21" spans="1:23" ht="26.25">
      <c r="A21" s="270"/>
      <c r="B21" s="96" t="s">
        <v>68</v>
      </c>
      <c r="C21" s="94">
        <v>1</v>
      </c>
      <c r="D21" s="92">
        <f>+D3</f>
        <v>3090545</v>
      </c>
      <c r="E21" s="80">
        <f>+ROUND((D21*$C$7),0)</f>
        <v>309055</v>
      </c>
      <c r="F21" s="81">
        <f t="shared" si="1"/>
        <v>3399600</v>
      </c>
      <c r="G21" s="80">
        <f t="shared" si="2"/>
        <v>339960</v>
      </c>
      <c r="H21" s="80">
        <f t="shared" si="3"/>
        <v>58720</v>
      </c>
      <c r="I21" s="82">
        <f t="shared" si="4"/>
        <v>3458320</v>
      </c>
      <c r="J21" s="83">
        <f t="shared" si="5"/>
        <v>3458320</v>
      </c>
      <c r="K21" s="372">
        <f>+$K$13</f>
        <v>3112487.8695</v>
      </c>
      <c r="L21" s="372">
        <f t="shared" si="0"/>
        <v>345832</v>
      </c>
      <c r="M21" s="372">
        <f t="shared" si="6"/>
        <v>3458319.8695</v>
      </c>
      <c r="N21" s="377">
        <f t="shared" si="7"/>
        <v>3458320</v>
      </c>
      <c r="O21" s="382">
        <f>+J21/30*O12</f>
        <v>3458320</v>
      </c>
      <c r="P21" s="84">
        <f t="shared" si="8"/>
        <v>3458320</v>
      </c>
      <c r="Q21" s="84">
        <f t="shared" si="9"/>
        <v>3458320</v>
      </c>
      <c r="R21" s="84">
        <f t="shared" si="10"/>
        <v>3458320</v>
      </c>
      <c r="S21" s="85" t="e">
        <f>ROUND((#REF!+(#REF!*$D$13)),0)</f>
        <v>#REF!</v>
      </c>
      <c r="T21" s="86" t="e">
        <f>+#REF!</f>
        <v>#REF!</v>
      </c>
      <c r="U21" s="87" t="e">
        <f t="shared" si="11"/>
        <v>#REF!</v>
      </c>
      <c r="V21" s="87" t="e">
        <f t="shared" si="13"/>
        <v>#REF!</v>
      </c>
      <c r="W21" s="88" t="e">
        <f>+V21+#REF!</f>
        <v>#REF!</v>
      </c>
    </row>
    <row r="22" spans="1:23">
      <c r="A22" s="270"/>
      <c r="B22" s="286" t="s">
        <v>69</v>
      </c>
      <c r="C22" s="94">
        <v>1</v>
      </c>
      <c r="D22" s="92">
        <f>+D3</f>
        <v>3090545</v>
      </c>
      <c r="E22" s="80">
        <f>+ROUND((D22*$C$7),0)</f>
        <v>309055</v>
      </c>
      <c r="F22" s="81">
        <f t="shared" si="1"/>
        <v>3399600</v>
      </c>
      <c r="G22" s="80">
        <f t="shared" si="2"/>
        <v>339960</v>
      </c>
      <c r="H22" s="80">
        <f t="shared" si="3"/>
        <v>58720</v>
      </c>
      <c r="I22" s="82">
        <f t="shared" si="4"/>
        <v>3458320</v>
      </c>
      <c r="J22" s="83">
        <f t="shared" si="5"/>
        <v>3458320</v>
      </c>
      <c r="K22" s="372">
        <f t="shared" si="12"/>
        <v>3112487.8695</v>
      </c>
      <c r="L22" s="372">
        <f t="shared" si="0"/>
        <v>345832</v>
      </c>
      <c r="M22" s="372">
        <f t="shared" si="6"/>
        <v>3458319.8695</v>
      </c>
      <c r="N22" s="377">
        <f t="shared" si="7"/>
        <v>3458320</v>
      </c>
      <c r="O22" s="382">
        <f>+J22/30*O12</f>
        <v>3458320</v>
      </c>
      <c r="P22" s="84">
        <f t="shared" si="8"/>
        <v>3458320</v>
      </c>
      <c r="Q22" s="84">
        <f t="shared" si="9"/>
        <v>3458320</v>
      </c>
      <c r="R22" s="84">
        <f t="shared" si="10"/>
        <v>3458320</v>
      </c>
      <c r="S22" s="85" t="e">
        <f>ROUND((#REF!+(#REF!*$D$13)),0)</f>
        <v>#REF!</v>
      </c>
      <c r="T22" s="86" t="e">
        <f>+#REF!</f>
        <v>#REF!</v>
      </c>
      <c r="U22" s="87" t="e">
        <f t="shared" si="11"/>
        <v>#REF!</v>
      </c>
      <c r="V22" s="87" t="e">
        <f t="shared" si="13"/>
        <v>#REF!</v>
      </c>
      <c r="W22" s="88" t="e">
        <f>+V22+#REF!</f>
        <v>#REF!</v>
      </c>
    </row>
    <row r="23" spans="1:23">
      <c r="A23" s="270"/>
      <c r="B23" s="285"/>
      <c r="C23" s="95">
        <v>1</v>
      </c>
      <c r="D23" s="92">
        <f>+D4</f>
        <v>1759567</v>
      </c>
      <c r="E23" s="80">
        <f>+ROUND((D23*$C$7),0)</f>
        <v>175957</v>
      </c>
      <c r="F23" s="81">
        <f t="shared" si="1"/>
        <v>1935524</v>
      </c>
      <c r="G23" s="80">
        <f t="shared" si="2"/>
        <v>193552</v>
      </c>
      <c r="H23" s="80">
        <f t="shared" si="3"/>
        <v>33432</v>
      </c>
      <c r="I23" s="82">
        <f t="shared" si="4"/>
        <v>1968956</v>
      </c>
      <c r="J23" s="83">
        <f t="shared" si="5"/>
        <v>1968956</v>
      </c>
      <c r="K23" s="372">
        <f t="shared" si="12"/>
        <v>3112487.8695</v>
      </c>
      <c r="L23" s="372">
        <f t="shared" si="0"/>
        <v>196895.6</v>
      </c>
      <c r="M23" s="372">
        <f t="shared" si="6"/>
        <v>3309383.4695000001</v>
      </c>
      <c r="N23" s="377">
        <f t="shared" si="7"/>
        <v>1968956</v>
      </c>
      <c r="O23" s="382">
        <f>+J23/30*O12</f>
        <v>1968956</v>
      </c>
      <c r="P23" s="84">
        <f t="shared" si="8"/>
        <v>1968956</v>
      </c>
      <c r="Q23" s="84">
        <f t="shared" si="9"/>
        <v>1968956</v>
      </c>
      <c r="R23" s="84">
        <f t="shared" si="10"/>
        <v>1968956</v>
      </c>
      <c r="S23" s="85"/>
      <c r="T23" s="86"/>
      <c r="U23" s="87"/>
      <c r="V23" s="87"/>
      <c r="W23" s="88"/>
    </row>
    <row r="24" spans="1:23">
      <c r="A24" s="270"/>
      <c r="B24" s="97" t="s">
        <v>70</v>
      </c>
      <c r="C24" s="94">
        <v>2</v>
      </c>
      <c r="D24" s="92">
        <f>+D3</f>
        <v>3090545</v>
      </c>
      <c r="E24" s="80">
        <f>+ROUND((D24*$C$7),0)</f>
        <v>309055</v>
      </c>
      <c r="F24" s="81">
        <f t="shared" si="1"/>
        <v>3399600</v>
      </c>
      <c r="G24" s="80">
        <f t="shared" si="2"/>
        <v>339960</v>
      </c>
      <c r="H24" s="80">
        <f t="shared" si="3"/>
        <v>58720</v>
      </c>
      <c r="I24" s="82">
        <f t="shared" si="4"/>
        <v>3458320</v>
      </c>
      <c r="J24" s="83">
        <f t="shared" si="5"/>
        <v>6916640</v>
      </c>
      <c r="K24" s="372">
        <f t="shared" ref="K24:K34" si="14">+$K$13*C24</f>
        <v>6224975.7390000001</v>
      </c>
      <c r="L24" s="372">
        <f t="shared" si="0"/>
        <v>691664</v>
      </c>
      <c r="M24" s="372">
        <f t="shared" si="6"/>
        <v>6916639.7390000001</v>
      </c>
      <c r="N24" s="377">
        <f t="shared" si="7"/>
        <v>6916640</v>
      </c>
      <c r="O24" s="382">
        <f>+J24/30*O12</f>
        <v>6916640</v>
      </c>
      <c r="P24" s="84">
        <f t="shared" si="8"/>
        <v>6916640</v>
      </c>
      <c r="Q24" s="84">
        <f t="shared" si="9"/>
        <v>6916640</v>
      </c>
      <c r="R24" s="84">
        <f t="shared" si="10"/>
        <v>6916640</v>
      </c>
      <c r="S24" s="85" t="e">
        <f>ROUND((#REF!+(#REF!*$D$13)),0)</f>
        <v>#REF!</v>
      </c>
      <c r="T24" s="86" t="e">
        <f>+#REF!</f>
        <v>#REF!</v>
      </c>
      <c r="U24" s="87" t="e">
        <f t="shared" si="11"/>
        <v>#REF!</v>
      </c>
      <c r="V24" s="87" t="e">
        <f t="shared" si="13"/>
        <v>#REF!</v>
      </c>
      <c r="W24" s="88" t="e">
        <f>+V24+#REF!</f>
        <v>#REF!</v>
      </c>
    </row>
    <row r="25" spans="1:23" s="106" customFormat="1">
      <c r="A25" s="270"/>
      <c r="B25" s="287" t="s">
        <v>71</v>
      </c>
      <c r="C25" s="98">
        <v>1</v>
      </c>
      <c r="D25" s="99">
        <f>+D3</f>
        <v>3090545</v>
      </c>
      <c r="E25" s="100">
        <f>+ROUND((D25*$C$7),0)</f>
        <v>309055</v>
      </c>
      <c r="F25" s="101">
        <f t="shared" si="1"/>
        <v>3399600</v>
      </c>
      <c r="G25" s="100">
        <f t="shared" si="2"/>
        <v>339960</v>
      </c>
      <c r="H25" s="100">
        <f t="shared" si="3"/>
        <v>58720</v>
      </c>
      <c r="I25" s="102">
        <f t="shared" si="4"/>
        <v>3458320</v>
      </c>
      <c r="J25" s="100">
        <f t="shared" si="5"/>
        <v>3458320</v>
      </c>
      <c r="K25" s="372">
        <f t="shared" si="14"/>
        <v>3112487.8695</v>
      </c>
      <c r="L25" s="372">
        <f t="shared" si="0"/>
        <v>345832</v>
      </c>
      <c r="M25" s="372">
        <f t="shared" si="6"/>
        <v>3458319.8695</v>
      </c>
      <c r="N25" s="377">
        <f t="shared" si="7"/>
        <v>3458320</v>
      </c>
      <c r="O25" s="382">
        <f>+J25/30*O12</f>
        <v>3458320</v>
      </c>
      <c r="P25" s="84">
        <f t="shared" si="8"/>
        <v>3458320</v>
      </c>
      <c r="Q25" s="84">
        <f t="shared" si="9"/>
        <v>3458320</v>
      </c>
      <c r="R25" s="84">
        <f t="shared" si="10"/>
        <v>3458320</v>
      </c>
      <c r="S25" s="103" t="e">
        <f>ROUND((#REF!+(#REF!*$D$13)),0)</f>
        <v>#REF!</v>
      </c>
      <c r="T25" s="104" t="e">
        <f>+#REF!</f>
        <v>#REF!</v>
      </c>
      <c r="U25" s="105" t="e">
        <f t="shared" si="11"/>
        <v>#REF!</v>
      </c>
      <c r="V25" s="105" t="e">
        <f t="shared" si="13"/>
        <v>#REF!</v>
      </c>
      <c r="W25" s="101" t="e">
        <f>+V25+#REF!</f>
        <v>#REF!</v>
      </c>
    </row>
    <row r="26" spans="1:23" s="106" customFormat="1">
      <c r="A26" s="270"/>
      <c r="B26" s="288"/>
      <c r="C26" s="98">
        <v>1</v>
      </c>
      <c r="D26" s="99">
        <f>+D4</f>
        <v>1759567</v>
      </c>
      <c r="E26" s="100">
        <f>+ROUND((D26*$C$7),0)</f>
        <v>175957</v>
      </c>
      <c r="F26" s="101">
        <f t="shared" si="1"/>
        <v>1935524</v>
      </c>
      <c r="G26" s="100">
        <f t="shared" si="2"/>
        <v>193552</v>
      </c>
      <c r="H26" s="100">
        <f t="shared" si="3"/>
        <v>33432</v>
      </c>
      <c r="I26" s="102">
        <f t="shared" si="4"/>
        <v>1968956</v>
      </c>
      <c r="J26" s="100">
        <f t="shared" si="5"/>
        <v>1968956</v>
      </c>
      <c r="K26" s="372">
        <f t="shared" si="14"/>
        <v>3112487.8695</v>
      </c>
      <c r="L26" s="372">
        <f t="shared" si="0"/>
        <v>196895.6</v>
      </c>
      <c r="M26" s="372">
        <f t="shared" si="6"/>
        <v>3309383.4695000001</v>
      </c>
      <c r="N26" s="377">
        <f t="shared" si="7"/>
        <v>1968956</v>
      </c>
      <c r="O26" s="382">
        <f>+J26/30*O12</f>
        <v>1968956</v>
      </c>
      <c r="P26" s="262">
        <f t="shared" si="8"/>
        <v>1968956</v>
      </c>
      <c r="Q26" s="262">
        <f>SUM($J25)</f>
        <v>3458320</v>
      </c>
      <c r="R26" s="84">
        <f>SUM($J25)</f>
        <v>3458320</v>
      </c>
      <c r="S26" s="103"/>
      <c r="T26" s="104"/>
      <c r="U26" s="105"/>
      <c r="V26" s="105"/>
      <c r="W26" s="101"/>
    </row>
    <row r="27" spans="1:23">
      <c r="A27" s="270"/>
      <c r="B27" s="96" t="s">
        <v>72</v>
      </c>
      <c r="C27" s="94">
        <v>2</v>
      </c>
      <c r="D27" s="92">
        <f>+D3</f>
        <v>3090545</v>
      </c>
      <c r="E27" s="80">
        <f>+ROUND((D27*$C$7),0)</f>
        <v>309055</v>
      </c>
      <c r="F27" s="81">
        <f t="shared" si="1"/>
        <v>3399600</v>
      </c>
      <c r="G27" s="80">
        <f t="shared" si="2"/>
        <v>339960</v>
      </c>
      <c r="H27" s="80">
        <f t="shared" si="3"/>
        <v>58720</v>
      </c>
      <c r="I27" s="82">
        <f t="shared" si="4"/>
        <v>3458320</v>
      </c>
      <c r="J27" s="83">
        <f t="shared" si="5"/>
        <v>6916640</v>
      </c>
      <c r="K27" s="372">
        <f t="shared" si="14"/>
        <v>6224975.7390000001</v>
      </c>
      <c r="L27" s="372">
        <f t="shared" si="0"/>
        <v>691664</v>
      </c>
      <c r="M27" s="372">
        <f t="shared" si="6"/>
        <v>6916639.7390000001</v>
      </c>
      <c r="N27" s="377">
        <f t="shared" si="7"/>
        <v>6916640</v>
      </c>
      <c r="O27" s="382">
        <f>+J27/30*O12</f>
        <v>6916640</v>
      </c>
      <c r="P27" s="84">
        <f t="shared" si="8"/>
        <v>6916640</v>
      </c>
      <c r="Q27" s="84">
        <f t="shared" si="9"/>
        <v>6916640</v>
      </c>
      <c r="R27" s="84">
        <f t="shared" si="10"/>
        <v>6916640</v>
      </c>
      <c r="S27" s="85" t="e">
        <f>ROUND((#REF!+(#REF!*$D$13)),0)</f>
        <v>#REF!</v>
      </c>
      <c r="T27" s="86" t="e">
        <f>+#REF!</f>
        <v>#REF!</v>
      </c>
      <c r="U27" s="87" t="e">
        <f t="shared" si="11"/>
        <v>#REF!</v>
      </c>
      <c r="V27" s="87" t="e">
        <f t="shared" si="13"/>
        <v>#REF!</v>
      </c>
      <c r="W27" s="88" t="e">
        <f>+V27+#REF!</f>
        <v>#REF!</v>
      </c>
    </row>
    <row r="28" spans="1:23" ht="26.25">
      <c r="A28" s="270"/>
      <c r="B28" s="96" t="s">
        <v>73</v>
      </c>
      <c r="C28" s="94">
        <v>1</v>
      </c>
      <c r="D28" s="92">
        <f>+D3</f>
        <v>3090545</v>
      </c>
      <c r="E28" s="80">
        <f>+ROUND((D28*$C$7),0)</f>
        <v>309055</v>
      </c>
      <c r="F28" s="81">
        <f t="shared" si="1"/>
        <v>3399600</v>
      </c>
      <c r="G28" s="80">
        <f t="shared" si="2"/>
        <v>339960</v>
      </c>
      <c r="H28" s="80">
        <f t="shared" si="3"/>
        <v>58720</v>
      </c>
      <c r="I28" s="82">
        <f t="shared" si="4"/>
        <v>3458320</v>
      </c>
      <c r="J28" s="83">
        <f t="shared" si="5"/>
        <v>3458320</v>
      </c>
      <c r="K28" s="372">
        <f t="shared" si="14"/>
        <v>3112487.8695</v>
      </c>
      <c r="L28" s="372">
        <f t="shared" si="0"/>
        <v>345832</v>
      </c>
      <c r="M28" s="372">
        <f t="shared" si="6"/>
        <v>3458319.8695</v>
      </c>
      <c r="N28" s="377">
        <f t="shared" si="7"/>
        <v>3458320</v>
      </c>
      <c r="O28" s="382">
        <f>+J28/30*O12</f>
        <v>3458320</v>
      </c>
      <c r="P28" s="84">
        <f t="shared" si="8"/>
        <v>3458320</v>
      </c>
      <c r="Q28" s="84">
        <f t="shared" si="9"/>
        <v>3458320</v>
      </c>
      <c r="R28" s="84">
        <f t="shared" si="10"/>
        <v>3458320</v>
      </c>
      <c r="S28" s="85" t="e">
        <f>ROUND((#REF!+(#REF!*$D$13)),0)</f>
        <v>#REF!</v>
      </c>
      <c r="T28" s="86" t="e">
        <f>+#REF!</f>
        <v>#REF!</v>
      </c>
      <c r="U28" s="87" t="e">
        <f t="shared" si="11"/>
        <v>#REF!</v>
      </c>
      <c r="V28" s="87" t="e">
        <f t="shared" si="13"/>
        <v>#REF!</v>
      </c>
      <c r="W28" s="88" t="e">
        <f>+V28+#REF!</f>
        <v>#REF!</v>
      </c>
    </row>
    <row r="29" spans="1:23">
      <c r="A29" s="270"/>
      <c r="B29" s="96" t="s">
        <v>74</v>
      </c>
      <c r="C29" s="94">
        <v>1</v>
      </c>
      <c r="D29" s="92">
        <f>+D3</f>
        <v>3090545</v>
      </c>
      <c r="E29" s="80">
        <f>+ROUND((D29*$C$7),0)</f>
        <v>309055</v>
      </c>
      <c r="F29" s="81">
        <f t="shared" si="1"/>
        <v>3399600</v>
      </c>
      <c r="G29" s="80">
        <f t="shared" si="2"/>
        <v>339960</v>
      </c>
      <c r="H29" s="80">
        <f t="shared" si="3"/>
        <v>58720</v>
      </c>
      <c r="I29" s="82">
        <f t="shared" si="4"/>
        <v>3458320</v>
      </c>
      <c r="J29" s="83">
        <f t="shared" si="5"/>
        <v>3458320</v>
      </c>
      <c r="K29" s="372">
        <f t="shared" si="14"/>
        <v>3112487.8695</v>
      </c>
      <c r="L29" s="372">
        <f t="shared" si="0"/>
        <v>345832</v>
      </c>
      <c r="M29" s="372">
        <f t="shared" si="6"/>
        <v>3458319.8695</v>
      </c>
      <c r="N29" s="377">
        <f t="shared" si="7"/>
        <v>3458320</v>
      </c>
      <c r="O29" s="382">
        <f>+J29/30*O12</f>
        <v>3458320</v>
      </c>
      <c r="P29" s="84">
        <f t="shared" si="8"/>
        <v>3458320</v>
      </c>
      <c r="Q29" s="84">
        <f t="shared" si="9"/>
        <v>3458320</v>
      </c>
      <c r="R29" s="84">
        <f t="shared" si="10"/>
        <v>3458320</v>
      </c>
      <c r="S29" s="85" t="e">
        <f>ROUND((#REF!+(#REF!*$D$13)),0)</f>
        <v>#REF!</v>
      </c>
      <c r="T29" s="86" t="e">
        <f>+#REF!</f>
        <v>#REF!</v>
      </c>
      <c r="U29" s="87" t="e">
        <f t="shared" si="11"/>
        <v>#REF!</v>
      </c>
      <c r="V29" s="87" t="e">
        <f t="shared" si="13"/>
        <v>#REF!</v>
      </c>
      <c r="W29" s="88" t="e">
        <f>+V29+#REF!</f>
        <v>#REF!</v>
      </c>
    </row>
    <row r="30" spans="1:23">
      <c r="A30" s="270"/>
      <c r="B30" s="96" t="s">
        <v>75</v>
      </c>
      <c r="C30" s="95">
        <v>1</v>
      </c>
      <c r="D30" s="92">
        <f>+D4</f>
        <v>1759567</v>
      </c>
      <c r="E30" s="80">
        <f>+ROUND((D30*$C$7),0)</f>
        <v>175957</v>
      </c>
      <c r="F30" s="81">
        <f t="shared" si="1"/>
        <v>1935524</v>
      </c>
      <c r="G30" s="80">
        <f t="shared" si="2"/>
        <v>193552</v>
      </c>
      <c r="H30" s="80">
        <f t="shared" si="3"/>
        <v>33432</v>
      </c>
      <c r="I30" s="82">
        <f t="shared" si="4"/>
        <v>1968956</v>
      </c>
      <c r="J30" s="83">
        <f t="shared" si="5"/>
        <v>1968956</v>
      </c>
      <c r="K30" s="372">
        <f t="shared" si="14"/>
        <v>3112487.8695</v>
      </c>
      <c r="L30" s="372">
        <f t="shared" si="0"/>
        <v>196895.6</v>
      </c>
      <c r="M30" s="372">
        <f t="shared" si="6"/>
        <v>3309383.4695000001</v>
      </c>
      <c r="N30" s="377">
        <f t="shared" si="7"/>
        <v>1968956</v>
      </c>
      <c r="O30" s="382">
        <f>+J30/30*O12</f>
        <v>1968956</v>
      </c>
      <c r="P30" s="84">
        <f t="shared" si="8"/>
        <v>1968956</v>
      </c>
      <c r="Q30" s="84">
        <f t="shared" si="9"/>
        <v>1968956</v>
      </c>
      <c r="R30" s="84">
        <f t="shared" si="10"/>
        <v>1968956</v>
      </c>
      <c r="S30" s="85" t="e">
        <f>ROUND((#REF!+(#REF!*$D$13)),0)</f>
        <v>#REF!</v>
      </c>
      <c r="T30" s="86" t="e">
        <f>+#REF!</f>
        <v>#REF!</v>
      </c>
      <c r="U30" s="87" t="e">
        <f t="shared" si="11"/>
        <v>#REF!</v>
      </c>
      <c r="V30" s="87" t="e">
        <f t="shared" si="13"/>
        <v>#REF!</v>
      </c>
      <c r="W30" s="88" t="e">
        <f>+V30+#REF!</f>
        <v>#REF!</v>
      </c>
    </row>
    <row r="31" spans="1:23">
      <c r="A31" s="270"/>
      <c r="B31" s="96" t="s">
        <v>76</v>
      </c>
      <c r="C31" s="95">
        <v>1</v>
      </c>
      <c r="D31" s="92">
        <f>+D4</f>
        <v>1759567</v>
      </c>
      <c r="E31" s="80">
        <f>+ROUND((D31*$C$7),0)</f>
        <v>175957</v>
      </c>
      <c r="F31" s="81">
        <f t="shared" si="1"/>
        <v>1935524</v>
      </c>
      <c r="G31" s="80">
        <f t="shared" si="2"/>
        <v>193552</v>
      </c>
      <c r="H31" s="80">
        <f t="shared" si="3"/>
        <v>33432</v>
      </c>
      <c r="I31" s="82">
        <f t="shared" si="4"/>
        <v>1968956</v>
      </c>
      <c r="J31" s="83">
        <f t="shared" si="5"/>
        <v>1968956</v>
      </c>
      <c r="K31" s="372">
        <f t="shared" si="14"/>
        <v>3112487.8695</v>
      </c>
      <c r="L31" s="372">
        <f t="shared" si="0"/>
        <v>196895.6</v>
      </c>
      <c r="M31" s="372">
        <f t="shared" si="6"/>
        <v>3309383.4695000001</v>
      </c>
      <c r="N31" s="377">
        <f t="shared" si="7"/>
        <v>1968956</v>
      </c>
      <c r="O31" s="382">
        <f>+J31/30*O12</f>
        <v>1968956</v>
      </c>
      <c r="P31" s="84">
        <f t="shared" si="8"/>
        <v>1968956</v>
      </c>
      <c r="Q31" s="84">
        <f t="shared" si="9"/>
        <v>1968956</v>
      </c>
      <c r="R31" s="84">
        <f t="shared" si="10"/>
        <v>1968956</v>
      </c>
      <c r="S31" s="85" t="e">
        <f>ROUND((#REF!+(#REF!*$D$13)),0)</f>
        <v>#REF!</v>
      </c>
      <c r="T31" s="86" t="e">
        <f>+#REF!</f>
        <v>#REF!</v>
      </c>
      <c r="U31" s="87" t="e">
        <f t="shared" si="11"/>
        <v>#REF!</v>
      </c>
      <c r="V31" s="87" t="e">
        <f t="shared" si="13"/>
        <v>#REF!</v>
      </c>
      <c r="W31" s="88" t="e">
        <f>+V31+#REF!</f>
        <v>#REF!</v>
      </c>
    </row>
    <row r="32" spans="1:23">
      <c r="A32" s="270"/>
      <c r="B32" s="268" t="s">
        <v>77</v>
      </c>
      <c r="C32" s="94">
        <v>1</v>
      </c>
      <c r="D32" s="92">
        <f>+D3</f>
        <v>3090545</v>
      </c>
      <c r="E32" s="80">
        <f>+ROUND((D32*$C$7),0)</f>
        <v>309055</v>
      </c>
      <c r="F32" s="81">
        <f t="shared" si="1"/>
        <v>3399600</v>
      </c>
      <c r="G32" s="80">
        <f t="shared" si="2"/>
        <v>339960</v>
      </c>
      <c r="H32" s="80">
        <f t="shared" si="3"/>
        <v>58720</v>
      </c>
      <c r="I32" s="82">
        <f t="shared" si="4"/>
        <v>3458320</v>
      </c>
      <c r="J32" s="83">
        <f t="shared" si="5"/>
        <v>3458320</v>
      </c>
      <c r="K32" s="372">
        <f t="shared" si="14"/>
        <v>3112487.8695</v>
      </c>
      <c r="L32" s="372">
        <f t="shared" si="0"/>
        <v>345832</v>
      </c>
      <c r="M32" s="372">
        <f t="shared" si="6"/>
        <v>3458319.8695</v>
      </c>
      <c r="N32" s="377">
        <f t="shared" si="7"/>
        <v>3458320</v>
      </c>
      <c r="O32" s="382">
        <f>+J32/30*O12</f>
        <v>3458320</v>
      </c>
      <c r="P32" s="84">
        <f t="shared" si="8"/>
        <v>3458320</v>
      </c>
      <c r="Q32" s="84">
        <f t="shared" si="9"/>
        <v>3458320</v>
      </c>
      <c r="R32" s="84">
        <f t="shared" si="10"/>
        <v>3458320</v>
      </c>
      <c r="S32" s="85" t="e">
        <f>ROUND((#REF!+(#REF!*$D$13)),0)</f>
        <v>#REF!</v>
      </c>
      <c r="T32" s="86" t="e">
        <f>+#REF!</f>
        <v>#REF!</v>
      </c>
      <c r="U32" s="87" t="e">
        <f t="shared" si="11"/>
        <v>#REF!</v>
      </c>
      <c r="V32" s="87" t="e">
        <f t="shared" si="13"/>
        <v>#REF!</v>
      </c>
      <c r="W32" s="88" t="e">
        <f>+V32+#REF!</f>
        <v>#REF!</v>
      </c>
    </row>
    <row r="33" spans="1:23">
      <c r="A33" s="270"/>
      <c r="B33" s="269"/>
      <c r="C33" s="95">
        <v>1</v>
      </c>
      <c r="D33" s="92">
        <f>+D4</f>
        <v>1759567</v>
      </c>
      <c r="E33" s="80">
        <f>+ROUND((D33*$C$7),0)</f>
        <v>175957</v>
      </c>
      <c r="F33" s="81">
        <f t="shared" si="1"/>
        <v>1935524</v>
      </c>
      <c r="G33" s="80">
        <f t="shared" si="2"/>
        <v>193552</v>
      </c>
      <c r="H33" s="80">
        <f t="shared" si="3"/>
        <v>33432</v>
      </c>
      <c r="I33" s="82">
        <f t="shared" si="4"/>
        <v>1968956</v>
      </c>
      <c r="J33" s="83">
        <f t="shared" si="5"/>
        <v>1968956</v>
      </c>
      <c r="K33" s="372">
        <f t="shared" si="14"/>
        <v>3112487.8695</v>
      </c>
      <c r="L33" s="372">
        <f t="shared" si="0"/>
        <v>196895.6</v>
      </c>
      <c r="M33" s="372">
        <f t="shared" si="6"/>
        <v>3309383.4695000001</v>
      </c>
      <c r="N33" s="377">
        <f t="shared" si="7"/>
        <v>1968956</v>
      </c>
      <c r="O33" s="382">
        <f>+J33/30*O12</f>
        <v>1968956</v>
      </c>
      <c r="P33" s="84">
        <f t="shared" si="8"/>
        <v>1968956</v>
      </c>
      <c r="Q33" s="84">
        <f t="shared" si="9"/>
        <v>1968956</v>
      </c>
      <c r="R33" s="84">
        <f t="shared" si="10"/>
        <v>1968956</v>
      </c>
      <c r="S33" s="85"/>
      <c r="T33" s="86"/>
      <c r="U33" s="87"/>
      <c r="V33" s="87"/>
      <c r="W33" s="88"/>
    </row>
    <row r="34" spans="1:23">
      <c r="A34" s="270"/>
      <c r="B34" s="96" t="s">
        <v>78</v>
      </c>
      <c r="C34" s="94">
        <v>1</v>
      </c>
      <c r="D34" s="92">
        <f>+D3</f>
        <v>3090545</v>
      </c>
      <c r="E34" s="80">
        <f>+ROUND((D34*$C$7),0)</f>
        <v>309055</v>
      </c>
      <c r="F34" s="81">
        <f t="shared" si="1"/>
        <v>3399600</v>
      </c>
      <c r="G34" s="80">
        <f t="shared" si="2"/>
        <v>339960</v>
      </c>
      <c r="H34" s="80">
        <f t="shared" si="3"/>
        <v>58720</v>
      </c>
      <c r="I34" s="82">
        <f t="shared" si="4"/>
        <v>3458320</v>
      </c>
      <c r="J34" s="83">
        <f t="shared" si="5"/>
        <v>3458320</v>
      </c>
      <c r="K34" s="372">
        <f t="shared" si="14"/>
        <v>3112487.8695</v>
      </c>
      <c r="L34" s="372">
        <f t="shared" si="0"/>
        <v>345832</v>
      </c>
      <c r="M34" s="372">
        <f t="shared" si="6"/>
        <v>3458319.8695</v>
      </c>
      <c r="N34" s="377">
        <f t="shared" si="7"/>
        <v>3458320</v>
      </c>
      <c r="O34" s="382">
        <f>+J34/30*O12</f>
        <v>3458320</v>
      </c>
      <c r="P34" s="84">
        <f t="shared" si="8"/>
        <v>3458320</v>
      </c>
      <c r="Q34" s="84">
        <f t="shared" si="9"/>
        <v>3458320</v>
      </c>
      <c r="R34" s="84">
        <f t="shared" si="10"/>
        <v>3458320</v>
      </c>
      <c r="S34" s="85" t="e">
        <f>ROUND((#REF!+(#REF!*$D$13)),0)</f>
        <v>#REF!</v>
      </c>
      <c r="T34" s="86" t="e">
        <f>+#REF!</f>
        <v>#REF!</v>
      </c>
      <c r="U34" s="87" t="e">
        <f t="shared" si="11"/>
        <v>#REF!</v>
      </c>
      <c r="V34" s="87" t="e">
        <f t="shared" si="13"/>
        <v>#REF!</v>
      </c>
      <c r="W34" s="88" t="e">
        <f>+V34+#REF!</f>
        <v>#REF!</v>
      </c>
    </row>
    <row r="35" spans="1:23">
      <c r="A35" s="270"/>
      <c r="B35" s="107" t="s">
        <v>79</v>
      </c>
      <c r="C35" s="108">
        <v>5</v>
      </c>
      <c r="D35" s="92">
        <f>+D3</f>
        <v>3090545</v>
      </c>
      <c r="E35" s="80">
        <f>+ROUND((D35*$C$7),0)</f>
        <v>309055</v>
      </c>
      <c r="F35" s="81">
        <f t="shared" si="1"/>
        <v>3399600</v>
      </c>
      <c r="G35" s="80">
        <f t="shared" si="2"/>
        <v>339960</v>
      </c>
      <c r="H35" s="80">
        <f t="shared" si="3"/>
        <v>58720</v>
      </c>
      <c r="I35" s="82">
        <f t="shared" si="4"/>
        <v>3458320</v>
      </c>
      <c r="J35" s="83">
        <f t="shared" si="5"/>
        <v>17291600</v>
      </c>
      <c r="K35" s="372">
        <f>+$K$13*6</f>
        <v>18674927.217</v>
      </c>
      <c r="L35" s="372">
        <f t="shared" si="0"/>
        <v>1729160</v>
      </c>
      <c r="M35" s="372">
        <f t="shared" si="6"/>
        <v>20404087.217</v>
      </c>
      <c r="N35" s="377">
        <f t="shared" si="7"/>
        <v>17291600</v>
      </c>
      <c r="O35" s="382">
        <f>+J35/30*O12</f>
        <v>17291600</v>
      </c>
      <c r="P35" s="84">
        <f t="shared" si="8"/>
        <v>17291600</v>
      </c>
      <c r="Q35" s="84">
        <f t="shared" si="9"/>
        <v>17291600</v>
      </c>
      <c r="R35" s="84">
        <f t="shared" si="10"/>
        <v>17291600</v>
      </c>
      <c r="S35" s="85" t="e">
        <f>ROUND((#REF!+(#REF!*$D$13)),0)</f>
        <v>#REF!</v>
      </c>
      <c r="T35" s="86" t="e">
        <f>+#REF!</f>
        <v>#REF!</v>
      </c>
      <c r="U35" s="87" t="e">
        <f t="shared" si="11"/>
        <v>#REF!</v>
      </c>
      <c r="V35" s="87" t="e">
        <f t="shared" si="13"/>
        <v>#REF!</v>
      </c>
      <c r="W35" s="88" t="e">
        <f>+V35+#REF!</f>
        <v>#REF!</v>
      </c>
    </row>
    <row r="36" spans="1:23">
      <c r="A36" s="267" t="s">
        <v>80</v>
      </c>
      <c r="B36" s="96" t="s">
        <v>81</v>
      </c>
      <c r="C36" s="94">
        <v>2</v>
      </c>
      <c r="D36" s="92">
        <f>+D3</f>
        <v>3090545</v>
      </c>
      <c r="E36" s="80">
        <f>+ROUND((D36*$C$7),0)</f>
        <v>309055</v>
      </c>
      <c r="F36" s="81">
        <f t="shared" si="1"/>
        <v>3399600</v>
      </c>
      <c r="G36" s="80">
        <f t="shared" si="2"/>
        <v>339960</v>
      </c>
      <c r="H36" s="80">
        <f t="shared" si="3"/>
        <v>58720</v>
      </c>
      <c r="I36" s="82">
        <f t="shared" si="4"/>
        <v>3458320</v>
      </c>
      <c r="J36" s="83">
        <f t="shared" si="5"/>
        <v>6916640</v>
      </c>
      <c r="K36" s="372">
        <f t="shared" ref="K36:K50" si="15">+$K$13*C36</f>
        <v>6224975.7390000001</v>
      </c>
      <c r="L36" s="372">
        <f t="shared" si="0"/>
        <v>691664</v>
      </c>
      <c r="M36" s="372">
        <f t="shared" si="6"/>
        <v>6916639.7390000001</v>
      </c>
      <c r="N36" s="377">
        <f t="shared" si="7"/>
        <v>6916640</v>
      </c>
      <c r="O36" s="382">
        <f>+J36/30*O12</f>
        <v>6916640</v>
      </c>
      <c r="P36" s="84">
        <f t="shared" si="8"/>
        <v>6916640</v>
      </c>
      <c r="Q36" s="84">
        <f t="shared" si="9"/>
        <v>6916640</v>
      </c>
      <c r="R36" s="84">
        <f t="shared" si="10"/>
        <v>6916640</v>
      </c>
      <c r="S36" s="85" t="e">
        <f>ROUND((#REF!+(#REF!*$D$13)),0)</f>
        <v>#REF!</v>
      </c>
      <c r="T36" s="86" t="e">
        <f>+#REF!</f>
        <v>#REF!</v>
      </c>
      <c r="U36" s="87" t="e">
        <f t="shared" si="11"/>
        <v>#REF!</v>
      </c>
      <c r="V36" s="87" t="e">
        <f t="shared" si="13"/>
        <v>#REF!</v>
      </c>
      <c r="W36" s="88" t="e">
        <f>+V36+#REF!</f>
        <v>#REF!</v>
      </c>
    </row>
    <row r="37" spans="1:23">
      <c r="A37" s="267"/>
      <c r="B37" s="107" t="s">
        <v>79</v>
      </c>
      <c r="C37" s="109">
        <v>1</v>
      </c>
      <c r="D37" s="92">
        <f>+D3</f>
        <v>3090545</v>
      </c>
      <c r="E37" s="80">
        <f>+ROUND((D37*$C$7),0)</f>
        <v>309055</v>
      </c>
      <c r="F37" s="81">
        <f t="shared" si="1"/>
        <v>3399600</v>
      </c>
      <c r="G37" s="80">
        <f t="shared" si="2"/>
        <v>339960</v>
      </c>
      <c r="H37" s="80">
        <f t="shared" si="3"/>
        <v>58720</v>
      </c>
      <c r="I37" s="82">
        <f t="shared" si="4"/>
        <v>3458320</v>
      </c>
      <c r="J37" s="83">
        <f t="shared" si="5"/>
        <v>3458320</v>
      </c>
      <c r="K37" s="372">
        <f t="shared" si="15"/>
        <v>3112487.8695</v>
      </c>
      <c r="L37" s="372">
        <f t="shared" si="0"/>
        <v>345832</v>
      </c>
      <c r="M37" s="372">
        <f t="shared" si="6"/>
        <v>3458319.8695</v>
      </c>
      <c r="N37" s="377">
        <f t="shared" si="7"/>
        <v>3458320</v>
      </c>
      <c r="O37" s="382">
        <f>+J37/30*O12</f>
        <v>3458320</v>
      </c>
      <c r="P37" s="84">
        <f t="shared" si="8"/>
        <v>3458320</v>
      </c>
      <c r="Q37" s="84">
        <f t="shared" si="9"/>
        <v>3458320</v>
      </c>
      <c r="R37" s="84">
        <f t="shared" si="10"/>
        <v>3458320</v>
      </c>
      <c r="S37" s="85" t="e">
        <f>ROUND((#REF!+(#REF!*$D$13)),0)</f>
        <v>#REF!</v>
      </c>
      <c r="T37" s="86" t="e">
        <f>+#REF!</f>
        <v>#REF!</v>
      </c>
      <c r="U37" s="87" t="e">
        <f t="shared" si="11"/>
        <v>#REF!</v>
      </c>
      <c r="V37" s="87" t="e">
        <f t="shared" si="13"/>
        <v>#REF!</v>
      </c>
      <c r="W37" s="88" t="e">
        <f>+V37+#REF!</f>
        <v>#REF!</v>
      </c>
    </row>
    <row r="38" spans="1:23">
      <c r="A38" s="267" t="s">
        <v>82</v>
      </c>
      <c r="B38" s="96" t="s">
        <v>83</v>
      </c>
      <c r="C38" s="94">
        <v>2</v>
      </c>
      <c r="D38" s="92">
        <f>+D3</f>
        <v>3090545</v>
      </c>
      <c r="E38" s="80">
        <f>+ROUND((D38*$C$7),0)</f>
        <v>309055</v>
      </c>
      <c r="F38" s="81">
        <f t="shared" si="1"/>
        <v>3399600</v>
      </c>
      <c r="G38" s="80">
        <f t="shared" si="2"/>
        <v>339960</v>
      </c>
      <c r="H38" s="80">
        <f t="shared" si="3"/>
        <v>58720</v>
      </c>
      <c r="I38" s="82">
        <f t="shared" si="4"/>
        <v>3458320</v>
      </c>
      <c r="J38" s="83">
        <f t="shared" si="5"/>
        <v>6916640</v>
      </c>
      <c r="K38" s="372">
        <f t="shared" si="15"/>
        <v>6224975.7390000001</v>
      </c>
      <c r="L38" s="372">
        <f t="shared" si="0"/>
        <v>691664</v>
      </c>
      <c r="M38" s="372">
        <f t="shared" si="6"/>
        <v>6916639.7390000001</v>
      </c>
      <c r="N38" s="377">
        <f t="shared" si="7"/>
        <v>6916640</v>
      </c>
      <c r="O38" s="382">
        <f>+J38/30*O12</f>
        <v>6916640</v>
      </c>
      <c r="P38" s="84">
        <f t="shared" si="8"/>
        <v>6916640</v>
      </c>
      <c r="Q38" s="84">
        <f t="shared" si="9"/>
        <v>6916640</v>
      </c>
      <c r="R38" s="84">
        <f t="shared" si="10"/>
        <v>6916640</v>
      </c>
      <c r="S38" s="85" t="e">
        <f>ROUND((#REF!+(#REF!*$D$13)),0)</f>
        <v>#REF!</v>
      </c>
      <c r="T38" s="86" t="e">
        <f>+#REF!</f>
        <v>#REF!</v>
      </c>
      <c r="U38" s="87" t="e">
        <f t="shared" si="11"/>
        <v>#REF!</v>
      </c>
      <c r="V38" s="87" t="e">
        <f t="shared" si="13"/>
        <v>#REF!</v>
      </c>
      <c r="W38" s="88" t="e">
        <f>+V38+#REF!</f>
        <v>#REF!</v>
      </c>
    </row>
    <row r="39" spans="1:23">
      <c r="A39" s="267"/>
      <c r="B39" s="107" t="s">
        <v>79</v>
      </c>
      <c r="C39" s="109">
        <v>1</v>
      </c>
      <c r="D39" s="92">
        <f>+D3</f>
        <v>3090545</v>
      </c>
      <c r="E39" s="80">
        <f>+ROUND((D39*$C$7),0)</f>
        <v>309055</v>
      </c>
      <c r="F39" s="81">
        <f t="shared" si="1"/>
        <v>3399600</v>
      </c>
      <c r="G39" s="80">
        <f t="shared" si="2"/>
        <v>339960</v>
      </c>
      <c r="H39" s="80">
        <f t="shared" si="3"/>
        <v>58720</v>
      </c>
      <c r="I39" s="82">
        <f t="shared" si="4"/>
        <v>3458320</v>
      </c>
      <c r="J39" s="83">
        <f t="shared" si="5"/>
        <v>3458320</v>
      </c>
      <c r="K39" s="372">
        <f t="shared" si="15"/>
        <v>3112487.8695</v>
      </c>
      <c r="L39" s="372">
        <f t="shared" si="0"/>
        <v>345832</v>
      </c>
      <c r="M39" s="372">
        <f t="shared" si="6"/>
        <v>3458319.8695</v>
      </c>
      <c r="N39" s="377">
        <f t="shared" si="7"/>
        <v>3458320</v>
      </c>
      <c r="O39" s="382">
        <f>+J39/30*O12</f>
        <v>3458320</v>
      </c>
      <c r="P39" s="84">
        <f t="shared" si="8"/>
        <v>3458320</v>
      </c>
      <c r="Q39" s="84">
        <f t="shared" si="9"/>
        <v>3458320</v>
      </c>
      <c r="R39" s="84">
        <f t="shared" si="10"/>
        <v>3458320</v>
      </c>
      <c r="S39" s="85" t="e">
        <f>ROUND((#REF!+(#REF!*$D$13)),0)</f>
        <v>#REF!</v>
      </c>
      <c r="T39" s="86" t="e">
        <f>+#REF!</f>
        <v>#REF!</v>
      </c>
      <c r="U39" s="87" t="e">
        <f t="shared" si="11"/>
        <v>#REF!</v>
      </c>
      <c r="V39" s="87" t="e">
        <f t="shared" si="13"/>
        <v>#REF!</v>
      </c>
      <c r="W39" s="88" t="e">
        <f>+V39+#REF!</f>
        <v>#REF!</v>
      </c>
    </row>
    <row r="40" spans="1:23">
      <c r="A40" s="267" t="s">
        <v>84</v>
      </c>
      <c r="B40" s="268" t="s">
        <v>85</v>
      </c>
      <c r="C40" s="94">
        <v>2</v>
      </c>
      <c r="D40" s="92">
        <f>+D3</f>
        <v>3090545</v>
      </c>
      <c r="E40" s="80">
        <f>+ROUND((D40*$C$7),0)</f>
        <v>309055</v>
      </c>
      <c r="F40" s="81">
        <f t="shared" si="1"/>
        <v>3399600</v>
      </c>
      <c r="G40" s="80">
        <f t="shared" si="2"/>
        <v>339960</v>
      </c>
      <c r="H40" s="80">
        <f t="shared" si="3"/>
        <v>58720</v>
      </c>
      <c r="I40" s="82">
        <f t="shared" si="4"/>
        <v>3458320</v>
      </c>
      <c r="J40" s="83">
        <f t="shared" si="5"/>
        <v>6916640</v>
      </c>
      <c r="K40" s="372">
        <f t="shared" si="15"/>
        <v>6224975.7390000001</v>
      </c>
      <c r="L40" s="372">
        <f t="shared" si="0"/>
        <v>691664</v>
      </c>
      <c r="M40" s="372">
        <f t="shared" si="6"/>
        <v>6916639.7390000001</v>
      </c>
      <c r="N40" s="377">
        <f t="shared" si="7"/>
        <v>6916640</v>
      </c>
      <c r="O40" s="382">
        <f>+J40/30*O12</f>
        <v>6916640</v>
      </c>
      <c r="P40" s="84">
        <f t="shared" si="8"/>
        <v>6916640</v>
      </c>
      <c r="Q40" s="84">
        <f t="shared" si="9"/>
        <v>6916640</v>
      </c>
      <c r="R40" s="84">
        <f t="shared" si="10"/>
        <v>6916640</v>
      </c>
      <c r="S40" s="85" t="e">
        <f>ROUND((#REF!+(#REF!*$D$13)),0)</f>
        <v>#REF!</v>
      </c>
      <c r="T40" s="86" t="e">
        <f>+#REF!</f>
        <v>#REF!</v>
      </c>
      <c r="U40" s="87" t="e">
        <f t="shared" si="11"/>
        <v>#REF!</v>
      </c>
      <c r="V40" s="87" t="e">
        <f t="shared" si="13"/>
        <v>#REF!</v>
      </c>
      <c r="W40" s="88" t="e">
        <f>+V40+#REF!</f>
        <v>#REF!</v>
      </c>
    </row>
    <row r="41" spans="1:23">
      <c r="A41" s="267"/>
      <c r="B41" s="269"/>
      <c r="C41" s="95">
        <v>1</v>
      </c>
      <c r="D41" s="92">
        <f>+D4</f>
        <v>1759567</v>
      </c>
      <c r="E41" s="80">
        <f>+ROUND((D41*$C$7),0)</f>
        <v>175957</v>
      </c>
      <c r="F41" s="81">
        <f t="shared" si="1"/>
        <v>1935524</v>
      </c>
      <c r="G41" s="80">
        <f t="shared" si="2"/>
        <v>193552</v>
      </c>
      <c r="H41" s="80">
        <f t="shared" si="3"/>
        <v>33432</v>
      </c>
      <c r="I41" s="82">
        <f t="shared" si="4"/>
        <v>1968956</v>
      </c>
      <c r="J41" s="83">
        <f t="shared" si="5"/>
        <v>1968956</v>
      </c>
      <c r="K41" s="372">
        <f t="shared" si="15"/>
        <v>3112487.8695</v>
      </c>
      <c r="L41" s="372">
        <f t="shared" si="0"/>
        <v>196895.6</v>
      </c>
      <c r="M41" s="372">
        <f t="shared" si="6"/>
        <v>3309383.4695000001</v>
      </c>
      <c r="N41" s="377">
        <f t="shared" si="7"/>
        <v>1968956</v>
      </c>
      <c r="O41" s="382">
        <f>+J41/30*O12</f>
        <v>1968956</v>
      </c>
      <c r="P41" s="262">
        <f t="shared" si="8"/>
        <v>1968956</v>
      </c>
      <c r="Q41" s="262">
        <f>SUM($J13)</f>
        <v>3458320</v>
      </c>
      <c r="R41" s="84">
        <f>SUM($J13)</f>
        <v>3458320</v>
      </c>
      <c r="S41" s="85"/>
      <c r="T41" s="86"/>
      <c r="U41" s="87"/>
      <c r="V41" s="87"/>
      <c r="W41" s="88"/>
    </row>
    <row r="42" spans="1:23">
      <c r="A42" s="267"/>
      <c r="B42" s="107" t="s">
        <v>79</v>
      </c>
      <c r="C42" s="109">
        <v>1</v>
      </c>
      <c r="D42" s="92">
        <f>+D3</f>
        <v>3090545</v>
      </c>
      <c r="E42" s="80">
        <f>+ROUND((D42*$C$7),0)</f>
        <v>309055</v>
      </c>
      <c r="F42" s="81">
        <f t="shared" si="1"/>
        <v>3399600</v>
      </c>
      <c r="G42" s="80">
        <f t="shared" si="2"/>
        <v>339960</v>
      </c>
      <c r="H42" s="80">
        <f t="shared" si="3"/>
        <v>58720</v>
      </c>
      <c r="I42" s="82">
        <f t="shared" si="4"/>
        <v>3458320</v>
      </c>
      <c r="J42" s="83">
        <f t="shared" si="5"/>
        <v>3458320</v>
      </c>
      <c r="K42" s="372">
        <f t="shared" si="15"/>
        <v>3112487.8695</v>
      </c>
      <c r="L42" s="372">
        <f t="shared" si="0"/>
        <v>345832</v>
      </c>
      <c r="M42" s="372">
        <f t="shared" si="6"/>
        <v>3458319.8695</v>
      </c>
      <c r="N42" s="377">
        <f t="shared" si="7"/>
        <v>3458320</v>
      </c>
      <c r="O42" s="382">
        <f>+J42/30*O12</f>
        <v>3458320</v>
      </c>
      <c r="P42" s="84">
        <f t="shared" si="8"/>
        <v>3458320</v>
      </c>
      <c r="Q42" s="84">
        <f t="shared" si="9"/>
        <v>3458320</v>
      </c>
      <c r="R42" s="84">
        <f t="shared" si="10"/>
        <v>3458320</v>
      </c>
      <c r="S42" s="85" t="e">
        <f>ROUND((#REF!+(#REF!*$D$13)),0)</f>
        <v>#REF!</v>
      </c>
      <c r="T42" s="86" t="e">
        <f>+#REF!</f>
        <v>#REF!</v>
      </c>
      <c r="U42" s="87" t="e">
        <f t="shared" si="11"/>
        <v>#REF!</v>
      </c>
      <c r="V42" s="87" t="e">
        <f t="shared" si="13"/>
        <v>#REF!</v>
      </c>
      <c r="W42" s="88" t="e">
        <f>+V42+#REF!</f>
        <v>#REF!</v>
      </c>
    </row>
    <row r="43" spans="1:23" ht="15" customHeight="1">
      <c r="A43" s="270" t="s">
        <v>86</v>
      </c>
      <c r="B43" s="110" t="s">
        <v>87</v>
      </c>
      <c r="C43" s="94">
        <v>1</v>
      </c>
      <c r="D43" s="92">
        <f>+D3</f>
        <v>3090545</v>
      </c>
      <c r="E43" s="80">
        <f>+ROUND((D43*$C$7),0)</f>
        <v>309055</v>
      </c>
      <c r="F43" s="81">
        <f t="shared" si="1"/>
        <v>3399600</v>
      </c>
      <c r="G43" s="80">
        <f t="shared" si="2"/>
        <v>339960</v>
      </c>
      <c r="H43" s="80">
        <f t="shared" si="3"/>
        <v>58720</v>
      </c>
      <c r="I43" s="82">
        <f t="shared" si="4"/>
        <v>3458320</v>
      </c>
      <c r="J43" s="83">
        <f t="shared" si="5"/>
        <v>3458320</v>
      </c>
      <c r="K43" s="372">
        <f t="shared" si="15"/>
        <v>3112487.8695</v>
      </c>
      <c r="L43" s="372">
        <f t="shared" si="0"/>
        <v>345832</v>
      </c>
      <c r="M43" s="372">
        <f t="shared" si="6"/>
        <v>3458319.8695</v>
      </c>
      <c r="N43" s="377">
        <f t="shared" si="7"/>
        <v>3458320</v>
      </c>
      <c r="O43" s="382">
        <f>+J43/30*O12</f>
        <v>3458320</v>
      </c>
      <c r="P43" s="84">
        <f t="shared" si="8"/>
        <v>3458320</v>
      </c>
      <c r="Q43" s="84">
        <f t="shared" si="9"/>
        <v>3458320</v>
      </c>
      <c r="R43" s="84">
        <f t="shared" si="10"/>
        <v>3458320</v>
      </c>
      <c r="S43" s="85" t="e">
        <f>ROUND((#REF!+(#REF!*$D$13)),0)</f>
        <v>#REF!</v>
      </c>
      <c r="T43" s="86" t="e">
        <f>+#REF!</f>
        <v>#REF!</v>
      </c>
      <c r="U43" s="87" t="e">
        <f t="shared" si="11"/>
        <v>#REF!</v>
      </c>
      <c r="V43" s="87" t="e">
        <f t="shared" si="13"/>
        <v>#REF!</v>
      </c>
      <c r="W43" s="88" t="e">
        <f>+V43+#REF!</f>
        <v>#REF!</v>
      </c>
    </row>
    <row r="44" spans="1:23">
      <c r="A44" s="270"/>
      <c r="B44" s="110" t="s">
        <v>88</v>
      </c>
      <c r="C44" s="94">
        <v>1</v>
      </c>
      <c r="D44" s="92">
        <f>+D3</f>
        <v>3090545</v>
      </c>
      <c r="E44" s="80">
        <f>+ROUND((D44*$C$7),0)</f>
        <v>309055</v>
      </c>
      <c r="F44" s="81">
        <f t="shared" si="1"/>
        <v>3399600</v>
      </c>
      <c r="G44" s="80">
        <f t="shared" si="2"/>
        <v>339960</v>
      </c>
      <c r="H44" s="80">
        <f t="shared" si="3"/>
        <v>58720</v>
      </c>
      <c r="I44" s="82">
        <f t="shared" si="4"/>
        <v>3458320</v>
      </c>
      <c r="J44" s="83">
        <f t="shared" si="5"/>
        <v>3458320</v>
      </c>
      <c r="K44" s="372">
        <f t="shared" si="15"/>
        <v>3112487.8695</v>
      </c>
      <c r="L44" s="372">
        <f t="shared" si="0"/>
        <v>345832</v>
      </c>
      <c r="M44" s="372">
        <f t="shared" si="6"/>
        <v>3458319.8695</v>
      </c>
      <c r="N44" s="377">
        <f t="shared" si="7"/>
        <v>3458320</v>
      </c>
      <c r="O44" s="382">
        <f>+J44/30*O12</f>
        <v>3458320</v>
      </c>
      <c r="P44" s="84">
        <f t="shared" si="8"/>
        <v>3458320</v>
      </c>
      <c r="Q44" s="84">
        <f t="shared" si="9"/>
        <v>3458320</v>
      </c>
      <c r="R44" s="84">
        <f t="shared" si="10"/>
        <v>3458320</v>
      </c>
      <c r="S44" s="85" t="e">
        <f>ROUND((#REF!+(#REF!*$D$13)),0)</f>
        <v>#REF!</v>
      </c>
      <c r="T44" s="86" t="e">
        <f>+#REF!</f>
        <v>#REF!</v>
      </c>
      <c r="U44" s="87" t="e">
        <f t="shared" si="11"/>
        <v>#REF!</v>
      </c>
      <c r="V44" s="87" t="e">
        <f t="shared" si="13"/>
        <v>#REF!</v>
      </c>
      <c r="W44" s="88" t="e">
        <f>+V44+#REF!</f>
        <v>#REF!</v>
      </c>
    </row>
    <row r="45" spans="1:23" ht="26.25">
      <c r="A45" s="270"/>
      <c r="B45" s="107" t="s">
        <v>89</v>
      </c>
      <c r="C45" s="109">
        <v>2</v>
      </c>
      <c r="D45" s="92">
        <f>+D3</f>
        <v>3090545</v>
      </c>
      <c r="E45" s="80">
        <f>+ROUND((D45*$C$7),0)</f>
        <v>309055</v>
      </c>
      <c r="F45" s="81">
        <f t="shared" si="1"/>
        <v>3399600</v>
      </c>
      <c r="G45" s="80">
        <f t="shared" si="2"/>
        <v>339960</v>
      </c>
      <c r="H45" s="80">
        <f t="shared" si="3"/>
        <v>58720</v>
      </c>
      <c r="I45" s="82">
        <f t="shared" si="4"/>
        <v>3458320</v>
      </c>
      <c r="J45" s="83">
        <f t="shared" si="5"/>
        <v>6916640</v>
      </c>
      <c r="K45" s="372">
        <f t="shared" si="15"/>
        <v>6224975.7390000001</v>
      </c>
      <c r="L45" s="372">
        <f t="shared" si="0"/>
        <v>691664</v>
      </c>
      <c r="M45" s="372">
        <f t="shared" si="6"/>
        <v>6916639.7390000001</v>
      </c>
      <c r="N45" s="377">
        <f t="shared" si="7"/>
        <v>6916640</v>
      </c>
      <c r="O45" s="382">
        <f>+J45/30*O12</f>
        <v>6916640</v>
      </c>
      <c r="P45" s="84">
        <f t="shared" si="8"/>
        <v>6916640</v>
      </c>
      <c r="Q45" s="84">
        <f t="shared" si="9"/>
        <v>6916640</v>
      </c>
      <c r="R45" s="84">
        <f t="shared" si="10"/>
        <v>6916640</v>
      </c>
      <c r="S45" s="85" t="e">
        <f>ROUND((#REF!+(#REF!*$D$13)),0)</f>
        <v>#REF!</v>
      </c>
      <c r="T45" s="86" t="e">
        <f>+#REF!</f>
        <v>#REF!</v>
      </c>
      <c r="U45" s="111" t="e">
        <f t="shared" si="11"/>
        <v>#REF!</v>
      </c>
      <c r="V45" s="87" t="e">
        <f t="shared" si="13"/>
        <v>#REF!</v>
      </c>
      <c r="W45" s="88" t="e">
        <f>+V45+#REF!</f>
        <v>#REF!</v>
      </c>
    </row>
    <row r="46" spans="1:23">
      <c r="A46" s="270"/>
      <c r="B46" s="268" t="s">
        <v>90</v>
      </c>
      <c r="C46" s="94">
        <v>3</v>
      </c>
      <c r="D46" s="92">
        <f>+D3</f>
        <v>3090545</v>
      </c>
      <c r="E46" s="80">
        <f>+ROUND((D46*$C$7),0)</f>
        <v>309055</v>
      </c>
      <c r="F46" s="81">
        <f t="shared" si="1"/>
        <v>3399600</v>
      </c>
      <c r="G46" s="80">
        <f t="shared" si="2"/>
        <v>339960</v>
      </c>
      <c r="H46" s="80">
        <f t="shared" si="3"/>
        <v>58720</v>
      </c>
      <c r="I46" s="82">
        <f t="shared" si="4"/>
        <v>3458320</v>
      </c>
      <c r="J46" s="83">
        <f t="shared" si="5"/>
        <v>10374960</v>
      </c>
      <c r="K46" s="372">
        <f t="shared" si="15"/>
        <v>9337463.6085000001</v>
      </c>
      <c r="L46" s="372">
        <f t="shared" si="0"/>
        <v>1037496</v>
      </c>
      <c r="M46" s="372">
        <f t="shared" si="6"/>
        <v>10374959.6085</v>
      </c>
      <c r="N46" s="377">
        <f t="shared" si="7"/>
        <v>10374960</v>
      </c>
      <c r="O46" s="382">
        <f>+J46/30*O12</f>
        <v>10374960</v>
      </c>
      <c r="P46" s="84">
        <f t="shared" si="8"/>
        <v>10374960</v>
      </c>
      <c r="Q46" s="84">
        <f t="shared" si="9"/>
        <v>10374960</v>
      </c>
      <c r="R46" s="84">
        <f t="shared" si="10"/>
        <v>10374960</v>
      </c>
      <c r="S46" s="85" t="e">
        <f>ROUND((#REF!+(#REF!*$D$13)),0)</f>
        <v>#REF!</v>
      </c>
      <c r="T46" s="86" t="e">
        <f>+#REF!</f>
        <v>#REF!</v>
      </c>
      <c r="U46" s="111" t="e">
        <f t="shared" si="11"/>
        <v>#REF!</v>
      </c>
      <c r="V46" s="87" t="e">
        <f t="shared" si="13"/>
        <v>#REF!</v>
      </c>
      <c r="W46" s="88" t="e">
        <f>+V46+#REF!</f>
        <v>#REF!</v>
      </c>
    </row>
    <row r="47" spans="1:23">
      <c r="A47" s="270"/>
      <c r="B47" s="269"/>
      <c r="C47" s="95">
        <v>1</v>
      </c>
      <c r="D47" s="92">
        <f>+D4</f>
        <v>1759567</v>
      </c>
      <c r="E47" s="80">
        <f>+ROUND((D47*$C$7),0)</f>
        <v>175957</v>
      </c>
      <c r="F47" s="81">
        <f t="shared" si="1"/>
        <v>1935524</v>
      </c>
      <c r="G47" s="80">
        <f t="shared" si="2"/>
        <v>193552</v>
      </c>
      <c r="H47" s="80">
        <f t="shared" si="3"/>
        <v>33432</v>
      </c>
      <c r="I47" s="82">
        <f t="shared" si="4"/>
        <v>1968956</v>
      </c>
      <c r="J47" s="83">
        <f t="shared" si="5"/>
        <v>1968956</v>
      </c>
      <c r="K47" s="372">
        <f t="shared" si="15"/>
        <v>3112487.8695</v>
      </c>
      <c r="L47" s="372">
        <f t="shared" si="0"/>
        <v>196895.6</v>
      </c>
      <c r="M47" s="372">
        <f t="shared" si="6"/>
        <v>3309383.4695000001</v>
      </c>
      <c r="N47" s="377">
        <f t="shared" si="7"/>
        <v>1968956</v>
      </c>
      <c r="O47" s="382">
        <f>+J47/30*O12</f>
        <v>1968956</v>
      </c>
      <c r="P47" s="84">
        <f t="shared" si="8"/>
        <v>1968956</v>
      </c>
      <c r="Q47" s="84">
        <f t="shared" si="9"/>
        <v>1968956</v>
      </c>
      <c r="R47" s="84">
        <f t="shared" si="10"/>
        <v>1968956</v>
      </c>
      <c r="S47" s="85"/>
      <c r="T47" s="86"/>
      <c r="U47" s="111"/>
      <c r="V47" s="87"/>
      <c r="W47" s="88"/>
    </row>
    <row r="48" spans="1:23" ht="26.25">
      <c r="A48" s="270"/>
      <c r="B48" s="107" t="s">
        <v>91</v>
      </c>
      <c r="C48" s="109">
        <v>1</v>
      </c>
      <c r="D48" s="92">
        <f>+D3</f>
        <v>3090545</v>
      </c>
      <c r="E48" s="80">
        <f>+ROUND((D48*$C$7),0)</f>
        <v>309055</v>
      </c>
      <c r="F48" s="81">
        <f t="shared" si="1"/>
        <v>3399600</v>
      </c>
      <c r="G48" s="80">
        <f t="shared" si="2"/>
        <v>339960</v>
      </c>
      <c r="H48" s="80">
        <f t="shared" si="3"/>
        <v>58720</v>
      </c>
      <c r="I48" s="82">
        <f t="shared" si="4"/>
        <v>3458320</v>
      </c>
      <c r="J48" s="83">
        <f t="shared" si="5"/>
        <v>3458320</v>
      </c>
      <c r="K48" s="372">
        <f t="shared" si="15"/>
        <v>3112487.8695</v>
      </c>
      <c r="L48" s="372">
        <f t="shared" si="0"/>
        <v>345832</v>
      </c>
      <c r="M48" s="372">
        <f t="shared" si="6"/>
        <v>3458319.8695</v>
      </c>
      <c r="N48" s="377">
        <f t="shared" si="7"/>
        <v>3458320</v>
      </c>
      <c r="O48" s="382">
        <f>+J48/30*O12</f>
        <v>3458320</v>
      </c>
      <c r="P48" s="84">
        <f t="shared" si="8"/>
        <v>3458320</v>
      </c>
      <c r="Q48" s="84">
        <f t="shared" si="9"/>
        <v>3458320</v>
      </c>
      <c r="R48" s="84">
        <f t="shared" si="10"/>
        <v>3458320</v>
      </c>
      <c r="S48" s="85" t="e">
        <f>ROUND((#REF!+(#REF!*$D$13)),0)</f>
        <v>#REF!</v>
      </c>
      <c r="T48" s="86" t="e">
        <f>+#REF!</f>
        <v>#REF!</v>
      </c>
      <c r="U48" s="87" t="e">
        <f t="shared" si="11"/>
        <v>#REF!</v>
      </c>
      <c r="V48" s="87" t="e">
        <f t="shared" si="13"/>
        <v>#REF!</v>
      </c>
      <c r="W48" s="88" t="e">
        <f>+V48+#REF!</f>
        <v>#REF!</v>
      </c>
    </row>
    <row r="49" spans="1:25" s="112" customFormat="1">
      <c r="A49" s="270"/>
      <c r="B49" s="110" t="s">
        <v>92</v>
      </c>
      <c r="C49" s="94">
        <v>1</v>
      </c>
      <c r="D49" s="92">
        <f>+D3</f>
        <v>3090545</v>
      </c>
      <c r="E49" s="80">
        <f>+ROUND((D49*$C$7),0)</f>
        <v>309055</v>
      </c>
      <c r="F49" s="81">
        <f t="shared" si="1"/>
        <v>3399600</v>
      </c>
      <c r="G49" s="80">
        <f t="shared" si="2"/>
        <v>339960</v>
      </c>
      <c r="H49" s="80">
        <f t="shared" si="3"/>
        <v>58720</v>
      </c>
      <c r="I49" s="82">
        <f t="shared" si="4"/>
        <v>3458320</v>
      </c>
      <c r="J49" s="83">
        <f t="shared" si="5"/>
        <v>3458320</v>
      </c>
      <c r="K49" s="372">
        <f t="shared" si="15"/>
        <v>3112487.8695</v>
      </c>
      <c r="L49" s="372">
        <f t="shared" si="0"/>
        <v>345832</v>
      </c>
      <c r="M49" s="372">
        <f t="shared" si="6"/>
        <v>3458319.8695</v>
      </c>
      <c r="N49" s="377">
        <f t="shared" si="7"/>
        <v>3458320</v>
      </c>
      <c r="O49" s="382">
        <f>+J49/30*O12</f>
        <v>3458320</v>
      </c>
      <c r="P49" s="84">
        <f t="shared" si="8"/>
        <v>3458320</v>
      </c>
      <c r="Q49" s="84">
        <f t="shared" si="9"/>
        <v>3458320</v>
      </c>
      <c r="R49" s="84">
        <f t="shared" si="10"/>
        <v>3458320</v>
      </c>
      <c r="S49" s="85" t="e">
        <f>ROUND((#REF!+(#REF!*$D$13)),0)</f>
        <v>#REF!</v>
      </c>
      <c r="T49" s="86" t="e">
        <f>+#REF!</f>
        <v>#REF!</v>
      </c>
      <c r="U49" s="87" t="e">
        <f t="shared" si="11"/>
        <v>#REF!</v>
      </c>
      <c r="V49" s="87" t="e">
        <f>+U49*6</f>
        <v>#REF!</v>
      </c>
      <c r="W49" s="88" t="e">
        <f>+V49+#REF!</f>
        <v>#REF!</v>
      </c>
    </row>
    <row r="50" spans="1:25" ht="15.75" thickBot="1">
      <c r="A50" s="271"/>
      <c r="B50" s="113" t="s">
        <v>93</v>
      </c>
      <c r="C50" s="114">
        <v>1</v>
      </c>
      <c r="D50" s="115">
        <f>+D3</f>
        <v>3090545</v>
      </c>
      <c r="E50" s="80">
        <f>+ROUND((D50*$C$7),0)</f>
        <v>309055</v>
      </c>
      <c r="F50" s="81">
        <f t="shared" si="1"/>
        <v>3399600</v>
      </c>
      <c r="G50" s="80">
        <f t="shared" si="2"/>
        <v>339960</v>
      </c>
      <c r="H50" s="80">
        <f t="shared" si="3"/>
        <v>58720</v>
      </c>
      <c r="I50" s="82">
        <f t="shared" si="4"/>
        <v>3458320</v>
      </c>
      <c r="J50" s="83">
        <f t="shared" si="5"/>
        <v>3458320</v>
      </c>
      <c r="K50" s="372">
        <f t="shared" si="15"/>
        <v>3112487.8695</v>
      </c>
      <c r="L50" s="372">
        <f t="shared" si="0"/>
        <v>345832</v>
      </c>
      <c r="M50" s="372">
        <f t="shared" si="6"/>
        <v>3458319.8695</v>
      </c>
      <c r="N50" s="377">
        <f t="shared" si="7"/>
        <v>3458320</v>
      </c>
      <c r="O50" s="382">
        <f>+J50/30*O12</f>
        <v>3458320</v>
      </c>
      <c r="P50" s="84">
        <f t="shared" si="8"/>
        <v>3458320</v>
      </c>
      <c r="Q50" s="84">
        <f t="shared" si="9"/>
        <v>3458320</v>
      </c>
      <c r="R50" s="84">
        <f t="shared" si="10"/>
        <v>3458320</v>
      </c>
      <c r="S50" s="85" t="e">
        <f>ROUND((#REF!+(#REF!*$D$13)),0)</f>
        <v>#REF!</v>
      </c>
      <c r="T50" s="86" t="e">
        <f>+#REF!</f>
        <v>#REF!</v>
      </c>
      <c r="U50" s="87" t="e">
        <f t="shared" si="11"/>
        <v>#REF!</v>
      </c>
      <c r="V50" s="87" t="e">
        <f t="shared" si="13"/>
        <v>#REF!</v>
      </c>
      <c r="W50" s="88" t="e">
        <f>+V50+#REF!</f>
        <v>#REF!</v>
      </c>
    </row>
    <row r="51" spans="1:25" ht="26.25">
      <c r="A51" s="116" t="s">
        <v>94</v>
      </c>
      <c r="B51" s="117" t="s">
        <v>95</v>
      </c>
      <c r="C51" s="118">
        <v>1</v>
      </c>
      <c r="D51" s="119">
        <f>+D4</f>
        <v>1759567</v>
      </c>
      <c r="E51" s="120">
        <f>+ROUND((D51*$C$7),0)</f>
        <v>175957</v>
      </c>
      <c r="F51" s="121">
        <f>ROUND((+E51+D51),0)</f>
        <v>1935524</v>
      </c>
      <c r="G51" s="120">
        <f>+ROUND((F51*10%),0)</f>
        <v>193552</v>
      </c>
      <c r="H51" s="120">
        <f t="shared" si="3"/>
        <v>33432</v>
      </c>
      <c r="I51" s="122">
        <f>+F51+H51</f>
        <v>1968956</v>
      </c>
      <c r="J51" s="83">
        <f t="shared" si="5"/>
        <v>1968956</v>
      </c>
      <c r="K51" s="373">
        <f>+J51/30*12</f>
        <v>787582.4</v>
      </c>
      <c r="L51" s="373">
        <f>+((J51/2)/15)*3</f>
        <v>196895.6</v>
      </c>
      <c r="M51" s="372">
        <f t="shared" si="6"/>
        <v>984478</v>
      </c>
      <c r="N51" s="377">
        <f t="shared" si="7"/>
        <v>1968956</v>
      </c>
      <c r="O51" s="382">
        <f>+J51/30*O12</f>
        <v>1968956</v>
      </c>
      <c r="P51" s="84">
        <f t="shared" si="8"/>
        <v>1968956</v>
      </c>
      <c r="Q51" s="84">
        <f t="shared" si="9"/>
        <v>1968956</v>
      </c>
      <c r="R51" s="84">
        <f t="shared" si="10"/>
        <v>1968956</v>
      </c>
      <c r="S51" s="123" t="e">
        <f>ROUND((#REF!+(#REF!*$D$13)),0)</f>
        <v>#REF!</v>
      </c>
      <c r="T51" s="124" t="e">
        <f>+#REF!</f>
        <v>#REF!</v>
      </c>
      <c r="U51" s="125" t="e">
        <f t="shared" si="11"/>
        <v>#REF!</v>
      </c>
      <c r="V51" s="126" t="e">
        <f t="shared" si="13"/>
        <v>#REF!</v>
      </c>
      <c r="W51" s="81" t="e">
        <f>+V51+#REF!</f>
        <v>#REF!</v>
      </c>
    </row>
    <row r="52" spans="1:25" ht="39">
      <c r="A52" s="127" t="s">
        <v>63</v>
      </c>
      <c r="B52" s="128" t="s">
        <v>96</v>
      </c>
      <c r="C52" s="129">
        <v>1</v>
      </c>
      <c r="D52" s="130">
        <f>+D6</f>
        <v>709977</v>
      </c>
      <c r="E52" s="120">
        <f>+ROUND((D52*$C$7),0)</f>
        <v>70998</v>
      </c>
      <c r="F52" s="121">
        <f t="shared" ref="F52:F62" si="16">ROUND((+E52+D52),0)</f>
        <v>780975</v>
      </c>
      <c r="G52" s="120">
        <f t="shared" ref="G52:G96" si="17">+ROUND((F52*10%),0)</f>
        <v>78098</v>
      </c>
      <c r="H52" s="120">
        <f t="shared" si="3"/>
        <v>13490</v>
      </c>
      <c r="I52" s="122">
        <f t="shared" ref="I52:I62" si="18">+F52+H52</f>
        <v>794465</v>
      </c>
      <c r="J52" s="83">
        <f t="shared" si="5"/>
        <v>794465</v>
      </c>
      <c r="K52" s="373">
        <f>+$J$51/30*12</f>
        <v>787582.4</v>
      </c>
      <c r="L52" s="373">
        <f>+((J52/2)/15)*3</f>
        <v>79446.5</v>
      </c>
      <c r="M52" s="372">
        <f t="shared" si="6"/>
        <v>867028.9</v>
      </c>
      <c r="N52" s="377">
        <f t="shared" si="7"/>
        <v>794465</v>
      </c>
      <c r="O52" s="382">
        <f>+J52/30*O12</f>
        <v>794465</v>
      </c>
      <c r="P52" s="84">
        <f t="shared" si="8"/>
        <v>794465</v>
      </c>
      <c r="Q52" s="84">
        <f t="shared" si="9"/>
        <v>794465</v>
      </c>
      <c r="R52" s="84">
        <f t="shared" si="10"/>
        <v>794465</v>
      </c>
      <c r="S52" s="123" t="e">
        <f>ROUND((#REF!+(#REF!*$D$13)),0)</f>
        <v>#REF!</v>
      </c>
      <c r="T52" s="124" t="e">
        <f>+#REF!</f>
        <v>#REF!</v>
      </c>
      <c r="U52" s="126" t="e">
        <f t="shared" si="11"/>
        <v>#REF!</v>
      </c>
      <c r="V52" s="126" t="e">
        <f t="shared" si="13"/>
        <v>#REF!</v>
      </c>
      <c r="W52" s="81" t="e">
        <f>+V52+#REF!</f>
        <v>#REF!</v>
      </c>
    </row>
    <row r="53" spans="1:25">
      <c r="A53" s="127" t="s">
        <v>97</v>
      </c>
      <c r="B53" s="128" t="s">
        <v>98</v>
      </c>
      <c r="C53" s="129">
        <v>1</v>
      </c>
      <c r="D53" s="130">
        <f>+D6</f>
        <v>709977</v>
      </c>
      <c r="E53" s="120">
        <f>+ROUND((D53*$C$7),0)</f>
        <v>70998</v>
      </c>
      <c r="F53" s="121">
        <f t="shared" si="16"/>
        <v>780975</v>
      </c>
      <c r="G53" s="120">
        <f t="shared" si="17"/>
        <v>78098</v>
      </c>
      <c r="H53" s="120">
        <f t="shared" si="3"/>
        <v>13490</v>
      </c>
      <c r="I53" s="122">
        <f t="shared" si="18"/>
        <v>794465</v>
      </c>
      <c r="J53" s="83">
        <f t="shared" si="5"/>
        <v>794465</v>
      </c>
      <c r="K53" s="373">
        <f t="shared" ref="K53:K62" si="19">+$J$51/30*12</f>
        <v>787582.4</v>
      </c>
      <c r="L53" s="373">
        <f>+((J53/2)/15)*3</f>
        <v>79446.5</v>
      </c>
      <c r="M53" s="372">
        <f t="shared" si="6"/>
        <v>867028.9</v>
      </c>
      <c r="N53" s="377">
        <f t="shared" si="7"/>
        <v>794465</v>
      </c>
      <c r="O53" s="382">
        <f>+J53/30*O12</f>
        <v>794465</v>
      </c>
      <c r="P53" s="84">
        <f t="shared" si="8"/>
        <v>794465</v>
      </c>
      <c r="Q53" s="84">
        <f t="shared" si="9"/>
        <v>794465</v>
      </c>
      <c r="R53" s="84">
        <f t="shared" si="10"/>
        <v>794465</v>
      </c>
      <c r="S53" s="123" t="e">
        <f>ROUND((#REF!+(#REF!*$D$13)),0)</f>
        <v>#REF!</v>
      </c>
      <c r="T53" s="124" t="e">
        <f>+#REF!</f>
        <v>#REF!</v>
      </c>
      <c r="U53" s="125" t="e">
        <f t="shared" si="11"/>
        <v>#REF!</v>
      </c>
      <c r="V53" s="126" t="e">
        <f t="shared" si="13"/>
        <v>#REF!</v>
      </c>
      <c r="W53" s="81" t="e">
        <f>+V53+#REF!</f>
        <v>#REF!</v>
      </c>
    </row>
    <row r="54" spans="1:25">
      <c r="A54" s="127" t="s">
        <v>99</v>
      </c>
      <c r="B54" s="128" t="s">
        <v>100</v>
      </c>
      <c r="C54" s="129">
        <v>1</v>
      </c>
      <c r="D54" s="130">
        <f>+D6</f>
        <v>709977</v>
      </c>
      <c r="E54" s="120">
        <f>+ROUND((D54*$C$7),0)</f>
        <v>70998</v>
      </c>
      <c r="F54" s="121">
        <f t="shared" si="16"/>
        <v>780975</v>
      </c>
      <c r="G54" s="120">
        <f t="shared" si="17"/>
        <v>78098</v>
      </c>
      <c r="H54" s="120">
        <f t="shared" si="3"/>
        <v>13490</v>
      </c>
      <c r="I54" s="122">
        <f t="shared" si="18"/>
        <v>794465</v>
      </c>
      <c r="J54" s="83">
        <f t="shared" si="5"/>
        <v>794465</v>
      </c>
      <c r="K54" s="373">
        <f t="shared" si="19"/>
        <v>787582.4</v>
      </c>
      <c r="L54" s="373">
        <f>+((J54/2)/15)*3</f>
        <v>79446.5</v>
      </c>
      <c r="M54" s="372">
        <f t="shared" si="6"/>
        <v>867028.9</v>
      </c>
      <c r="N54" s="377">
        <f t="shared" si="7"/>
        <v>794465</v>
      </c>
      <c r="O54" s="382">
        <f>+J54/30*O12</f>
        <v>794465</v>
      </c>
      <c r="P54" s="84">
        <f t="shared" si="8"/>
        <v>794465</v>
      </c>
      <c r="Q54" s="84">
        <f t="shared" si="9"/>
        <v>794465</v>
      </c>
      <c r="R54" s="84">
        <f t="shared" si="10"/>
        <v>794465</v>
      </c>
      <c r="S54" s="123" t="e">
        <f>ROUND((#REF!+(#REF!*$D$13)),0)</f>
        <v>#REF!</v>
      </c>
      <c r="T54" s="124" t="e">
        <f>+#REF!</f>
        <v>#REF!</v>
      </c>
      <c r="U54" s="126" t="e">
        <f t="shared" si="11"/>
        <v>#REF!</v>
      </c>
      <c r="V54" s="126" t="e">
        <f t="shared" si="13"/>
        <v>#REF!</v>
      </c>
      <c r="W54" s="81" t="e">
        <f>+V54+#REF!</f>
        <v>#REF!</v>
      </c>
      <c r="Y54" s="66"/>
    </row>
    <row r="55" spans="1:25">
      <c r="A55" s="127" t="s">
        <v>63</v>
      </c>
      <c r="B55" s="131" t="s">
        <v>101</v>
      </c>
      <c r="C55" s="93">
        <v>1</v>
      </c>
      <c r="D55" s="130">
        <f>+D4</f>
        <v>1759567</v>
      </c>
      <c r="E55" s="120">
        <f>+ROUND((D55*$C$7),0)</f>
        <v>175957</v>
      </c>
      <c r="F55" s="121">
        <f t="shared" si="16"/>
        <v>1935524</v>
      </c>
      <c r="G55" s="120">
        <f t="shared" si="17"/>
        <v>193552</v>
      </c>
      <c r="H55" s="120">
        <f t="shared" si="3"/>
        <v>33432</v>
      </c>
      <c r="I55" s="122">
        <f t="shared" si="18"/>
        <v>1968956</v>
      </c>
      <c r="J55" s="83">
        <f t="shared" si="5"/>
        <v>1968956</v>
      </c>
      <c r="K55" s="373">
        <f>+$J$51/30*27</f>
        <v>1772060.4000000001</v>
      </c>
      <c r="L55" s="373">
        <f>+J55/30*3</f>
        <v>196895.6</v>
      </c>
      <c r="M55" s="372">
        <f t="shared" si="6"/>
        <v>1968956.0000000002</v>
      </c>
      <c r="N55" s="377">
        <f t="shared" si="7"/>
        <v>1968956</v>
      </c>
      <c r="O55" s="382">
        <f>+J55/30*O12</f>
        <v>1968956</v>
      </c>
      <c r="P55" s="84">
        <f t="shared" si="8"/>
        <v>1968956</v>
      </c>
      <c r="Q55" s="84">
        <f t="shared" si="9"/>
        <v>1968956</v>
      </c>
      <c r="R55" s="84">
        <f t="shared" si="10"/>
        <v>1968956</v>
      </c>
      <c r="S55" s="123" t="e">
        <f>ROUND((#REF!+(#REF!*$D$13)),0)</f>
        <v>#REF!</v>
      </c>
      <c r="T55" s="124" t="e">
        <f>+#REF!</f>
        <v>#REF!</v>
      </c>
      <c r="U55" s="126" t="e">
        <f>S55+T55</f>
        <v>#REF!</v>
      </c>
      <c r="V55" s="126" t="e">
        <f>+U55*6</f>
        <v>#REF!</v>
      </c>
      <c r="W55" s="81" t="e">
        <f>+V55+#REF!</f>
        <v>#REF!</v>
      </c>
    </row>
    <row r="56" spans="1:25" s="142" customFormat="1">
      <c r="A56" s="272" t="s">
        <v>86</v>
      </c>
      <c r="B56" s="132" t="s">
        <v>102</v>
      </c>
      <c r="C56" s="133">
        <v>1</v>
      </c>
      <c r="D56" s="134">
        <f>+D6</f>
        <v>709977</v>
      </c>
      <c r="E56" s="135">
        <f>+ROUND((D56*$C$7),0)</f>
        <v>70998</v>
      </c>
      <c r="F56" s="136">
        <f t="shared" si="16"/>
        <v>780975</v>
      </c>
      <c r="G56" s="135">
        <f t="shared" si="17"/>
        <v>78098</v>
      </c>
      <c r="H56" s="135">
        <f t="shared" si="3"/>
        <v>13490</v>
      </c>
      <c r="I56" s="137">
        <f t="shared" si="18"/>
        <v>794465</v>
      </c>
      <c r="J56" s="138">
        <f t="shared" si="5"/>
        <v>794465</v>
      </c>
      <c r="K56" s="373">
        <f t="shared" si="19"/>
        <v>787582.4</v>
      </c>
      <c r="L56" s="373">
        <f t="shared" ref="L56:L96" si="20">+((J56/2)/15)*3</f>
        <v>79446.5</v>
      </c>
      <c r="M56" s="372">
        <f t="shared" si="6"/>
        <v>867028.9</v>
      </c>
      <c r="N56" s="377">
        <f t="shared" si="7"/>
        <v>794465</v>
      </c>
      <c r="O56" s="382">
        <f>+J56/30*O12</f>
        <v>794465</v>
      </c>
      <c r="P56" s="263">
        <f t="shared" si="8"/>
        <v>794465</v>
      </c>
      <c r="Q56" s="263">
        <f>SUM($J55)</f>
        <v>1968956</v>
      </c>
      <c r="R56" s="84">
        <f>SUM($J55)</f>
        <v>1968956</v>
      </c>
      <c r="S56" s="139" t="e">
        <f>ROUND((#REF!+(#REF!*$D$13)),0)</f>
        <v>#REF!</v>
      </c>
      <c r="T56" s="140" t="e">
        <f>+#REF!</f>
        <v>#REF!</v>
      </c>
      <c r="U56" s="136" t="e">
        <f t="shared" si="11"/>
        <v>#REF!</v>
      </c>
      <c r="V56" s="136" t="e">
        <f t="shared" si="13"/>
        <v>#REF!</v>
      </c>
      <c r="W56" s="141" t="e">
        <f>+V56+#REF!</f>
        <v>#REF!</v>
      </c>
    </row>
    <row r="57" spans="1:25">
      <c r="A57" s="272"/>
      <c r="B57" s="143" t="s">
        <v>93</v>
      </c>
      <c r="C57" s="93">
        <v>1</v>
      </c>
      <c r="D57" s="130">
        <f>+D4</f>
        <v>1759567</v>
      </c>
      <c r="E57" s="120">
        <f>+ROUND((D57*$C$7),0)</f>
        <v>175957</v>
      </c>
      <c r="F57" s="121">
        <f t="shared" si="16"/>
        <v>1935524</v>
      </c>
      <c r="G57" s="120">
        <f t="shared" si="17"/>
        <v>193552</v>
      </c>
      <c r="H57" s="120">
        <f t="shared" si="3"/>
        <v>33432</v>
      </c>
      <c r="I57" s="122">
        <f t="shared" si="18"/>
        <v>1968956</v>
      </c>
      <c r="J57" s="83">
        <f t="shared" si="5"/>
        <v>1968956</v>
      </c>
      <c r="K57" s="373">
        <f t="shared" si="19"/>
        <v>787582.4</v>
      </c>
      <c r="L57" s="373">
        <f t="shared" si="20"/>
        <v>196895.6</v>
      </c>
      <c r="M57" s="372">
        <f t="shared" si="6"/>
        <v>984478</v>
      </c>
      <c r="N57" s="377">
        <f t="shared" si="7"/>
        <v>1968956</v>
      </c>
      <c r="O57" s="382">
        <f>+J57/30*O12</f>
        <v>1968956</v>
      </c>
      <c r="P57" s="84">
        <f t="shared" si="8"/>
        <v>1968956</v>
      </c>
      <c r="Q57" s="84">
        <f t="shared" si="9"/>
        <v>1968956</v>
      </c>
      <c r="R57" s="84">
        <f t="shared" si="10"/>
        <v>1968956</v>
      </c>
      <c r="S57" s="123" t="e">
        <f>ROUND((#REF!+(#REF!*$D$13)),0)</f>
        <v>#REF!</v>
      </c>
      <c r="T57" s="124" t="e">
        <f>+#REF!</f>
        <v>#REF!</v>
      </c>
      <c r="U57" s="126" t="e">
        <f t="shared" si="11"/>
        <v>#REF!</v>
      </c>
      <c r="V57" s="126" t="e">
        <f t="shared" si="13"/>
        <v>#REF!</v>
      </c>
      <c r="W57" s="81" t="e">
        <f>+V57+#REF!</f>
        <v>#REF!</v>
      </c>
    </row>
    <row r="58" spans="1:25">
      <c r="A58" s="272"/>
      <c r="B58" s="144" t="s">
        <v>103</v>
      </c>
      <c r="C58" s="129">
        <v>1</v>
      </c>
      <c r="D58" s="130">
        <f>+D6</f>
        <v>709977</v>
      </c>
      <c r="E58" s="120">
        <f>+ROUND((D58*$C$7),0)</f>
        <v>70998</v>
      </c>
      <c r="F58" s="121">
        <f t="shared" si="16"/>
        <v>780975</v>
      </c>
      <c r="G58" s="120">
        <f t="shared" si="17"/>
        <v>78098</v>
      </c>
      <c r="H58" s="120">
        <f t="shared" si="3"/>
        <v>13490</v>
      </c>
      <c r="I58" s="122">
        <f t="shared" si="18"/>
        <v>794465</v>
      </c>
      <c r="J58" s="83">
        <f t="shared" si="5"/>
        <v>794465</v>
      </c>
      <c r="K58" s="373">
        <f t="shared" si="19"/>
        <v>787582.4</v>
      </c>
      <c r="L58" s="373">
        <f t="shared" si="20"/>
        <v>79446.5</v>
      </c>
      <c r="M58" s="372">
        <f t="shared" si="6"/>
        <v>867028.9</v>
      </c>
      <c r="N58" s="377">
        <f t="shared" si="7"/>
        <v>794465</v>
      </c>
      <c r="O58" s="382">
        <f>+J58/30*O12</f>
        <v>794465</v>
      </c>
      <c r="P58" s="84">
        <f t="shared" si="8"/>
        <v>794465</v>
      </c>
      <c r="Q58" s="84">
        <f t="shared" si="9"/>
        <v>794465</v>
      </c>
      <c r="R58" s="84">
        <f t="shared" si="10"/>
        <v>794465</v>
      </c>
      <c r="S58" s="123" t="e">
        <f>ROUND((#REF!+(#REF!*$D$13)),0)</f>
        <v>#REF!</v>
      </c>
      <c r="T58" s="124" t="e">
        <f>+#REF!</f>
        <v>#REF!</v>
      </c>
      <c r="U58" s="126" t="e">
        <f t="shared" si="11"/>
        <v>#REF!</v>
      </c>
      <c r="V58" s="126" t="e">
        <f t="shared" si="13"/>
        <v>#REF!</v>
      </c>
      <c r="W58" s="81" t="e">
        <f>+V58+#REF!</f>
        <v>#REF!</v>
      </c>
    </row>
    <row r="59" spans="1:25">
      <c r="A59" s="272"/>
      <c r="B59" s="131" t="s">
        <v>104</v>
      </c>
      <c r="C59" s="129">
        <v>1</v>
      </c>
      <c r="D59" s="130">
        <f>+D6</f>
        <v>709977</v>
      </c>
      <c r="E59" s="120">
        <f>+ROUND((D59*$C$7),0)</f>
        <v>70998</v>
      </c>
      <c r="F59" s="121">
        <f t="shared" si="16"/>
        <v>780975</v>
      </c>
      <c r="G59" s="120">
        <f t="shared" si="17"/>
        <v>78098</v>
      </c>
      <c r="H59" s="120">
        <f t="shared" si="3"/>
        <v>13490</v>
      </c>
      <c r="I59" s="122">
        <f t="shared" si="18"/>
        <v>794465</v>
      </c>
      <c r="J59" s="83">
        <f t="shared" si="5"/>
        <v>794465</v>
      </c>
      <c r="K59" s="373">
        <f t="shared" si="19"/>
        <v>787582.4</v>
      </c>
      <c r="L59" s="373">
        <f t="shared" si="20"/>
        <v>79446.5</v>
      </c>
      <c r="M59" s="372">
        <f t="shared" si="6"/>
        <v>867028.9</v>
      </c>
      <c r="N59" s="377">
        <f t="shared" si="7"/>
        <v>794465</v>
      </c>
      <c r="O59" s="382">
        <f>+J59/30*O12</f>
        <v>794465</v>
      </c>
      <c r="P59" s="84">
        <f t="shared" si="8"/>
        <v>794465</v>
      </c>
      <c r="Q59" s="84">
        <f t="shared" si="9"/>
        <v>794465</v>
      </c>
      <c r="R59" s="84">
        <f t="shared" si="10"/>
        <v>794465</v>
      </c>
      <c r="S59" s="123" t="e">
        <f>ROUND((#REF!+(#REF!*$D$13)),0)</f>
        <v>#REF!</v>
      </c>
      <c r="T59" s="124" t="e">
        <f>+#REF!</f>
        <v>#REF!</v>
      </c>
      <c r="U59" s="126" t="e">
        <f t="shared" si="11"/>
        <v>#REF!</v>
      </c>
      <c r="V59" s="126" t="e">
        <f t="shared" si="13"/>
        <v>#REF!</v>
      </c>
      <c r="W59" s="81" t="e">
        <f>+V59+#REF!</f>
        <v>#REF!</v>
      </c>
    </row>
    <row r="60" spans="1:25">
      <c r="A60" s="272"/>
      <c r="B60" s="131" t="s">
        <v>105</v>
      </c>
      <c r="C60" s="129">
        <v>1</v>
      </c>
      <c r="D60" s="130">
        <f>+D6</f>
        <v>709977</v>
      </c>
      <c r="E60" s="120">
        <f>+ROUND((D60*$C$7),0)</f>
        <v>70998</v>
      </c>
      <c r="F60" s="121">
        <f t="shared" si="16"/>
        <v>780975</v>
      </c>
      <c r="G60" s="120">
        <f t="shared" si="17"/>
        <v>78098</v>
      </c>
      <c r="H60" s="120">
        <f t="shared" si="3"/>
        <v>13490</v>
      </c>
      <c r="I60" s="122">
        <f t="shared" si="18"/>
        <v>794465</v>
      </c>
      <c r="J60" s="83">
        <f t="shared" si="5"/>
        <v>794465</v>
      </c>
      <c r="K60" s="373">
        <f t="shared" si="19"/>
        <v>787582.4</v>
      </c>
      <c r="L60" s="373">
        <f t="shared" si="20"/>
        <v>79446.5</v>
      </c>
      <c r="M60" s="372">
        <f t="shared" si="6"/>
        <v>867028.9</v>
      </c>
      <c r="N60" s="377">
        <f t="shared" si="7"/>
        <v>794465</v>
      </c>
      <c r="O60" s="382">
        <f>+J60/30*O12</f>
        <v>794465</v>
      </c>
      <c r="P60" s="84">
        <f t="shared" si="8"/>
        <v>794465</v>
      </c>
      <c r="Q60" s="84">
        <f t="shared" si="9"/>
        <v>794465</v>
      </c>
      <c r="R60" s="84">
        <f t="shared" si="10"/>
        <v>794465</v>
      </c>
      <c r="S60" s="123" t="e">
        <f>ROUND((#REF!+(#REF!*$D$13)),0)</f>
        <v>#REF!</v>
      </c>
      <c r="T60" s="124" t="e">
        <f>+#REF!</f>
        <v>#REF!</v>
      </c>
      <c r="U60" s="126" t="e">
        <f t="shared" si="11"/>
        <v>#REF!</v>
      </c>
      <c r="V60" s="126" t="e">
        <f t="shared" si="13"/>
        <v>#REF!</v>
      </c>
      <c r="W60" s="81" t="e">
        <f>+V60+#REF!</f>
        <v>#REF!</v>
      </c>
    </row>
    <row r="61" spans="1:25">
      <c r="A61" s="272"/>
      <c r="B61" s="131" t="s">
        <v>106</v>
      </c>
      <c r="C61" s="129">
        <v>1</v>
      </c>
      <c r="D61" s="130">
        <f>+D6</f>
        <v>709977</v>
      </c>
      <c r="E61" s="120">
        <f>+ROUND((D61*$C$7),0)</f>
        <v>70998</v>
      </c>
      <c r="F61" s="121">
        <f t="shared" si="16"/>
        <v>780975</v>
      </c>
      <c r="G61" s="120">
        <f t="shared" si="17"/>
        <v>78098</v>
      </c>
      <c r="H61" s="120">
        <f t="shared" si="3"/>
        <v>13490</v>
      </c>
      <c r="I61" s="122">
        <f t="shared" si="18"/>
        <v>794465</v>
      </c>
      <c r="J61" s="83">
        <f t="shared" si="5"/>
        <v>794465</v>
      </c>
      <c r="K61" s="373">
        <f t="shared" si="19"/>
        <v>787582.4</v>
      </c>
      <c r="L61" s="373">
        <f t="shared" si="20"/>
        <v>79446.5</v>
      </c>
      <c r="M61" s="372">
        <f t="shared" si="6"/>
        <v>867028.9</v>
      </c>
      <c r="N61" s="377">
        <f t="shared" si="7"/>
        <v>794465</v>
      </c>
      <c r="O61" s="382">
        <f>+J61/30*O12</f>
        <v>794465</v>
      </c>
      <c r="P61" s="84">
        <f t="shared" si="8"/>
        <v>794465</v>
      </c>
      <c r="Q61" s="84">
        <f t="shared" si="9"/>
        <v>794465</v>
      </c>
      <c r="R61" s="84">
        <f t="shared" si="10"/>
        <v>794465</v>
      </c>
      <c r="S61" s="123" t="e">
        <f>ROUND((#REF!+(#REF!*$D$13)),0)</f>
        <v>#REF!</v>
      </c>
      <c r="T61" s="124" t="e">
        <f>+#REF!</f>
        <v>#REF!</v>
      </c>
      <c r="U61" s="126" t="e">
        <f t="shared" si="11"/>
        <v>#REF!</v>
      </c>
      <c r="V61" s="126" t="e">
        <f t="shared" si="13"/>
        <v>#REF!</v>
      </c>
      <c r="W61" s="81" t="e">
        <f>+V61+#REF!</f>
        <v>#REF!</v>
      </c>
    </row>
    <row r="62" spans="1:25" ht="15.75" thickBot="1">
      <c r="A62" s="273"/>
      <c r="B62" s="145" t="s">
        <v>107</v>
      </c>
      <c r="C62" s="146">
        <v>1</v>
      </c>
      <c r="D62" s="147">
        <f>+D6</f>
        <v>709977</v>
      </c>
      <c r="E62" s="148">
        <f>+ROUND((D62*$C$7),0)</f>
        <v>70998</v>
      </c>
      <c r="F62" s="149">
        <f t="shared" si="16"/>
        <v>780975</v>
      </c>
      <c r="G62" s="148">
        <f t="shared" si="17"/>
        <v>78098</v>
      </c>
      <c r="H62" s="148">
        <f t="shared" si="3"/>
        <v>13490</v>
      </c>
      <c r="I62" s="150">
        <f t="shared" si="18"/>
        <v>794465</v>
      </c>
      <c r="J62" s="83">
        <f t="shared" si="5"/>
        <v>794465</v>
      </c>
      <c r="K62" s="373">
        <f t="shared" si="19"/>
        <v>787582.4</v>
      </c>
      <c r="L62" s="373">
        <f t="shared" si="20"/>
        <v>79446.5</v>
      </c>
      <c r="M62" s="372">
        <f t="shared" si="6"/>
        <v>867028.9</v>
      </c>
      <c r="N62" s="377">
        <f t="shared" si="7"/>
        <v>794465</v>
      </c>
      <c r="O62" s="382">
        <f>+J62/30*O12</f>
        <v>794465</v>
      </c>
      <c r="P62" s="84">
        <f t="shared" si="8"/>
        <v>794465</v>
      </c>
      <c r="Q62" s="84">
        <f t="shared" si="9"/>
        <v>794465</v>
      </c>
      <c r="R62" s="84">
        <f t="shared" si="10"/>
        <v>794465</v>
      </c>
      <c r="S62" s="123" t="e">
        <f>ROUND((#REF!+(#REF!*$D$13)),0)</f>
        <v>#REF!</v>
      </c>
      <c r="T62" s="124" t="e">
        <f>+#REF!</f>
        <v>#REF!</v>
      </c>
      <c r="U62" s="126" t="e">
        <f t="shared" si="11"/>
        <v>#REF!</v>
      </c>
      <c r="V62" s="126" t="e">
        <f t="shared" si="13"/>
        <v>#REF!</v>
      </c>
      <c r="W62" s="81" t="e">
        <f>+V62+#REF!</f>
        <v>#REF!</v>
      </c>
    </row>
    <row r="63" spans="1:25">
      <c r="A63" s="274" t="s">
        <v>108</v>
      </c>
      <c r="B63" s="151" t="s">
        <v>109</v>
      </c>
      <c r="C63" s="152">
        <v>1</v>
      </c>
      <c r="D63" s="153">
        <f>+$D$6</f>
        <v>709977</v>
      </c>
      <c r="E63" s="154">
        <f>+ROUND((D63*$C$7),0)</f>
        <v>70998</v>
      </c>
      <c r="F63" s="155">
        <f>ROUND((+E63+D63),0)</f>
        <v>780975</v>
      </c>
      <c r="G63" s="154">
        <f t="shared" si="17"/>
        <v>78098</v>
      </c>
      <c r="H63" s="154">
        <f t="shared" si="3"/>
        <v>13490</v>
      </c>
      <c r="I63" s="156">
        <f>+F63+H63</f>
        <v>794465</v>
      </c>
      <c r="J63" s="83">
        <f t="shared" si="5"/>
        <v>794465</v>
      </c>
      <c r="K63" s="373">
        <f>+$J$63/30*12</f>
        <v>317786</v>
      </c>
      <c r="L63" s="373">
        <f t="shared" si="20"/>
        <v>79446.5</v>
      </c>
      <c r="M63" s="372">
        <f t="shared" si="6"/>
        <v>397232.5</v>
      </c>
      <c r="N63" s="377">
        <f t="shared" si="7"/>
        <v>794465</v>
      </c>
      <c r="O63" s="382">
        <f>+J63/30*O12</f>
        <v>794465</v>
      </c>
      <c r="P63" s="84">
        <f t="shared" si="8"/>
        <v>794465</v>
      </c>
      <c r="Q63" s="84">
        <f t="shared" si="9"/>
        <v>794465</v>
      </c>
      <c r="R63" s="84">
        <f t="shared" si="10"/>
        <v>794465</v>
      </c>
      <c r="S63" s="85" t="e">
        <f>ROUND((#REF!+(#REF!*$D$13)),0)</f>
        <v>#REF!</v>
      </c>
      <c r="T63" s="86" t="e">
        <f>+#REF!</f>
        <v>#REF!</v>
      </c>
      <c r="U63" s="87" t="e">
        <f t="shared" si="11"/>
        <v>#REF!</v>
      </c>
      <c r="V63" s="87" t="e">
        <f t="shared" si="13"/>
        <v>#REF!</v>
      </c>
      <c r="W63" s="88" t="e">
        <f>+V63+#REF!</f>
        <v>#REF!</v>
      </c>
    </row>
    <row r="64" spans="1:25">
      <c r="A64" s="275"/>
      <c r="B64" s="157" t="s">
        <v>110</v>
      </c>
      <c r="C64" s="158">
        <v>1</v>
      </c>
      <c r="D64" s="159">
        <f t="shared" ref="D64:D95" si="21">+$D$6</f>
        <v>709977</v>
      </c>
      <c r="E64" s="160">
        <f>+ROUND((D64*$C$7),0)</f>
        <v>70998</v>
      </c>
      <c r="F64" s="161">
        <f t="shared" ref="F64:F96" si="22">ROUND((+E64+D64),0)</f>
        <v>780975</v>
      </c>
      <c r="G64" s="160">
        <f t="shared" si="17"/>
        <v>78098</v>
      </c>
      <c r="H64" s="160">
        <f t="shared" si="3"/>
        <v>13490</v>
      </c>
      <c r="I64" s="162">
        <f t="shared" ref="I64:I96" si="23">+F64+H64</f>
        <v>794465</v>
      </c>
      <c r="J64" s="83">
        <f t="shared" si="5"/>
        <v>794465</v>
      </c>
      <c r="K64" s="373">
        <f t="shared" ref="K64:K96" si="24">+$J$63/30*12</f>
        <v>317786</v>
      </c>
      <c r="L64" s="373">
        <f t="shared" si="20"/>
        <v>79446.5</v>
      </c>
      <c r="M64" s="372">
        <f t="shared" si="6"/>
        <v>397232.5</v>
      </c>
      <c r="N64" s="377">
        <f t="shared" si="7"/>
        <v>794465</v>
      </c>
      <c r="O64" s="382">
        <f>+J64/30*O12</f>
        <v>794465</v>
      </c>
      <c r="P64" s="84">
        <f t="shared" si="8"/>
        <v>794465</v>
      </c>
      <c r="Q64" s="84">
        <f t="shared" si="9"/>
        <v>794465</v>
      </c>
      <c r="R64" s="84">
        <f t="shared" si="10"/>
        <v>794465</v>
      </c>
      <c r="S64" s="85" t="e">
        <f>ROUND((#REF!+(#REF!*$D$13)),0)</f>
        <v>#REF!</v>
      </c>
      <c r="T64" s="86" t="e">
        <f>+#REF!</f>
        <v>#REF!</v>
      </c>
      <c r="U64" s="87" t="e">
        <f t="shared" si="11"/>
        <v>#REF!</v>
      </c>
      <c r="V64" s="87" t="e">
        <f t="shared" si="13"/>
        <v>#REF!</v>
      </c>
      <c r="W64" s="88" t="e">
        <f>+V64+#REF!</f>
        <v>#REF!</v>
      </c>
    </row>
    <row r="65" spans="1:23">
      <c r="A65" s="275"/>
      <c r="B65" s="157" t="s">
        <v>111</v>
      </c>
      <c r="C65" s="158">
        <v>1</v>
      </c>
      <c r="D65" s="159">
        <f t="shared" si="21"/>
        <v>709977</v>
      </c>
      <c r="E65" s="160">
        <f>+ROUND((D65*$C$7),0)</f>
        <v>70998</v>
      </c>
      <c r="F65" s="161">
        <f t="shared" si="22"/>
        <v>780975</v>
      </c>
      <c r="G65" s="160">
        <f t="shared" si="17"/>
        <v>78098</v>
      </c>
      <c r="H65" s="160">
        <f t="shared" si="3"/>
        <v>13490</v>
      </c>
      <c r="I65" s="162">
        <f t="shared" si="23"/>
        <v>794465</v>
      </c>
      <c r="J65" s="83">
        <f t="shared" si="5"/>
        <v>794465</v>
      </c>
      <c r="K65" s="373">
        <f t="shared" si="24"/>
        <v>317786</v>
      </c>
      <c r="L65" s="373">
        <f t="shared" si="20"/>
        <v>79446.5</v>
      </c>
      <c r="M65" s="372">
        <f t="shared" si="6"/>
        <v>397232.5</v>
      </c>
      <c r="N65" s="377">
        <f t="shared" si="7"/>
        <v>794465</v>
      </c>
      <c r="O65" s="382">
        <f>+J65/30*O12</f>
        <v>794465</v>
      </c>
      <c r="P65" s="84">
        <f t="shared" si="8"/>
        <v>794465</v>
      </c>
      <c r="Q65" s="84">
        <f t="shared" si="9"/>
        <v>794465</v>
      </c>
      <c r="R65" s="84">
        <f t="shared" si="10"/>
        <v>794465</v>
      </c>
      <c r="S65" s="85" t="e">
        <f>ROUND((#REF!+(#REF!*$D$13)),0)</f>
        <v>#REF!</v>
      </c>
      <c r="T65" s="86" t="e">
        <f>+#REF!</f>
        <v>#REF!</v>
      </c>
      <c r="U65" s="87" t="e">
        <f t="shared" si="11"/>
        <v>#REF!</v>
      </c>
      <c r="V65" s="87" t="e">
        <f t="shared" si="13"/>
        <v>#REF!</v>
      </c>
      <c r="W65" s="88" t="e">
        <f>+V65+#REF!</f>
        <v>#REF!</v>
      </c>
    </row>
    <row r="66" spans="1:23">
      <c r="A66" s="275"/>
      <c r="B66" s="157" t="s">
        <v>112</v>
      </c>
      <c r="C66" s="158">
        <v>1</v>
      </c>
      <c r="D66" s="159">
        <f t="shared" si="21"/>
        <v>709977</v>
      </c>
      <c r="E66" s="160">
        <f>+ROUND((D66*$C$7),0)</f>
        <v>70998</v>
      </c>
      <c r="F66" s="161">
        <f t="shared" si="22"/>
        <v>780975</v>
      </c>
      <c r="G66" s="160">
        <f t="shared" si="17"/>
        <v>78098</v>
      </c>
      <c r="H66" s="160">
        <f t="shared" si="3"/>
        <v>13490</v>
      </c>
      <c r="I66" s="162">
        <f t="shared" si="23"/>
        <v>794465</v>
      </c>
      <c r="J66" s="83">
        <f t="shared" si="5"/>
        <v>794465</v>
      </c>
      <c r="K66" s="373">
        <f t="shared" si="24"/>
        <v>317786</v>
      </c>
      <c r="L66" s="373">
        <f t="shared" si="20"/>
        <v>79446.5</v>
      </c>
      <c r="M66" s="372">
        <f t="shared" si="6"/>
        <v>397232.5</v>
      </c>
      <c r="N66" s="377">
        <f t="shared" si="7"/>
        <v>794465</v>
      </c>
      <c r="O66" s="382">
        <f>+J66/30*O12</f>
        <v>794465</v>
      </c>
      <c r="P66" s="84">
        <f t="shared" si="8"/>
        <v>794465</v>
      </c>
      <c r="Q66" s="84">
        <f t="shared" si="9"/>
        <v>794465</v>
      </c>
      <c r="R66" s="84">
        <f t="shared" si="10"/>
        <v>794465</v>
      </c>
      <c r="S66" s="85" t="e">
        <f>ROUND((#REF!+(#REF!*$D$13)),0)</f>
        <v>#REF!</v>
      </c>
      <c r="T66" s="86" t="e">
        <f>+#REF!</f>
        <v>#REF!</v>
      </c>
      <c r="U66" s="87" t="e">
        <f t="shared" si="11"/>
        <v>#REF!</v>
      </c>
      <c r="V66" s="87" t="e">
        <f t="shared" si="13"/>
        <v>#REF!</v>
      </c>
      <c r="W66" s="88" t="e">
        <f>+V66+#REF!</f>
        <v>#REF!</v>
      </c>
    </row>
    <row r="67" spans="1:23">
      <c r="A67" s="275"/>
      <c r="B67" s="157" t="s">
        <v>113</v>
      </c>
      <c r="C67" s="158">
        <v>1</v>
      </c>
      <c r="D67" s="159">
        <f t="shared" si="21"/>
        <v>709977</v>
      </c>
      <c r="E67" s="160">
        <f>+ROUND((D67*$C$7),0)</f>
        <v>70998</v>
      </c>
      <c r="F67" s="161">
        <f t="shared" si="22"/>
        <v>780975</v>
      </c>
      <c r="G67" s="160">
        <f t="shared" si="17"/>
        <v>78098</v>
      </c>
      <c r="H67" s="160">
        <f t="shared" si="3"/>
        <v>13490</v>
      </c>
      <c r="I67" s="162">
        <f t="shared" si="23"/>
        <v>794465</v>
      </c>
      <c r="J67" s="83">
        <f t="shared" si="5"/>
        <v>794465</v>
      </c>
      <c r="K67" s="373">
        <f t="shared" si="24"/>
        <v>317786</v>
      </c>
      <c r="L67" s="373">
        <f t="shared" si="20"/>
        <v>79446.5</v>
      </c>
      <c r="M67" s="372">
        <f t="shared" si="6"/>
        <v>397232.5</v>
      </c>
      <c r="N67" s="377">
        <f t="shared" si="7"/>
        <v>794465</v>
      </c>
      <c r="O67" s="382">
        <f>+J67/30*O12</f>
        <v>794465</v>
      </c>
      <c r="P67" s="84">
        <f t="shared" si="8"/>
        <v>794465</v>
      </c>
      <c r="Q67" s="84">
        <f t="shared" si="9"/>
        <v>794465</v>
      </c>
      <c r="R67" s="84">
        <f t="shared" si="10"/>
        <v>794465</v>
      </c>
      <c r="S67" s="85" t="e">
        <f>ROUND((#REF!+(#REF!*$D$13)),0)</f>
        <v>#REF!</v>
      </c>
      <c r="T67" s="86" t="e">
        <f>+#REF!</f>
        <v>#REF!</v>
      </c>
      <c r="U67" s="87" t="e">
        <f t="shared" si="11"/>
        <v>#REF!</v>
      </c>
      <c r="V67" s="87" t="e">
        <f t="shared" si="13"/>
        <v>#REF!</v>
      </c>
      <c r="W67" s="88" t="e">
        <f>+V67+#REF!</f>
        <v>#REF!</v>
      </c>
    </row>
    <row r="68" spans="1:23">
      <c r="A68" s="275"/>
      <c r="B68" s="163" t="s">
        <v>114</v>
      </c>
      <c r="C68" s="158">
        <v>1</v>
      </c>
      <c r="D68" s="159">
        <f t="shared" si="21"/>
        <v>709977</v>
      </c>
      <c r="E68" s="160">
        <f>+ROUND((D68*$C$7),0)</f>
        <v>70998</v>
      </c>
      <c r="F68" s="161">
        <f t="shared" si="22"/>
        <v>780975</v>
      </c>
      <c r="G68" s="160">
        <f t="shared" si="17"/>
        <v>78098</v>
      </c>
      <c r="H68" s="160">
        <f t="shared" si="3"/>
        <v>13490</v>
      </c>
      <c r="I68" s="162">
        <f t="shared" si="23"/>
        <v>794465</v>
      </c>
      <c r="J68" s="83">
        <f t="shared" si="5"/>
        <v>794465</v>
      </c>
      <c r="K68" s="373">
        <f t="shared" si="24"/>
        <v>317786</v>
      </c>
      <c r="L68" s="373">
        <f t="shared" si="20"/>
        <v>79446.5</v>
      </c>
      <c r="M68" s="372">
        <f t="shared" si="6"/>
        <v>397232.5</v>
      </c>
      <c r="N68" s="377">
        <f t="shared" si="7"/>
        <v>794465</v>
      </c>
      <c r="O68" s="382">
        <f>+J68/30*O12</f>
        <v>794465</v>
      </c>
      <c r="P68" s="84">
        <f t="shared" si="8"/>
        <v>794465</v>
      </c>
      <c r="Q68" s="84">
        <f t="shared" si="9"/>
        <v>794465</v>
      </c>
      <c r="R68" s="84">
        <f t="shared" si="10"/>
        <v>794465</v>
      </c>
      <c r="S68" s="85" t="e">
        <f>ROUND((#REF!+(#REF!*$D$13)),0)</f>
        <v>#REF!</v>
      </c>
      <c r="T68" s="86" t="e">
        <f>+#REF!</f>
        <v>#REF!</v>
      </c>
      <c r="U68" s="87" t="e">
        <f t="shared" si="11"/>
        <v>#REF!</v>
      </c>
      <c r="V68" s="87" t="e">
        <f t="shared" si="13"/>
        <v>#REF!</v>
      </c>
      <c r="W68" s="88" t="e">
        <f>+V68+#REF!</f>
        <v>#REF!</v>
      </c>
    </row>
    <row r="69" spans="1:23">
      <c r="A69" s="275"/>
      <c r="B69" s="163" t="s">
        <v>115</v>
      </c>
      <c r="C69" s="158">
        <v>1</v>
      </c>
      <c r="D69" s="159">
        <f t="shared" si="21"/>
        <v>709977</v>
      </c>
      <c r="E69" s="160">
        <f>+ROUND((D69*$C$7),0)</f>
        <v>70998</v>
      </c>
      <c r="F69" s="161">
        <f t="shared" si="22"/>
        <v>780975</v>
      </c>
      <c r="G69" s="160">
        <f t="shared" si="17"/>
        <v>78098</v>
      </c>
      <c r="H69" s="160">
        <f t="shared" si="3"/>
        <v>13490</v>
      </c>
      <c r="I69" s="162">
        <f t="shared" si="23"/>
        <v>794465</v>
      </c>
      <c r="J69" s="83">
        <f t="shared" si="5"/>
        <v>794465</v>
      </c>
      <c r="K69" s="373">
        <f t="shared" si="24"/>
        <v>317786</v>
      </c>
      <c r="L69" s="373">
        <f t="shared" si="20"/>
        <v>79446.5</v>
      </c>
      <c r="M69" s="372">
        <f t="shared" si="6"/>
        <v>397232.5</v>
      </c>
      <c r="N69" s="377">
        <f t="shared" si="7"/>
        <v>794465</v>
      </c>
      <c r="O69" s="382">
        <f>+J69/30*O12</f>
        <v>794465</v>
      </c>
      <c r="P69" s="84">
        <f t="shared" si="8"/>
        <v>794465</v>
      </c>
      <c r="Q69" s="84">
        <f t="shared" si="9"/>
        <v>794465</v>
      </c>
      <c r="R69" s="84">
        <f t="shared" si="10"/>
        <v>794465</v>
      </c>
      <c r="S69" s="85" t="e">
        <f>ROUND((#REF!+(#REF!*$D$13)),0)</f>
        <v>#REF!</v>
      </c>
      <c r="T69" s="86" t="e">
        <f>+#REF!</f>
        <v>#REF!</v>
      </c>
      <c r="U69" s="87" t="e">
        <f t="shared" si="11"/>
        <v>#REF!</v>
      </c>
      <c r="V69" s="87" t="e">
        <f t="shared" si="13"/>
        <v>#REF!</v>
      </c>
      <c r="W69" s="88" t="e">
        <f>+V69+#REF!</f>
        <v>#REF!</v>
      </c>
    </row>
    <row r="70" spans="1:23">
      <c r="A70" s="275"/>
      <c r="B70" s="163" t="s">
        <v>116</v>
      </c>
      <c r="C70" s="158">
        <v>1</v>
      </c>
      <c r="D70" s="159">
        <f t="shared" si="21"/>
        <v>709977</v>
      </c>
      <c r="E70" s="160">
        <f>+ROUND((D70*$C$7),0)</f>
        <v>70998</v>
      </c>
      <c r="F70" s="161">
        <f t="shared" si="22"/>
        <v>780975</v>
      </c>
      <c r="G70" s="160">
        <f t="shared" si="17"/>
        <v>78098</v>
      </c>
      <c r="H70" s="160">
        <f t="shared" si="3"/>
        <v>13490</v>
      </c>
      <c r="I70" s="162">
        <f t="shared" si="23"/>
        <v>794465</v>
      </c>
      <c r="J70" s="83">
        <f t="shared" si="5"/>
        <v>794465</v>
      </c>
      <c r="K70" s="373">
        <f t="shared" si="24"/>
        <v>317786</v>
      </c>
      <c r="L70" s="373">
        <f t="shared" si="20"/>
        <v>79446.5</v>
      </c>
      <c r="M70" s="372">
        <f t="shared" si="6"/>
        <v>397232.5</v>
      </c>
      <c r="N70" s="377">
        <f t="shared" si="7"/>
        <v>794465</v>
      </c>
      <c r="O70" s="382">
        <f>+J70/30*O12</f>
        <v>794465</v>
      </c>
      <c r="P70" s="84">
        <f t="shared" si="8"/>
        <v>794465</v>
      </c>
      <c r="Q70" s="84">
        <f t="shared" si="9"/>
        <v>794465</v>
      </c>
      <c r="R70" s="84">
        <f t="shared" si="10"/>
        <v>794465</v>
      </c>
      <c r="S70" s="85" t="e">
        <f>ROUND((#REF!+(#REF!*$D$13)),0)</f>
        <v>#REF!</v>
      </c>
      <c r="T70" s="86" t="e">
        <f>+#REF!</f>
        <v>#REF!</v>
      </c>
      <c r="U70" s="87" t="e">
        <f t="shared" si="11"/>
        <v>#REF!</v>
      </c>
      <c r="V70" s="87" t="e">
        <f t="shared" si="13"/>
        <v>#REF!</v>
      </c>
      <c r="W70" s="88" t="e">
        <f>+V70+#REF!</f>
        <v>#REF!</v>
      </c>
    </row>
    <row r="71" spans="1:23">
      <c r="A71" s="275"/>
      <c r="B71" s="163" t="s">
        <v>117</v>
      </c>
      <c r="C71" s="158">
        <v>1</v>
      </c>
      <c r="D71" s="159">
        <f t="shared" si="21"/>
        <v>709977</v>
      </c>
      <c r="E71" s="160">
        <f>+ROUND((D71*$C$7),0)</f>
        <v>70998</v>
      </c>
      <c r="F71" s="161">
        <f t="shared" si="22"/>
        <v>780975</v>
      </c>
      <c r="G71" s="160">
        <f t="shared" si="17"/>
        <v>78098</v>
      </c>
      <c r="H71" s="160">
        <f t="shared" si="3"/>
        <v>13490</v>
      </c>
      <c r="I71" s="162">
        <f t="shared" si="23"/>
        <v>794465</v>
      </c>
      <c r="J71" s="83">
        <f t="shared" si="5"/>
        <v>794465</v>
      </c>
      <c r="K71" s="373">
        <f t="shared" si="24"/>
        <v>317786</v>
      </c>
      <c r="L71" s="373">
        <f t="shared" si="20"/>
        <v>79446.5</v>
      </c>
      <c r="M71" s="372">
        <f t="shared" si="6"/>
        <v>397232.5</v>
      </c>
      <c r="N71" s="377">
        <f t="shared" si="7"/>
        <v>794465</v>
      </c>
      <c r="O71" s="382">
        <f>+J71/30*O12</f>
        <v>794465</v>
      </c>
      <c r="P71" s="84">
        <f t="shared" si="8"/>
        <v>794465</v>
      </c>
      <c r="Q71" s="84">
        <f t="shared" si="9"/>
        <v>794465</v>
      </c>
      <c r="R71" s="84">
        <f t="shared" si="10"/>
        <v>794465</v>
      </c>
      <c r="S71" s="85" t="e">
        <f>ROUND((#REF!+(#REF!*$D$13)),0)</f>
        <v>#REF!</v>
      </c>
      <c r="T71" s="86" t="e">
        <f>+#REF!</f>
        <v>#REF!</v>
      </c>
      <c r="U71" s="87" t="e">
        <f t="shared" si="11"/>
        <v>#REF!</v>
      </c>
      <c r="V71" s="87" t="e">
        <f t="shared" si="13"/>
        <v>#REF!</v>
      </c>
      <c r="W71" s="88" t="e">
        <f>+V71+#REF!</f>
        <v>#REF!</v>
      </c>
    </row>
    <row r="72" spans="1:23">
      <c r="A72" s="275"/>
      <c r="B72" s="163" t="s">
        <v>118</v>
      </c>
      <c r="C72" s="158">
        <v>1</v>
      </c>
      <c r="D72" s="159">
        <f t="shared" si="21"/>
        <v>709977</v>
      </c>
      <c r="E72" s="160">
        <f>+ROUND((D72*$C$7),0)</f>
        <v>70998</v>
      </c>
      <c r="F72" s="161">
        <f t="shared" si="22"/>
        <v>780975</v>
      </c>
      <c r="G72" s="160">
        <f t="shared" si="17"/>
        <v>78098</v>
      </c>
      <c r="H72" s="160">
        <f t="shared" si="3"/>
        <v>13490</v>
      </c>
      <c r="I72" s="162">
        <f t="shared" si="23"/>
        <v>794465</v>
      </c>
      <c r="J72" s="83">
        <f t="shared" si="5"/>
        <v>794465</v>
      </c>
      <c r="K72" s="373">
        <f t="shared" si="24"/>
        <v>317786</v>
      </c>
      <c r="L72" s="373">
        <f t="shared" si="20"/>
        <v>79446.5</v>
      </c>
      <c r="M72" s="372">
        <f t="shared" si="6"/>
        <v>397232.5</v>
      </c>
      <c r="N72" s="377">
        <f t="shared" si="7"/>
        <v>794465</v>
      </c>
      <c r="O72" s="382">
        <f>+J72/30*O12</f>
        <v>794465</v>
      </c>
      <c r="P72" s="84">
        <f t="shared" si="8"/>
        <v>794465</v>
      </c>
      <c r="Q72" s="84">
        <f t="shared" si="9"/>
        <v>794465</v>
      </c>
      <c r="R72" s="84">
        <f t="shared" si="10"/>
        <v>794465</v>
      </c>
      <c r="S72" s="85" t="e">
        <f>ROUND((#REF!+(#REF!*$D$13)),0)</f>
        <v>#REF!</v>
      </c>
      <c r="T72" s="86" t="e">
        <f>+#REF!</f>
        <v>#REF!</v>
      </c>
      <c r="U72" s="87" t="e">
        <f t="shared" si="11"/>
        <v>#REF!</v>
      </c>
      <c r="V72" s="87" t="e">
        <f t="shared" si="13"/>
        <v>#REF!</v>
      </c>
      <c r="W72" s="88" t="e">
        <f>+V72+#REF!</f>
        <v>#REF!</v>
      </c>
    </row>
    <row r="73" spans="1:23">
      <c r="A73" s="275"/>
      <c r="B73" s="163" t="s">
        <v>119</v>
      </c>
      <c r="C73" s="158">
        <v>1</v>
      </c>
      <c r="D73" s="159">
        <f t="shared" si="21"/>
        <v>709977</v>
      </c>
      <c r="E73" s="160">
        <f>+ROUND((D73*$C$7),0)</f>
        <v>70998</v>
      </c>
      <c r="F73" s="161">
        <f t="shared" si="22"/>
        <v>780975</v>
      </c>
      <c r="G73" s="160">
        <f t="shared" si="17"/>
        <v>78098</v>
      </c>
      <c r="H73" s="160">
        <f t="shared" si="3"/>
        <v>13490</v>
      </c>
      <c r="I73" s="162">
        <f t="shared" si="23"/>
        <v>794465</v>
      </c>
      <c r="J73" s="83">
        <f t="shared" si="5"/>
        <v>794465</v>
      </c>
      <c r="K73" s="373">
        <f t="shared" si="24"/>
        <v>317786</v>
      </c>
      <c r="L73" s="373">
        <f t="shared" si="20"/>
        <v>79446.5</v>
      </c>
      <c r="M73" s="372">
        <f t="shared" si="6"/>
        <v>397232.5</v>
      </c>
      <c r="N73" s="377">
        <f t="shared" si="7"/>
        <v>794465</v>
      </c>
      <c r="O73" s="382">
        <f>+J73/30*O12</f>
        <v>794465</v>
      </c>
      <c r="P73" s="84">
        <f t="shared" si="8"/>
        <v>794465</v>
      </c>
      <c r="Q73" s="84">
        <f t="shared" si="9"/>
        <v>794465</v>
      </c>
      <c r="R73" s="84">
        <f t="shared" si="10"/>
        <v>794465</v>
      </c>
      <c r="S73" s="85" t="e">
        <f>ROUND((#REF!+(#REF!*$D$13)),0)</f>
        <v>#REF!</v>
      </c>
      <c r="T73" s="86" t="e">
        <f>+#REF!</f>
        <v>#REF!</v>
      </c>
      <c r="U73" s="87" t="e">
        <f t="shared" si="11"/>
        <v>#REF!</v>
      </c>
      <c r="V73" s="87" t="e">
        <f t="shared" si="13"/>
        <v>#REF!</v>
      </c>
      <c r="W73" s="88" t="e">
        <f>+V73+#REF!</f>
        <v>#REF!</v>
      </c>
    </row>
    <row r="74" spans="1:23">
      <c r="A74" s="275"/>
      <c r="B74" s="163" t="s">
        <v>120</v>
      </c>
      <c r="C74" s="158">
        <v>1</v>
      </c>
      <c r="D74" s="159">
        <f t="shared" si="21"/>
        <v>709977</v>
      </c>
      <c r="E74" s="160">
        <f>+ROUND((D74*$C$7),0)</f>
        <v>70998</v>
      </c>
      <c r="F74" s="161">
        <f t="shared" si="22"/>
        <v>780975</v>
      </c>
      <c r="G74" s="160">
        <f t="shared" si="17"/>
        <v>78098</v>
      </c>
      <c r="H74" s="160">
        <f t="shared" si="3"/>
        <v>13490</v>
      </c>
      <c r="I74" s="162">
        <f t="shared" si="23"/>
        <v>794465</v>
      </c>
      <c r="J74" s="83">
        <f t="shared" si="5"/>
        <v>794465</v>
      </c>
      <c r="K74" s="373">
        <f t="shared" si="24"/>
        <v>317786</v>
      </c>
      <c r="L74" s="373">
        <f t="shared" si="20"/>
        <v>79446.5</v>
      </c>
      <c r="M74" s="372">
        <f t="shared" si="6"/>
        <v>397232.5</v>
      </c>
      <c r="N74" s="377">
        <f t="shared" si="7"/>
        <v>794465</v>
      </c>
      <c r="O74" s="382">
        <f>+J74/30*O12</f>
        <v>794465</v>
      </c>
      <c r="P74" s="84">
        <f t="shared" si="8"/>
        <v>794465</v>
      </c>
      <c r="Q74" s="84">
        <f t="shared" si="9"/>
        <v>794465</v>
      </c>
      <c r="R74" s="84">
        <f t="shared" si="10"/>
        <v>794465</v>
      </c>
      <c r="S74" s="85" t="e">
        <f>ROUND((#REF!+(#REF!*$D$13)),0)</f>
        <v>#REF!</v>
      </c>
      <c r="T74" s="86" t="e">
        <f>+#REF!</f>
        <v>#REF!</v>
      </c>
      <c r="U74" s="87" t="e">
        <f t="shared" si="11"/>
        <v>#REF!</v>
      </c>
      <c r="V74" s="87" t="e">
        <f t="shared" si="13"/>
        <v>#REF!</v>
      </c>
      <c r="W74" s="88" t="e">
        <f>+V74+#REF!</f>
        <v>#REF!</v>
      </c>
    </row>
    <row r="75" spans="1:23">
      <c r="A75" s="275"/>
      <c r="B75" s="163" t="s">
        <v>121</v>
      </c>
      <c r="C75" s="158">
        <v>1</v>
      </c>
      <c r="D75" s="159">
        <f t="shared" si="21"/>
        <v>709977</v>
      </c>
      <c r="E75" s="160">
        <f>+ROUND((D75*$C$7),0)</f>
        <v>70998</v>
      </c>
      <c r="F75" s="161">
        <f t="shared" si="22"/>
        <v>780975</v>
      </c>
      <c r="G75" s="160">
        <f t="shared" si="17"/>
        <v>78098</v>
      </c>
      <c r="H75" s="160">
        <f t="shared" si="3"/>
        <v>13490</v>
      </c>
      <c r="I75" s="162">
        <f t="shared" si="23"/>
        <v>794465</v>
      </c>
      <c r="J75" s="83">
        <f t="shared" si="5"/>
        <v>794465</v>
      </c>
      <c r="K75" s="373">
        <f t="shared" si="24"/>
        <v>317786</v>
      </c>
      <c r="L75" s="373">
        <f t="shared" si="20"/>
        <v>79446.5</v>
      </c>
      <c r="M75" s="372">
        <f t="shared" si="6"/>
        <v>397232.5</v>
      </c>
      <c r="N75" s="377">
        <f t="shared" si="7"/>
        <v>794465</v>
      </c>
      <c r="O75" s="382">
        <f>+J75/30*O12</f>
        <v>794465</v>
      </c>
      <c r="P75" s="84">
        <f t="shared" si="8"/>
        <v>794465</v>
      </c>
      <c r="Q75" s="84">
        <f t="shared" si="9"/>
        <v>794465</v>
      </c>
      <c r="R75" s="84">
        <f t="shared" si="10"/>
        <v>794465</v>
      </c>
      <c r="S75" s="85" t="e">
        <f>ROUND((#REF!+(#REF!*$D$13)),0)</f>
        <v>#REF!</v>
      </c>
      <c r="T75" s="86" t="e">
        <f>+#REF!</f>
        <v>#REF!</v>
      </c>
      <c r="U75" s="87" t="e">
        <f t="shared" si="11"/>
        <v>#REF!</v>
      </c>
      <c r="V75" s="87" t="e">
        <f t="shared" si="13"/>
        <v>#REF!</v>
      </c>
      <c r="W75" s="88" t="e">
        <f>+V75+#REF!</f>
        <v>#REF!</v>
      </c>
    </row>
    <row r="76" spans="1:23">
      <c r="A76" s="275"/>
      <c r="B76" s="163" t="s">
        <v>122</v>
      </c>
      <c r="C76" s="158">
        <v>1</v>
      </c>
      <c r="D76" s="159">
        <f t="shared" si="21"/>
        <v>709977</v>
      </c>
      <c r="E76" s="160">
        <f>+ROUND((D76*$C$7),0)</f>
        <v>70998</v>
      </c>
      <c r="F76" s="161">
        <f t="shared" si="22"/>
        <v>780975</v>
      </c>
      <c r="G76" s="160">
        <f t="shared" si="17"/>
        <v>78098</v>
      </c>
      <c r="H76" s="160">
        <f t="shared" si="3"/>
        <v>13490</v>
      </c>
      <c r="I76" s="162">
        <f t="shared" si="23"/>
        <v>794465</v>
      </c>
      <c r="J76" s="83">
        <f t="shared" si="5"/>
        <v>794465</v>
      </c>
      <c r="K76" s="373">
        <f t="shared" si="24"/>
        <v>317786</v>
      </c>
      <c r="L76" s="373">
        <f t="shared" si="20"/>
        <v>79446.5</v>
      </c>
      <c r="M76" s="372">
        <f t="shared" si="6"/>
        <v>397232.5</v>
      </c>
      <c r="N76" s="377">
        <f t="shared" si="7"/>
        <v>794465</v>
      </c>
      <c r="O76" s="382">
        <f>+J76/30*O12</f>
        <v>794465</v>
      </c>
      <c r="P76" s="84">
        <f t="shared" si="8"/>
        <v>794465</v>
      </c>
      <c r="Q76" s="84">
        <f t="shared" si="9"/>
        <v>794465</v>
      </c>
      <c r="R76" s="84">
        <f t="shared" si="10"/>
        <v>794465</v>
      </c>
      <c r="S76" s="85" t="e">
        <f>ROUND((#REF!+(#REF!*$D$13)),0)</f>
        <v>#REF!</v>
      </c>
      <c r="T76" s="86" t="e">
        <f>+#REF!</f>
        <v>#REF!</v>
      </c>
      <c r="U76" s="87" t="e">
        <f t="shared" si="11"/>
        <v>#REF!</v>
      </c>
      <c r="V76" s="87" t="e">
        <f t="shared" si="13"/>
        <v>#REF!</v>
      </c>
      <c r="W76" s="88" t="e">
        <f>+V76+#REF!</f>
        <v>#REF!</v>
      </c>
    </row>
    <row r="77" spans="1:23">
      <c r="A77" s="275"/>
      <c r="B77" s="163" t="s">
        <v>123</v>
      </c>
      <c r="C77" s="158">
        <v>1</v>
      </c>
      <c r="D77" s="159">
        <f t="shared" si="21"/>
        <v>709977</v>
      </c>
      <c r="E77" s="160">
        <f>+ROUND((D77*$C$7),0)</f>
        <v>70998</v>
      </c>
      <c r="F77" s="161">
        <f t="shared" si="22"/>
        <v>780975</v>
      </c>
      <c r="G77" s="160">
        <f t="shared" si="17"/>
        <v>78098</v>
      </c>
      <c r="H77" s="160">
        <f t="shared" si="3"/>
        <v>13490</v>
      </c>
      <c r="I77" s="162">
        <f t="shared" si="23"/>
        <v>794465</v>
      </c>
      <c r="J77" s="83">
        <f t="shared" si="5"/>
        <v>794465</v>
      </c>
      <c r="K77" s="373">
        <f t="shared" si="24"/>
        <v>317786</v>
      </c>
      <c r="L77" s="373">
        <f t="shared" si="20"/>
        <v>79446.5</v>
      </c>
      <c r="M77" s="372">
        <f t="shared" si="6"/>
        <v>397232.5</v>
      </c>
      <c r="N77" s="377">
        <f t="shared" si="7"/>
        <v>794465</v>
      </c>
      <c r="O77" s="382">
        <f>+J77/30*O12</f>
        <v>794465</v>
      </c>
      <c r="P77" s="84">
        <f t="shared" si="8"/>
        <v>794465</v>
      </c>
      <c r="Q77" s="84">
        <f t="shared" si="9"/>
        <v>794465</v>
      </c>
      <c r="R77" s="84">
        <f t="shared" si="10"/>
        <v>794465</v>
      </c>
      <c r="S77" s="85" t="e">
        <f>ROUND((#REF!+(#REF!*$D$13)),0)</f>
        <v>#REF!</v>
      </c>
      <c r="T77" s="86" t="e">
        <f>+#REF!</f>
        <v>#REF!</v>
      </c>
      <c r="U77" s="87" t="e">
        <f t="shared" si="11"/>
        <v>#REF!</v>
      </c>
      <c r="V77" s="87" t="e">
        <f t="shared" si="13"/>
        <v>#REF!</v>
      </c>
      <c r="W77" s="88" t="e">
        <f>+V77+#REF!</f>
        <v>#REF!</v>
      </c>
    </row>
    <row r="78" spans="1:23">
      <c r="A78" s="275"/>
      <c r="B78" s="163" t="s">
        <v>124</v>
      </c>
      <c r="C78" s="158">
        <v>1</v>
      </c>
      <c r="D78" s="159">
        <f t="shared" si="21"/>
        <v>709977</v>
      </c>
      <c r="E78" s="160">
        <f>+ROUND((D78*$C$7),0)</f>
        <v>70998</v>
      </c>
      <c r="F78" s="161">
        <f t="shared" si="22"/>
        <v>780975</v>
      </c>
      <c r="G78" s="160">
        <f t="shared" si="17"/>
        <v>78098</v>
      </c>
      <c r="H78" s="160">
        <f t="shared" ref="H78:H96" si="25">ROUND((E78*19%),0)</f>
        <v>13490</v>
      </c>
      <c r="I78" s="162">
        <f t="shared" si="23"/>
        <v>794465</v>
      </c>
      <c r="J78" s="83">
        <f t="shared" ref="J78:J96" si="26">+I78*C78</f>
        <v>794465</v>
      </c>
      <c r="K78" s="373">
        <f t="shared" si="24"/>
        <v>317786</v>
      </c>
      <c r="L78" s="373">
        <f t="shared" si="20"/>
        <v>79446.5</v>
      </c>
      <c r="M78" s="372">
        <f t="shared" ref="M78:M96" si="27">SUM(K78:L78)</f>
        <v>397232.5</v>
      </c>
      <c r="N78" s="377">
        <f t="shared" ref="N78:N98" si="28">SUM($J78)</f>
        <v>794465</v>
      </c>
      <c r="O78" s="382">
        <f>+J78/30*O12</f>
        <v>794465</v>
      </c>
      <c r="P78" s="84">
        <f t="shared" si="8"/>
        <v>794465</v>
      </c>
      <c r="Q78" s="84">
        <f t="shared" ref="Q78:Q96" si="29">+P78</f>
        <v>794465</v>
      </c>
      <c r="R78" s="84">
        <f t="shared" ref="R78:R96" si="30">+P78</f>
        <v>794465</v>
      </c>
      <c r="S78" s="85" t="e">
        <f>ROUND((#REF!+(#REF!*$D$13)),0)</f>
        <v>#REF!</v>
      </c>
      <c r="T78" s="86" t="e">
        <f>+#REF!</f>
        <v>#REF!</v>
      </c>
      <c r="U78" s="87" t="e">
        <f t="shared" si="11"/>
        <v>#REF!</v>
      </c>
      <c r="V78" s="87" t="e">
        <f t="shared" si="13"/>
        <v>#REF!</v>
      </c>
      <c r="W78" s="88" t="e">
        <f>+V78+#REF!</f>
        <v>#REF!</v>
      </c>
    </row>
    <row r="79" spans="1:23">
      <c r="A79" s="275"/>
      <c r="B79" s="163" t="s">
        <v>125</v>
      </c>
      <c r="C79" s="158">
        <v>1</v>
      </c>
      <c r="D79" s="159">
        <f t="shared" si="21"/>
        <v>709977</v>
      </c>
      <c r="E79" s="160">
        <f>+ROUND((D79*$C$7),0)</f>
        <v>70998</v>
      </c>
      <c r="F79" s="161">
        <f t="shared" si="22"/>
        <v>780975</v>
      </c>
      <c r="G79" s="160">
        <f t="shared" si="17"/>
        <v>78098</v>
      </c>
      <c r="H79" s="160">
        <f t="shared" si="25"/>
        <v>13490</v>
      </c>
      <c r="I79" s="162">
        <f t="shared" si="23"/>
        <v>794465</v>
      </c>
      <c r="J79" s="83">
        <f t="shared" si="26"/>
        <v>794465</v>
      </c>
      <c r="K79" s="373">
        <f t="shared" si="24"/>
        <v>317786</v>
      </c>
      <c r="L79" s="373">
        <f t="shared" si="20"/>
        <v>79446.5</v>
      </c>
      <c r="M79" s="372">
        <f t="shared" si="27"/>
        <v>397232.5</v>
      </c>
      <c r="N79" s="377">
        <f t="shared" si="28"/>
        <v>794465</v>
      </c>
      <c r="O79" s="382">
        <f>+J79/30*O12</f>
        <v>794465</v>
      </c>
      <c r="P79" s="84">
        <f t="shared" ref="P79:P96" si="31">SUM($J79)</f>
        <v>794465</v>
      </c>
      <c r="Q79" s="84">
        <f t="shared" si="29"/>
        <v>794465</v>
      </c>
      <c r="R79" s="84">
        <f t="shared" si="30"/>
        <v>794465</v>
      </c>
      <c r="S79" s="85" t="e">
        <f>ROUND((#REF!+(#REF!*$D$13)),0)</f>
        <v>#REF!</v>
      </c>
      <c r="T79" s="86" t="e">
        <f>+#REF!</f>
        <v>#REF!</v>
      </c>
      <c r="U79" s="87" t="e">
        <f t="shared" si="11"/>
        <v>#REF!</v>
      </c>
      <c r="V79" s="87" t="e">
        <f t="shared" si="13"/>
        <v>#REF!</v>
      </c>
      <c r="W79" s="88" t="e">
        <f>+V79+#REF!</f>
        <v>#REF!</v>
      </c>
    </row>
    <row r="80" spans="1:23">
      <c r="A80" s="275"/>
      <c r="B80" s="163" t="s">
        <v>126</v>
      </c>
      <c r="C80" s="158">
        <v>1</v>
      </c>
      <c r="D80" s="159">
        <f t="shared" si="21"/>
        <v>709977</v>
      </c>
      <c r="E80" s="160">
        <f>+ROUND((D80*$C$7),0)</f>
        <v>70998</v>
      </c>
      <c r="F80" s="161">
        <f t="shared" si="22"/>
        <v>780975</v>
      </c>
      <c r="G80" s="160">
        <f t="shared" si="17"/>
        <v>78098</v>
      </c>
      <c r="H80" s="160">
        <f t="shared" si="25"/>
        <v>13490</v>
      </c>
      <c r="I80" s="162">
        <f t="shared" si="23"/>
        <v>794465</v>
      </c>
      <c r="J80" s="83">
        <f t="shared" si="26"/>
        <v>794465</v>
      </c>
      <c r="K80" s="373">
        <f t="shared" si="24"/>
        <v>317786</v>
      </c>
      <c r="L80" s="373">
        <f t="shared" si="20"/>
        <v>79446.5</v>
      </c>
      <c r="M80" s="372">
        <f t="shared" si="27"/>
        <v>397232.5</v>
      </c>
      <c r="N80" s="377">
        <f t="shared" si="28"/>
        <v>794465</v>
      </c>
      <c r="O80" s="382">
        <f>+J80/30*O12</f>
        <v>794465</v>
      </c>
      <c r="P80" s="84">
        <f t="shared" si="31"/>
        <v>794465</v>
      </c>
      <c r="Q80" s="84">
        <f t="shared" si="29"/>
        <v>794465</v>
      </c>
      <c r="R80" s="84">
        <f t="shared" si="30"/>
        <v>794465</v>
      </c>
      <c r="S80" s="85" t="e">
        <f>ROUND((#REF!+(#REF!*$D$13)),0)</f>
        <v>#REF!</v>
      </c>
      <c r="T80" s="86" t="e">
        <f>+#REF!</f>
        <v>#REF!</v>
      </c>
      <c r="U80" s="87" t="e">
        <f t="shared" si="11"/>
        <v>#REF!</v>
      </c>
      <c r="V80" s="87" t="e">
        <f t="shared" si="13"/>
        <v>#REF!</v>
      </c>
      <c r="W80" s="88" t="e">
        <f>+V80+#REF!</f>
        <v>#REF!</v>
      </c>
    </row>
    <row r="81" spans="1:23">
      <c r="A81" s="275"/>
      <c r="B81" s="163" t="s">
        <v>127</v>
      </c>
      <c r="C81" s="158">
        <v>1</v>
      </c>
      <c r="D81" s="159">
        <f t="shared" si="21"/>
        <v>709977</v>
      </c>
      <c r="E81" s="160">
        <f>+ROUND((D81*$C$7),0)</f>
        <v>70998</v>
      </c>
      <c r="F81" s="161">
        <f t="shared" si="22"/>
        <v>780975</v>
      </c>
      <c r="G81" s="160">
        <f t="shared" si="17"/>
        <v>78098</v>
      </c>
      <c r="H81" s="160">
        <f t="shared" si="25"/>
        <v>13490</v>
      </c>
      <c r="I81" s="162">
        <f t="shared" si="23"/>
        <v>794465</v>
      </c>
      <c r="J81" s="83">
        <f t="shared" si="26"/>
        <v>794465</v>
      </c>
      <c r="K81" s="373">
        <f t="shared" si="24"/>
        <v>317786</v>
      </c>
      <c r="L81" s="373">
        <f t="shared" si="20"/>
        <v>79446.5</v>
      </c>
      <c r="M81" s="372">
        <f t="shared" si="27"/>
        <v>397232.5</v>
      </c>
      <c r="N81" s="377">
        <f t="shared" si="28"/>
        <v>794465</v>
      </c>
      <c r="O81" s="382">
        <f>+J81/30*O12</f>
        <v>794465</v>
      </c>
      <c r="P81" s="84">
        <f t="shared" si="31"/>
        <v>794465</v>
      </c>
      <c r="Q81" s="84">
        <f t="shared" si="29"/>
        <v>794465</v>
      </c>
      <c r="R81" s="84">
        <f t="shared" si="30"/>
        <v>794465</v>
      </c>
      <c r="S81" s="85" t="e">
        <f>ROUND((#REF!+(#REF!*$D$13)),0)</f>
        <v>#REF!</v>
      </c>
      <c r="T81" s="86" t="e">
        <f>+#REF!</f>
        <v>#REF!</v>
      </c>
      <c r="U81" s="87" t="e">
        <f t="shared" si="11"/>
        <v>#REF!</v>
      </c>
      <c r="V81" s="87" t="e">
        <f t="shared" si="13"/>
        <v>#REF!</v>
      </c>
      <c r="W81" s="88" t="e">
        <f>+V81+#REF!</f>
        <v>#REF!</v>
      </c>
    </row>
    <row r="82" spans="1:23">
      <c r="A82" s="275"/>
      <c r="B82" s="163" t="s">
        <v>128</v>
      </c>
      <c r="C82" s="158">
        <v>1</v>
      </c>
      <c r="D82" s="159">
        <f t="shared" si="21"/>
        <v>709977</v>
      </c>
      <c r="E82" s="160">
        <f>+ROUND((D82*$C$7),0)</f>
        <v>70998</v>
      </c>
      <c r="F82" s="161">
        <f t="shared" si="22"/>
        <v>780975</v>
      </c>
      <c r="G82" s="160">
        <f t="shared" si="17"/>
        <v>78098</v>
      </c>
      <c r="H82" s="160">
        <f t="shared" si="25"/>
        <v>13490</v>
      </c>
      <c r="I82" s="162">
        <f t="shared" si="23"/>
        <v>794465</v>
      </c>
      <c r="J82" s="83">
        <f t="shared" si="26"/>
        <v>794465</v>
      </c>
      <c r="K82" s="373">
        <f t="shared" si="24"/>
        <v>317786</v>
      </c>
      <c r="L82" s="373">
        <f t="shared" si="20"/>
        <v>79446.5</v>
      </c>
      <c r="M82" s="372">
        <f t="shared" si="27"/>
        <v>397232.5</v>
      </c>
      <c r="N82" s="377">
        <f t="shared" si="28"/>
        <v>794465</v>
      </c>
      <c r="O82" s="382">
        <f>+J82/30*O12</f>
        <v>794465</v>
      </c>
      <c r="P82" s="84">
        <f t="shared" si="31"/>
        <v>794465</v>
      </c>
      <c r="Q82" s="84">
        <f t="shared" si="29"/>
        <v>794465</v>
      </c>
      <c r="R82" s="84">
        <f t="shared" si="30"/>
        <v>794465</v>
      </c>
      <c r="S82" s="85" t="e">
        <f>ROUND((#REF!+(#REF!*$D$13)),0)</f>
        <v>#REF!</v>
      </c>
      <c r="T82" s="86" t="e">
        <f>+#REF!</f>
        <v>#REF!</v>
      </c>
      <c r="U82" s="87" t="e">
        <f t="shared" si="11"/>
        <v>#REF!</v>
      </c>
      <c r="V82" s="87" t="e">
        <f t="shared" si="13"/>
        <v>#REF!</v>
      </c>
      <c r="W82" s="88" t="e">
        <f>+V82+#REF!</f>
        <v>#REF!</v>
      </c>
    </row>
    <row r="83" spans="1:23">
      <c r="A83" s="275"/>
      <c r="B83" s="163" t="s">
        <v>129</v>
      </c>
      <c r="C83" s="158">
        <v>1</v>
      </c>
      <c r="D83" s="159">
        <f t="shared" si="21"/>
        <v>709977</v>
      </c>
      <c r="E83" s="160">
        <f>+ROUND((D83*$C$7),0)</f>
        <v>70998</v>
      </c>
      <c r="F83" s="161">
        <f t="shared" si="22"/>
        <v>780975</v>
      </c>
      <c r="G83" s="160">
        <f t="shared" si="17"/>
        <v>78098</v>
      </c>
      <c r="H83" s="160">
        <f t="shared" si="25"/>
        <v>13490</v>
      </c>
      <c r="I83" s="162">
        <f t="shared" si="23"/>
        <v>794465</v>
      </c>
      <c r="J83" s="83">
        <f t="shared" si="26"/>
        <v>794465</v>
      </c>
      <c r="K83" s="373">
        <f t="shared" si="24"/>
        <v>317786</v>
      </c>
      <c r="L83" s="373">
        <f t="shared" si="20"/>
        <v>79446.5</v>
      </c>
      <c r="M83" s="372">
        <f t="shared" si="27"/>
        <v>397232.5</v>
      </c>
      <c r="N83" s="377">
        <f t="shared" si="28"/>
        <v>794465</v>
      </c>
      <c r="O83" s="382">
        <f>+J83/30*O12</f>
        <v>794465</v>
      </c>
      <c r="P83" s="84">
        <f t="shared" si="31"/>
        <v>794465</v>
      </c>
      <c r="Q83" s="84">
        <f t="shared" si="29"/>
        <v>794465</v>
      </c>
      <c r="R83" s="84">
        <f t="shared" si="30"/>
        <v>794465</v>
      </c>
      <c r="S83" s="85" t="e">
        <f>ROUND((#REF!+(#REF!*$D$13)),0)</f>
        <v>#REF!</v>
      </c>
      <c r="T83" s="86" t="e">
        <f>+#REF!</f>
        <v>#REF!</v>
      </c>
      <c r="U83" s="87" t="e">
        <f t="shared" si="11"/>
        <v>#REF!</v>
      </c>
      <c r="V83" s="87" t="e">
        <f t="shared" si="13"/>
        <v>#REF!</v>
      </c>
      <c r="W83" s="88" t="e">
        <f>+V83+#REF!</f>
        <v>#REF!</v>
      </c>
    </row>
    <row r="84" spans="1:23">
      <c r="A84" s="275"/>
      <c r="B84" s="163" t="s">
        <v>130</v>
      </c>
      <c r="C84" s="158">
        <v>1</v>
      </c>
      <c r="D84" s="159">
        <f t="shared" si="21"/>
        <v>709977</v>
      </c>
      <c r="E84" s="160">
        <f>+ROUND((D84*$C$7),0)</f>
        <v>70998</v>
      </c>
      <c r="F84" s="161">
        <f t="shared" si="22"/>
        <v>780975</v>
      </c>
      <c r="G84" s="160">
        <f t="shared" si="17"/>
        <v>78098</v>
      </c>
      <c r="H84" s="160">
        <f t="shared" si="25"/>
        <v>13490</v>
      </c>
      <c r="I84" s="162">
        <f t="shared" si="23"/>
        <v>794465</v>
      </c>
      <c r="J84" s="83">
        <f t="shared" si="26"/>
        <v>794465</v>
      </c>
      <c r="K84" s="373">
        <f t="shared" si="24"/>
        <v>317786</v>
      </c>
      <c r="L84" s="373">
        <f t="shared" si="20"/>
        <v>79446.5</v>
      </c>
      <c r="M84" s="372">
        <f t="shared" si="27"/>
        <v>397232.5</v>
      </c>
      <c r="N84" s="377">
        <f t="shared" si="28"/>
        <v>794465</v>
      </c>
      <c r="O84" s="382">
        <f>+J84/30*O12</f>
        <v>794465</v>
      </c>
      <c r="P84" s="84">
        <f t="shared" si="31"/>
        <v>794465</v>
      </c>
      <c r="Q84" s="84">
        <f t="shared" si="29"/>
        <v>794465</v>
      </c>
      <c r="R84" s="84">
        <f t="shared" si="30"/>
        <v>794465</v>
      </c>
      <c r="S84" s="85" t="e">
        <f>ROUND((#REF!+(#REF!*$D$13)),0)</f>
        <v>#REF!</v>
      </c>
      <c r="T84" s="86" t="e">
        <f>+#REF!</f>
        <v>#REF!</v>
      </c>
      <c r="U84" s="87" t="e">
        <f t="shared" si="11"/>
        <v>#REF!</v>
      </c>
      <c r="V84" s="87" t="e">
        <f t="shared" si="13"/>
        <v>#REF!</v>
      </c>
      <c r="W84" s="88" t="e">
        <f>+V84+#REF!</f>
        <v>#REF!</v>
      </c>
    </row>
    <row r="85" spans="1:23">
      <c r="A85" s="275"/>
      <c r="B85" s="163" t="s">
        <v>131</v>
      </c>
      <c r="C85" s="158">
        <v>1</v>
      </c>
      <c r="D85" s="159">
        <f t="shared" si="21"/>
        <v>709977</v>
      </c>
      <c r="E85" s="160">
        <f>+ROUND((D85*$C$7),0)</f>
        <v>70998</v>
      </c>
      <c r="F85" s="161">
        <f t="shared" si="22"/>
        <v>780975</v>
      </c>
      <c r="G85" s="160">
        <f t="shared" si="17"/>
        <v>78098</v>
      </c>
      <c r="H85" s="160">
        <f t="shared" si="25"/>
        <v>13490</v>
      </c>
      <c r="I85" s="162">
        <f t="shared" si="23"/>
        <v>794465</v>
      </c>
      <c r="J85" s="83">
        <f t="shared" si="26"/>
        <v>794465</v>
      </c>
      <c r="K85" s="373">
        <f t="shared" si="24"/>
        <v>317786</v>
      </c>
      <c r="L85" s="373">
        <f t="shared" si="20"/>
        <v>79446.5</v>
      </c>
      <c r="M85" s="372">
        <f t="shared" si="27"/>
        <v>397232.5</v>
      </c>
      <c r="N85" s="377">
        <f t="shared" si="28"/>
        <v>794465</v>
      </c>
      <c r="O85" s="382">
        <f t="shared" ref="O85:O96" si="32">+J85/30*$O$12</f>
        <v>794465</v>
      </c>
      <c r="P85" s="84">
        <f t="shared" si="31"/>
        <v>794465</v>
      </c>
      <c r="Q85" s="84">
        <f t="shared" si="29"/>
        <v>794465</v>
      </c>
      <c r="R85" s="84">
        <f t="shared" si="30"/>
        <v>794465</v>
      </c>
      <c r="S85" s="85" t="e">
        <f>ROUND((#REF!+(#REF!*$D$13)),0)</f>
        <v>#REF!</v>
      </c>
      <c r="T85" s="86" t="e">
        <f>+#REF!</f>
        <v>#REF!</v>
      </c>
      <c r="U85" s="87" t="e">
        <f t="shared" si="11"/>
        <v>#REF!</v>
      </c>
      <c r="V85" s="87" t="e">
        <f t="shared" si="13"/>
        <v>#REF!</v>
      </c>
      <c r="W85" s="88" t="e">
        <f>+V85+#REF!</f>
        <v>#REF!</v>
      </c>
    </row>
    <row r="86" spans="1:23">
      <c r="A86" s="275"/>
      <c r="B86" s="163" t="s">
        <v>132</v>
      </c>
      <c r="C86" s="158">
        <v>1</v>
      </c>
      <c r="D86" s="159">
        <f t="shared" si="21"/>
        <v>709977</v>
      </c>
      <c r="E86" s="160">
        <f>+ROUND((D86*$C$7),0)</f>
        <v>70998</v>
      </c>
      <c r="F86" s="161">
        <f t="shared" si="22"/>
        <v>780975</v>
      </c>
      <c r="G86" s="160">
        <f t="shared" si="17"/>
        <v>78098</v>
      </c>
      <c r="H86" s="160">
        <f t="shared" si="25"/>
        <v>13490</v>
      </c>
      <c r="I86" s="162">
        <f t="shared" si="23"/>
        <v>794465</v>
      </c>
      <c r="J86" s="83">
        <f t="shared" si="26"/>
        <v>794465</v>
      </c>
      <c r="K86" s="373">
        <f t="shared" si="24"/>
        <v>317786</v>
      </c>
      <c r="L86" s="373">
        <f t="shared" si="20"/>
        <v>79446.5</v>
      </c>
      <c r="M86" s="372">
        <f t="shared" si="27"/>
        <v>397232.5</v>
      </c>
      <c r="N86" s="377">
        <f t="shared" si="28"/>
        <v>794465</v>
      </c>
      <c r="O86" s="382">
        <f t="shared" si="32"/>
        <v>794465</v>
      </c>
      <c r="P86" s="84">
        <f t="shared" si="31"/>
        <v>794465</v>
      </c>
      <c r="Q86" s="84">
        <f t="shared" si="29"/>
        <v>794465</v>
      </c>
      <c r="R86" s="84">
        <f t="shared" si="30"/>
        <v>794465</v>
      </c>
      <c r="S86" s="85" t="e">
        <f>ROUND((#REF!+(#REF!*$D$13)),0)</f>
        <v>#REF!</v>
      </c>
      <c r="T86" s="86" t="e">
        <f>+#REF!</f>
        <v>#REF!</v>
      </c>
      <c r="U86" s="87" t="e">
        <f t="shared" si="11"/>
        <v>#REF!</v>
      </c>
      <c r="V86" s="87" t="e">
        <f t="shared" si="13"/>
        <v>#REF!</v>
      </c>
      <c r="W86" s="88" t="e">
        <f>+V86+#REF!</f>
        <v>#REF!</v>
      </c>
    </row>
    <row r="87" spans="1:23">
      <c r="A87" s="275"/>
      <c r="B87" s="163" t="s">
        <v>133</v>
      </c>
      <c r="C87" s="158">
        <v>1</v>
      </c>
      <c r="D87" s="159">
        <f t="shared" si="21"/>
        <v>709977</v>
      </c>
      <c r="E87" s="160">
        <f>+ROUND((D87*$C$7),0)</f>
        <v>70998</v>
      </c>
      <c r="F87" s="161">
        <f t="shared" si="22"/>
        <v>780975</v>
      </c>
      <c r="G87" s="160">
        <f t="shared" si="17"/>
        <v>78098</v>
      </c>
      <c r="H87" s="160">
        <f t="shared" si="25"/>
        <v>13490</v>
      </c>
      <c r="I87" s="162">
        <f t="shared" si="23"/>
        <v>794465</v>
      </c>
      <c r="J87" s="83">
        <f t="shared" si="26"/>
        <v>794465</v>
      </c>
      <c r="K87" s="373">
        <f t="shared" si="24"/>
        <v>317786</v>
      </c>
      <c r="L87" s="373">
        <f t="shared" si="20"/>
        <v>79446.5</v>
      </c>
      <c r="M87" s="372">
        <f t="shared" si="27"/>
        <v>397232.5</v>
      </c>
      <c r="N87" s="377">
        <f t="shared" si="28"/>
        <v>794465</v>
      </c>
      <c r="O87" s="382">
        <f t="shared" si="32"/>
        <v>794465</v>
      </c>
      <c r="P87" s="84">
        <f t="shared" si="31"/>
        <v>794465</v>
      </c>
      <c r="Q87" s="84">
        <f t="shared" si="29"/>
        <v>794465</v>
      </c>
      <c r="R87" s="84">
        <f t="shared" si="30"/>
        <v>794465</v>
      </c>
      <c r="S87" s="85" t="e">
        <f>ROUND((#REF!+(#REF!*$D$13)),0)</f>
        <v>#REF!</v>
      </c>
      <c r="T87" s="86" t="e">
        <f>+#REF!</f>
        <v>#REF!</v>
      </c>
      <c r="U87" s="87" t="e">
        <f t="shared" ref="U87:U97" si="33">S87+T87</f>
        <v>#REF!</v>
      </c>
      <c r="V87" s="87" t="e">
        <f t="shared" si="13"/>
        <v>#REF!</v>
      </c>
      <c r="W87" s="88" t="e">
        <f>+V87+#REF!</f>
        <v>#REF!</v>
      </c>
    </row>
    <row r="88" spans="1:23">
      <c r="A88" s="275"/>
      <c r="B88" s="163" t="s">
        <v>134</v>
      </c>
      <c r="C88" s="158">
        <v>1</v>
      </c>
      <c r="D88" s="159">
        <f t="shared" si="21"/>
        <v>709977</v>
      </c>
      <c r="E88" s="160">
        <f>+ROUND((D88*$C$7),0)</f>
        <v>70998</v>
      </c>
      <c r="F88" s="161">
        <f t="shared" si="22"/>
        <v>780975</v>
      </c>
      <c r="G88" s="160">
        <f t="shared" si="17"/>
        <v>78098</v>
      </c>
      <c r="H88" s="160">
        <f t="shared" si="25"/>
        <v>13490</v>
      </c>
      <c r="I88" s="162">
        <f t="shared" si="23"/>
        <v>794465</v>
      </c>
      <c r="J88" s="83">
        <f t="shared" si="26"/>
        <v>794465</v>
      </c>
      <c r="K88" s="373">
        <f t="shared" si="24"/>
        <v>317786</v>
      </c>
      <c r="L88" s="373">
        <f t="shared" si="20"/>
        <v>79446.5</v>
      </c>
      <c r="M88" s="372">
        <f t="shared" si="27"/>
        <v>397232.5</v>
      </c>
      <c r="N88" s="377">
        <f t="shared" si="28"/>
        <v>794465</v>
      </c>
      <c r="O88" s="382">
        <f t="shared" si="32"/>
        <v>794465</v>
      </c>
      <c r="P88" s="84">
        <f t="shared" si="31"/>
        <v>794465</v>
      </c>
      <c r="Q88" s="84">
        <f t="shared" si="29"/>
        <v>794465</v>
      </c>
      <c r="R88" s="84">
        <f t="shared" si="30"/>
        <v>794465</v>
      </c>
      <c r="S88" s="85" t="e">
        <f>ROUND((#REF!+(#REF!*$D$13)),0)</f>
        <v>#REF!</v>
      </c>
      <c r="T88" s="86" t="e">
        <f>+#REF!</f>
        <v>#REF!</v>
      </c>
      <c r="U88" s="87" t="e">
        <f t="shared" si="33"/>
        <v>#REF!</v>
      </c>
      <c r="V88" s="87" t="e">
        <f t="shared" ref="V88:V97" si="34">+U88*6</f>
        <v>#REF!</v>
      </c>
      <c r="W88" s="88" t="e">
        <f>+V88+#REF!</f>
        <v>#REF!</v>
      </c>
    </row>
    <row r="89" spans="1:23">
      <c r="A89" s="275"/>
      <c r="B89" s="163" t="s">
        <v>135</v>
      </c>
      <c r="C89" s="158">
        <v>1</v>
      </c>
      <c r="D89" s="159">
        <f t="shared" si="21"/>
        <v>709977</v>
      </c>
      <c r="E89" s="160">
        <f>+ROUND((D89*$C$7),0)</f>
        <v>70998</v>
      </c>
      <c r="F89" s="161">
        <f t="shared" si="22"/>
        <v>780975</v>
      </c>
      <c r="G89" s="160">
        <f t="shared" si="17"/>
        <v>78098</v>
      </c>
      <c r="H89" s="160">
        <f t="shared" si="25"/>
        <v>13490</v>
      </c>
      <c r="I89" s="162">
        <f t="shared" si="23"/>
        <v>794465</v>
      </c>
      <c r="J89" s="83">
        <f t="shared" si="26"/>
        <v>794465</v>
      </c>
      <c r="K89" s="373">
        <f t="shared" si="24"/>
        <v>317786</v>
      </c>
      <c r="L89" s="373">
        <f t="shared" si="20"/>
        <v>79446.5</v>
      </c>
      <c r="M89" s="372">
        <f t="shared" si="27"/>
        <v>397232.5</v>
      </c>
      <c r="N89" s="377">
        <f t="shared" si="28"/>
        <v>794465</v>
      </c>
      <c r="O89" s="382">
        <f t="shared" si="32"/>
        <v>794465</v>
      </c>
      <c r="P89" s="84">
        <f t="shared" si="31"/>
        <v>794465</v>
      </c>
      <c r="Q89" s="84">
        <f t="shared" si="29"/>
        <v>794465</v>
      </c>
      <c r="R89" s="84">
        <f t="shared" si="30"/>
        <v>794465</v>
      </c>
      <c r="S89" s="85" t="e">
        <f>ROUND((#REF!+(#REF!*$D$13)),0)</f>
        <v>#REF!</v>
      </c>
      <c r="T89" s="86" t="e">
        <f>+#REF!</f>
        <v>#REF!</v>
      </c>
      <c r="U89" s="87" t="e">
        <f t="shared" si="33"/>
        <v>#REF!</v>
      </c>
      <c r="V89" s="87" t="e">
        <f t="shared" si="34"/>
        <v>#REF!</v>
      </c>
      <c r="W89" s="88" t="e">
        <f>+V89+#REF!</f>
        <v>#REF!</v>
      </c>
    </row>
    <row r="90" spans="1:23">
      <c r="A90" s="275"/>
      <c r="B90" s="163" t="s">
        <v>136</v>
      </c>
      <c r="C90" s="158">
        <v>1</v>
      </c>
      <c r="D90" s="159">
        <f t="shared" si="21"/>
        <v>709977</v>
      </c>
      <c r="E90" s="160">
        <f>+ROUND((D90*$C$7),0)</f>
        <v>70998</v>
      </c>
      <c r="F90" s="161">
        <f t="shared" si="22"/>
        <v>780975</v>
      </c>
      <c r="G90" s="160">
        <f t="shared" si="17"/>
        <v>78098</v>
      </c>
      <c r="H90" s="160">
        <f t="shared" si="25"/>
        <v>13490</v>
      </c>
      <c r="I90" s="162">
        <f t="shared" si="23"/>
        <v>794465</v>
      </c>
      <c r="J90" s="83">
        <f t="shared" si="26"/>
        <v>794465</v>
      </c>
      <c r="K90" s="373">
        <f t="shared" si="24"/>
        <v>317786</v>
      </c>
      <c r="L90" s="373">
        <f t="shared" si="20"/>
        <v>79446.5</v>
      </c>
      <c r="M90" s="372">
        <f t="shared" si="27"/>
        <v>397232.5</v>
      </c>
      <c r="N90" s="377">
        <f t="shared" si="28"/>
        <v>794465</v>
      </c>
      <c r="O90" s="382">
        <f t="shared" si="32"/>
        <v>794465</v>
      </c>
      <c r="P90" s="84">
        <f t="shared" si="31"/>
        <v>794465</v>
      </c>
      <c r="Q90" s="84">
        <f t="shared" si="29"/>
        <v>794465</v>
      </c>
      <c r="R90" s="84">
        <f t="shared" si="30"/>
        <v>794465</v>
      </c>
      <c r="S90" s="85" t="e">
        <f>ROUND((#REF!+(#REF!*$D$13)),0)</f>
        <v>#REF!</v>
      </c>
      <c r="T90" s="86" t="e">
        <f>+#REF!</f>
        <v>#REF!</v>
      </c>
      <c r="U90" s="87" t="e">
        <f t="shared" si="33"/>
        <v>#REF!</v>
      </c>
      <c r="V90" s="87" t="e">
        <f t="shared" si="34"/>
        <v>#REF!</v>
      </c>
      <c r="W90" s="88" t="e">
        <f>+V90+#REF!</f>
        <v>#REF!</v>
      </c>
    </row>
    <row r="91" spans="1:23">
      <c r="A91" s="275"/>
      <c r="B91" s="163" t="s">
        <v>137</v>
      </c>
      <c r="C91" s="158">
        <v>1</v>
      </c>
      <c r="D91" s="159">
        <f t="shared" si="21"/>
        <v>709977</v>
      </c>
      <c r="E91" s="160">
        <f>+ROUND((D91*$C$7),0)</f>
        <v>70998</v>
      </c>
      <c r="F91" s="161">
        <f t="shared" si="22"/>
        <v>780975</v>
      </c>
      <c r="G91" s="160">
        <f t="shared" si="17"/>
        <v>78098</v>
      </c>
      <c r="H91" s="160">
        <f t="shared" si="25"/>
        <v>13490</v>
      </c>
      <c r="I91" s="162">
        <f t="shared" si="23"/>
        <v>794465</v>
      </c>
      <c r="J91" s="83">
        <f t="shared" si="26"/>
        <v>794465</v>
      </c>
      <c r="K91" s="373">
        <f t="shared" si="24"/>
        <v>317786</v>
      </c>
      <c r="L91" s="373">
        <f t="shared" si="20"/>
        <v>79446.5</v>
      </c>
      <c r="M91" s="372">
        <f t="shared" si="27"/>
        <v>397232.5</v>
      </c>
      <c r="N91" s="377">
        <f t="shared" si="28"/>
        <v>794465</v>
      </c>
      <c r="O91" s="382">
        <f t="shared" si="32"/>
        <v>794465</v>
      </c>
      <c r="P91" s="84">
        <f t="shared" si="31"/>
        <v>794465</v>
      </c>
      <c r="Q91" s="84">
        <f t="shared" si="29"/>
        <v>794465</v>
      </c>
      <c r="R91" s="84">
        <f t="shared" si="30"/>
        <v>794465</v>
      </c>
      <c r="S91" s="85" t="e">
        <f>ROUND((#REF!+(#REF!*$D$13)),0)</f>
        <v>#REF!</v>
      </c>
      <c r="T91" s="86" t="e">
        <f>+#REF!</f>
        <v>#REF!</v>
      </c>
      <c r="U91" s="87" t="e">
        <f t="shared" si="33"/>
        <v>#REF!</v>
      </c>
      <c r="V91" s="87" t="e">
        <f t="shared" si="34"/>
        <v>#REF!</v>
      </c>
      <c r="W91" s="88" t="e">
        <f>+V91+#REF!</f>
        <v>#REF!</v>
      </c>
    </row>
    <row r="92" spans="1:23">
      <c r="A92" s="275"/>
      <c r="B92" s="163" t="s">
        <v>138</v>
      </c>
      <c r="C92" s="158">
        <v>1</v>
      </c>
      <c r="D92" s="159">
        <f t="shared" si="21"/>
        <v>709977</v>
      </c>
      <c r="E92" s="160">
        <f>+ROUND((D92*$C$7),0)</f>
        <v>70998</v>
      </c>
      <c r="F92" s="161">
        <f t="shared" si="22"/>
        <v>780975</v>
      </c>
      <c r="G92" s="160">
        <f t="shared" si="17"/>
        <v>78098</v>
      </c>
      <c r="H92" s="160">
        <f t="shared" si="25"/>
        <v>13490</v>
      </c>
      <c r="I92" s="162">
        <f t="shared" si="23"/>
        <v>794465</v>
      </c>
      <c r="J92" s="83">
        <f t="shared" si="26"/>
        <v>794465</v>
      </c>
      <c r="K92" s="373">
        <f t="shared" si="24"/>
        <v>317786</v>
      </c>
      <c r="L92" s="373">
        <f t="shared" si="20"/>
        <v>79446.5</v>
      </c>
      <c r="M92" s="372">
        <f t="shared" si="27"/>
        <v>397232.5</v>
      </c>
      <c r="N92" s="377">
        <f t="shared" si="28"/>
        <v>794465</v>
      </c>
      <c r="O92" s="382">
        <f t="shared" si="32"/>
        <v>794465</v>
      </c>
      <c r="P92" s="84">
        <f t="shared" si="31"/>
        <v>794465</v>
      </c>
      <c r="Q92" s="84">
        <f t="shared" si="29"/>
        <v>794465</v>
      </c>
      <c r="R92" s="84">
        <f t="shared" si="30"/>
        <v>794465</v>
      </c>
      <c r="S92" s="85" t="e">
        <f>ROUND((#REF!+(#REF!*$D$13)),0)</f>
        <v>#REF!</v>
      </c>
      <c r="T92" s="86" t="e">
        <f>+#REF!</f>
        <v>#REF!</v>
      </c>
      <c r="U92" s="87" t="e">
        <f t="shared" si="33"/>
        <v>#REF!</v>
      </c>
      <c r="V92" s="87" t="e">
        <f t="shared" si="34"/>
        <v>#REF!</v>
      </c>
      <c r="W92" s="88" t="e">
        <f>+V92+#REF!</f>
        <v>#REF!</v>
      </c>
    </row>
    <row r="93" spans="1:23">
      <c r="A93" s="275"/>
      <c r="B93" s="163" t="s">
        <v>139</v>
      </c>
      <c r="C93" s="158">
        <v>1</v>
      </c>
      <c r="D93" s="159">
        <f t="shared" si="21"/>
        <v>709977</v>
      </c>
      <c r="E93" s="160">
        <f>+ROUND((D93*$C$7),0)</f>
        <v>70998</v>
      </c>
      <c r="F93" s="161">
        <f t="shared" si="22"/>
        <v>780975</v>
      </c>
      <c r="G93" s="160">
        <f t="shared" si="17"/>
        <v>78098</v>
      </c>
      <c r="H93" s="160">
        <f t="shared" si="25"/>
        <v>13490</v>
      </c>
      <c r="I93" s="162">
        <f t="shared" si="23"/>
        <v>794465</v>
      </c>
      <c r="J93" s="83">
        <f t="shared" si="26"/>
        <v>794465</v>
      </c>
      <c r="K93" s="373">
        <f t="shared" si="24"/>
        <v>317786</v>
      </c>
      <c r="L93" s="373">
        <f t="shared" si="20"/>
        <v>79446.5</v>
      </c>
      <c r="M93" s="372">
        <f t="shared" si="27"/>
        <v>397232.5</v>
      </c>
      <c r="N93" s="377">
        <f t="shared" si="28"/>
        <v>794465</v>
      </c>
      <c r="O93" s="382">
        <f t="shared" si="32"/>
        <v>794465</v>
      </c>
      <c r="P93" s="84">
        <f t="shared" si="31"/>
        <v>794465</v>
      </c>
      <c r="Q93" s="84">
        <f t="shared" si="29"/>
        <v>794465</v>
      </c>
      <c r="R93" s="84">
        <f t="shared" si="30"/>
        <v>794465</v>
      </c>
      <c r="S93" s="85" t="e">
        <f>ROUND((#REF!+(#REF!*$D$13)),0)</f>
        <v>#REF!</v>
      </c>
      <c r="T93" s="86" t="e">
        <f>+#REF!</f>
        <v>#REF!</v>
      </c>
      <c r="U93" s="87" t="e">
        <f t="shared" si="33"/>
        <v>#REF!</v>
      </c>
      <c r="V93" s="87" t="e">
        <f t="shared" si="34"/>
        <v>#REF!</v>
      </c>
      <c r="W93" s="88" t="e">
        <f>+V93+#REF!</f>
        <v>#REF!</v>
      </c>
    </row>
    <row r="94" spans="1:23">
      <c r="A94" s="275"/>
      <c r="B94" s="163" t="s">
        <v>140</v>
      </c>
      <c r="C94" s="158">
        <v>1</v>
      </c>
      <c r="D94" s="159">
        <f t="shared" si="21"/>
        <v>709977</v>
      </c>
      <c r="E94" s="160">
        <f>+ROUND((D94*$C$7),0)</f>
        <v>70998</v>
      </c>
      <c r="F94" s="161">
        <f t="shared" si="22"/>
        <v>780975</v>
      </c>
      <c r="G94" s="160">
        <f t="shared" si="17"/>
        <v>78098</v>
      </c>
      <c r="H94" s="160">
        <f t="shared" si="25"/>
        <v>13490</v>
      </c>
      <c r="I94" s="162">
        <f t="shared" si="23"/>
        <v>794465</v>
      </c>
      <c r="J94" s="83">
        <f t="shared" si="26"/>
        <v>794465</v>
      </c>
      <c r="K94" s="373">
        <f t="shared" si="24"/>
        <v>317786</v>
      </c>
      <c r="L94" s="373">
        <f t="shared" si="20"/>
        <v>79446.5</v>
      </c>
      <c r="M94" s="372">
        <f t="shared" si="27"/>
        <v>397232.5</v>
      </c>
      <c r="N94" s="377">
        <f t="shared" si="28"/>
        <v>794465</v>
      </c>
      <c r="O94" s="382">
        <f t="shared" si="32"/>
        <v>794465</v>
      </c>
      <c r="P94" s="84">
        <f t="shared" si="31"/>
        <v>794465</v>
      </c>
      <c r="Q94" s="84">
        <f t="shared" si="29"/>
        <v>794465</v>
      </c>
      <c r="R94" s="84">
        <f t="shared" si="30"/>
        <v>794465</v>
      </c>
      <c r="S94" s="85" t="e">
        <f>ROUND((#REF!+(#REF!*$D$13)),0)</f>
        <v>#REF!</v>
      </c>
      <c r="T94" s="86" t="e">
        <f>+#REF!</f>
        <v>#REF!</v>
      </c>
      <c r="U94" s="87" t="e">
        <f t="shared" si="33"/>
        <v>#REF!</v>
      </c>
      <c r="V94" s="87" t="e">
        <f t="shared" si="34"/>
        <v>#REF!</v>
      </c>
      <c r="W94" s="88" t="e">
        <f>+V94+#REF!</f>
        <v>#REF!</v>
      </c>
    </row>
    <row r="95" spans="1:23">
      <c r="A95" s="275"/>
      <c r="B95" s="163" t="s">
        <v>141</v>
      </c>
      <c r="C95" s="158">
        <v>1</v>
      </c>
      <c r="D95" s="159">
        <f t="shared" si="21"/>
        <v>709977</v>
      </c>
      <c r="E95" s="160">
        <f>+ROUND((D95*$C$7),0)</f>
        <v>70998</v>
      </c>
      <c r="F95" s="161">
        <f t="shared" si="22"/>
        <v>780975</v>
      </c>
      <c r="G95" s="160">
        <f t="shared" si="17"/>
        <v>78098</v>
      </c>
      <c r="H95" s="160">
        <f t="shared" si="25"/>
        <v>13490</v>
      </c>
      <c r="I95" s="162">
        <f t="shared" si="23"/>
        <v>794465</v>
      </c>
      <c r="J95" s="83">
        <f t="shared" si="26"/>
        <v>794465</v>
      </c>
      <c r="K95" s="373">
        <f t="shared" si="24"/>
        <v>317786</v>
      </c>
      <c r="L95" s="373">
        <f t="shared" si="20"/>
        <v>79446.5</v>
      </c>
      <c r="M95" s="372">
        <f t="shared" si="27"/>
        <v>397232.5</v>
      </c>
      <c r="N95" s="377">
        <f t="shared" si="28"/>
        <v>794465</v>
      </c>
      <c r="O95" s="382">
        <f t="shared" si="32"/>
        <v>794465</v>
      </c>
      <c r="P95" s="84">
        <f t="shared" si="31"/>
        <v>794465</v>
      </c>
      <c r="Q95" s="84">
        <f t="shared" si="29"/>
        <v>794465</v>
      </c>
      <c r="R95" s="84">
        <f t="shared" si="30"/>
        <v>794465</v>
      </c>
      <c r="S95" s="85" t="e">
        <f>ROUND((#REF!+(#REF!*$D$13)),0)</f>
        <v>#REF!</v>
      </c>
      <c r="T95" s="86" t="e">
        <f>+#REF!</f>
        <v>#REF!</v>
      </c>
      <c r="U95" s="87" t="e">
        <f t="shared" si="33"/>
        <v>#REF!</v>
      </c>
      <c r="V95" s="87" t="e">
        <f t="shared" si="34"/>
        <v>#REF!</v>
      </c>
      <c r="W95" s="88" t="e">
        <f>+V95+#REF!</f>
        <v>#REF!</v>
      </c>
    </row>
    <row r="96" spans="1:23" ht="15.75" thickBot="1">
      <c r="A96" s="276"/>
      <c r="B96" s="164" t="s">
        <v>142</v>
      </c>
      <c r="C96" s="165">
        <v>1</v>
      </c>
      <c r="D96" s="166">
        <f>+$D$6</f>
        <v>709977</v>
      </c>
      <c r="E96" s="167">
        <f>+ROUND((D96*$C$7),0)</f>
        <v>70998</v>
      </c>
      <c r="F96" s="168">
        <f t="shared" si="22"/>
        <v>780975</v>
      </c>
      <c r="G96" s="167">
        <f t="shared" si="17"/>
        <v>78098</v>
      </c>
      <c r="H96" s="167">
        <f t="shared" si="25"/>
        <v>13490</v>
      </c>
      <c r="I96" s="169">
        <f t="shared" si="23"/>
        <v>794465</v>
      </c>
      <c r="J96" s="83">
        <f t="shared" si="26"/>
        <v>794465</v>
      </c>
      <c r="K96" s="373">
        <f t="shared" si="24"/>
        <v>317786</v>
      </c>
      <c r="L96" s="373">
        <f t="shared" si="20"/>
        <v>79446.5</v>
      </c>
      <c r="M96" s="375">
        <f t="shared" si="27"/>
        <v>397232.5</v>
      </c>
      <c r="N96" s="379">
        <f t="shared" si="28"/>
        <v>794465</v>
      </c>
      <c r="O96" s="382">
        <f t="shared" si="32"/>
        <v>794465</v>
      </c>
      <c r="P96" s="84">
        <f t="shared" si="31"/>
        <v>794465</v>
      </c>
      <c r="Q96" s="84">
        <f t="shared" si="29"/>
        <v>794465</v>
      </c>
      <c r="R96" s="84">
        <f t="shared" si="30"/>
        <v>794465</v>
      </c>
      <c r="S96" s="85" t="e">
        <f>ROUND((#REF!+(#REF!*$D$13)),0)</f>
        <v>#REF!</v>
      </c>
      <c r="T96" s="86" t="e">
        <f>+#REF!</f>
        <v>#REF!</v>
      </c>
      <c r="U96" s="87" t="e">
        <f t="shared" si="33"/>
        <v>#REF!</v>
      </c>
      <c r="V96" s="87" t="e">
        <f t="shared" si="34"/>
        <v>#REF!</v>
      </c>
      <c r="W96" s="88" t="e">
        <f>+V96+#REF!</f>
        <v>#REF!</v>
      </c>
    </row>
    <row r="97" spans="4:23" ht="15.75" thickBot="1">
      <c r="D97" s="170"/>
      <c r="E97" s="171"/>
      <c r="F97" s="172"/>
      <c r="G97" s="171"/>
      <c r="H97" s="171"/>
      <c r="I97" s="171"/>
      <c r="J97" s="173">
        <f>SUM(J13:J96)</f>
        <v>196601859</v>
      </c>
      <c r="K97" s="374">
        <f>SUM(K13:K96)</f>
        <v>179977072.14450008</v>
      </c>
      <c r="L97" s="374">
        <f t="shared" ref="L97:O97" si="35">SUM(L13:L96)</f>
        <v>19660185.899999999</v>
      </c>
      <c r="M97" s="376">
        <f t="shared" si="35"/>
        <v>199637258.04450011</v>
      </c>
      <c r="N97" s="380">
        <f t="shared" si="35"/>
        <v>196601859</v>
      </c>
      <c r="O97" s="383">
        <f t="shared" si="35"/>
        <v>196601859</v>
      </c>
      <c r="P97" s="83">
        <f>SUM(P13:P96)</f>
        <v>196601859</v>
      </c>
      <c r="Q97" s="361">
        <f t="shared" ref="Q97:R97" si="36">SUM(Q13:Q96)</f>
        <v>202244442</v>
      </c>
      <c r="R97" s="361">
        <f t="shared" si="36"/>
        <v>202244442</v>
      </c>
      <c r="S97" s="86" t="e">
        <f>ROUND((#REF!+(#REF!*$D$13)),0)</f>
        <v>#REF!</v>
      </c>
      <c r="T97" s="86" t="e">
        <f>+#REF!</f>
        <v>#REF!</v>
      </c>
      <c r="U97" s="87" t="e">
        <f t="shared" si="33"/>
        <v>#REF!</v>
      </c>
      <c r="V97" s="87" t="e">
        <f t="shared" si="34"/>
        <v>#REF!</v>
      </c>
      <c r="W97" s="88" t="e">
        <f>+V97+#REF!</f>
        <v>#REF!</v>
      </c>
    </row>
    <row r="98" spans="4:23" ht="24.75" customHeight="1">
      <c r="D98" s="170"/>
      <c r="E98" s="171"/>
      <c r="F98" s="172"/>
      <c r="G98" s="171"/>
      <c r="H98" s="171"/>
      <c r="I98" s="171"/>
      <c r="J98" s="171"/>
      <c r="K98" s="171"/>
      <c r="L98" s="171"/>
      <c r="M98" s="171"/>
      <c r="N98" s="171">
        <f t="shared" si="28"/>
        <v>0</v>
      </c>
      <c r="O98" s="174"/>
      <c r="P98" s="171"/>
      <c r="Q98" s="362" t="s">
        <v>152</v>
      </c>
      <c r="R98" s="365">
        <f>R97+Q97+P97+O97+N97+M97</f>
        <v>1193931719.0445001</v>
      </c>
      <c r="S98" s="172"/>
      <c r="T98" s="172"/>
      <c r="U98" s="172"/>
      <c r="V98" s="172"/>
      <c r="W98" s="172"/>
    </row>
    <row r="99" spans="4:23">
      <c r="Q99" s="366" t="s">
        <v>153</v>
      </c>
      <c r="R99" s="364">
        <v>1225496829</v>
      </c>
    </row>
    <row r="100" spans="4:23" ht="32.25" customHeight="1" thickBot="1">
      <c r="P100" s="179"/>
      <c r="Q100" s="367" t="s">
        <v>154</v>
      </c>
      <c r="R100" s="363">
        <f>R99-R98</f>
        <v>31565109.955499887</v>
      </c>
    </row>
    <row r="101" spans="4:23">
      <c r="P101" s="179"/>
    </row>
    <row r="102" spans="4:23">
      <c r="F102" s="66"/>
    </row>
    <row r="104" spans="4:23">
      <c r="F104" s="66"/>
    </row>
  </sheetData>
  <mergeCells count="34">
    <mergeCell ref="Q10:R10"/>
    <mergeCell ref="A10:P10"/>
    <mergeCell ref="W10:W11"/>
    <mergeCell ref="A11:A12"/>
    <mergeCell ref="B11:B12"/>
    <mergeCell ref="C11:C12"/>
    <mergeCell ref="D11:D12"/>
    <mergeCell ref="S10:S11"/>
    <mergeCell ref="T10:T11"/>
    <mergeCell ref="U10:U11"/>
    <mergeCell ref="V10:V11"/>
    <mergeCell ref="E11:E12"/>
    <mergeCell ref="F11:F12"/>
    <mergeCell ref="G11:G12"/>
    <mergeCell ref="H11:H12"/>
    <mergeCell ref="I11:I12"/>
    <mergeCell ref="A13:A35"/>
    <mergeCell ref="B13:B14"/>
    <mergeCell ref="B15:B16"/>
    <mergeCell ref="B17:B18"/>
    <mergeCell ref="B19:B20"/>
    <mergeCell ref="B22:B23"/>
    <mergeCell ref="B25:B26"/>
    <mergeCell ref="B32:B33"/>
    <mergeCell ref="K11:M11"/>
    <mergeCell ref="J11:J12"/>
    <mergeCell ref="A36:A37"/>
    <mergeCell ref="A38:A39"/>
    <mergeCell ref="A40:A42"/>
    <mergeCell ref="B40:B41"/>
    <mergeCell ref="A43:A50"/>
    <mergeCell ref="B46:B47"/>
    <mergeCell ref="A56:A62"/>
    <mergeCell ref="A63:A9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F2215-32DA-4135-AF03-951011466F34}">
  <sheetPr>
    <tabColor theme="7"/>
  </sheetPr>
  <dimension ref="A1:N32"/>
  <sheetViews>
    <sheetView topLeftCell="A4" zoomScaleNormal="100" workbookViewId="0">
      <selection activeCell="E8" sqref="E8"/>
    </sheetView>
  </sheetViews>
  <sheetFormatPr baseColWidth="10" defaultRowHeight="15"/>
  <cols>
    <col min="2" max="2" width="29.85546875" customWidth="1"/>
    <col min="3" max="5" width="19" customWidth="1"/>
    <col min="6" max="6" width="20" customWidth="1"/>
    <col min="7" max="7" width="20" style="5" bestFit="1" customWidth="1"/>
    <col min="8" max="8" width="13.7109375" style="5" bestFit="1" customWidth="1"/>
    <col min="9" max="9" width="11.7109375" style="5" bestFit="1" customWidth="1"/>
    <col min="10" max="10" width="24.140625" bestFit="1" customWidth="1"/>
    <col min="12" max="12" width="17" bestFit="1" customWidth="1"/>
    <col min="13" max="13" width="14.28515625" bestFit="1" customWidth="1"/>
  </cols>
  <sheetData>
    <row r="1" spans="1:13">
      <c r="A1" s="348" t="s">
        <v>0</v>
      </c>
      <c r="B1" s="349"/>
      <c r="C1" s="349"/>
      <c r="D1" s="349"/>
      <c r="E1" s="349"/>
      <c r="F1" s="349"/>
      <c r="G1" s="349"/>
      <c r="H1" s="1"/>
      <c r="I1" s="2"/>
      <c r="J1" s="3"/>
    </row>
    <row r="2" spans="1:13">
      <c r="A2" s="350" t="s">
        <v>1</v>
      </c>
      <c r="B2" s="351"/>
      <c r="C2" s="351"/>
      <c r="D2" s="351"/>
      <c r="E2" s="351"/>
      <c r="F2" s="351"/>
      <c r="G2" s="351"/>
      <c r="H2" s="4"/>
      <c r="J2" s="6"/>
    </row>
    <row r="3" spans="1:13">
      <c r="A3" s="350" t="s">
        <v>2</v>
      </c>
      <c r="B3" s="351"/>
      <c r="C3" s="351"/>
      <c r="D3" s="351"/>
      <c r="E3" s="351"/>
      <c r="F3" s="351"/>
      <c r="G3" s="351"/>
      <c r="H3" s="4"/>
      <c r="J3" s="6"/>
    </row>
    <row r="4" spans="1:13">
      <c r="A4" s="7"/>
      <c r="B4" s="8"/>
      <c r="J4" s="6"/>
    </row>
    <row r="5" spans="1:13" ht="16.5" thickBot="1">
      <c r="A5" s="7"/>
      <c r="B5" s="8" t="s">
        <v>3</v>
      </c>
      <c r="C5" s="9">
        <f>SUM(C13*$F$5/F13)</f>
        <v>3.8770507951540953E-2</v>
      </c>
      <c r="D5" s="9">
        <f>SUM(D13*$F$5/$F$13)</f>
        <v>0.95365216638757655</v>
      </c>
      <c r="E5" s="9">
        <f>SUM(E13*$F$5/$F$13)</f>
        <v>7.5773256608825121E-3</v>
      </c>
      <c r="F5" s="10">
        <v>1</v>
      </c>
      <c r="J5" s="6"/>
    </row>
    <row r="6" spans="1:13">
      <c r="A6" s="7"/>
      <c r="B6" s="11" t="s">
        <v>4</v>
      </c>
      <c r="C6" s="12">
        <v>2425</v>
      </c>
      <c r="D6" s="12">
        <v>10425</v>
      </c>
      <c r="E6" s="12">
        <v>1725</v>
      </c>
      <c r="F6" s="13"/>
      <c r="G6" s="14" t="s">
        <v>5</v>
      </c>
      <c r="H6" s="15"/>
      <c r="J6" s="6"/>
    </row>
    <row r="7" spans="1:13">
      <c r="A7" s="7"/>
      <c r="B7" s="11" t="s">
        <v>6</v>
      </c>
      <c r="C7" s="12">
        <v>29525</v>
      </c>
      <c r="D7" s="12">
        <v>129025</v>
      </c>
      <c r="E7" s="12">
        <v>16325</v>
      </c>
      <c r="F7" s="13" t="s">
        <v>7</v>
      </c>
      <c r="G7" s="16"/>
      <c r="H7" s="15"/>
      <c r="J7" s="6"/>
    </row>
    <row r="8" spans="1:13">
      <c r="A8" s="7"/>
      <c r="B8" s="11" t="s">
        <v>8</v>
      </c>
      <c r="C8" s="12"/>
      <c r="D8" s="12"/>
      <c r="E8" s="12"/>
      <c r="F8" s="13" t="s">
        <v>7</v>
      </c>
      <c r="G8" s="16"/>
      <c r="H8" s="15"/>
      <c r="I8" s="17"/>
      <c r="J8" s="6"/>
    </row>
    <row r="9" spans="1:13" ht="15.75" thickBot="1">
      <c r="A9" s="7"/>
      <c r="B9" s="18" t="s">
        <v>9</v>
      </c>
      <c r="C9" s="19" t="s">
        <v>10</v>
      </c>
      <c r="D9" s="19" t="s">
        <v>11</v>
      </c>
      <c r="E9" s="19" t="s">
        <v>12</v>
      </c>
      <c r="F9" s="13" t="s">
        <v>13</v>
      </c>
      <c r="G9" s="20"/>
      <c r="H9" s="21"/>
      <c r="I9" s="22"/>
      <c r="J9" s="6"/>
    </row>
    <row r="10" spans="1:13">
      <c r="A10" s="7"/>
      <c r="B10" s="18" t="s">
        <v>14</v>
      </c>
      <c r="C10" s="23">
        <v>7847126</v>
      </c>
      <c r="D10" s="23">
        <v>249927227</v>
      </c>
      <c r="E10" s="23">
        <v>1533646</v>
      </c>
      <c r="F10" s="23">
        <f>SUM(C10:E10)</f>
        <v>259307999</v>
      </c>
      <c r="G10" s="24"/>
      <c r="H10" s="24"/>
      <c r="J10" s="6"/>
    </row>
    <row r="11" spans="1:13">
      <c r="A11" s="7"/>
      <c r="B11" s="18" t="s">
        <v>15</v>
      </c>
      <c r="C11" s="23"/>
      <c r="D11" s="23">
        <v>3131</v>
      </c>
      <c r="E11" s="23"/>
      <c r="F11" s="23">
        <f>SUM(D11:E11)</f>
        <v>3131</v>
      </c>
      <c r="G11" s="24"/>
      <c r="H11" s="24"/>
      <c r="I11" s="22"/>
      <c r="J11" s="6"/>
    </row>
    <row r="12" spans="1:13">
      <c r="A12" s="7"/>
      <c r="B12" s="18" t="s">
        <v>16</v>
      </c>
      <c r="C12" s="23">
        <v>49719390</v>
      </c>
      <c r="D12" s="23">
        <v>1166060259</v>
      </c>
      <c r="E12" s="23">
        <v>9717180</v>
      </c>
      <c r="F12" s="23">
        <f>SUM(C12:E12)</f>
        <v>1225496829</v>
      </c>
      <c r="G12" s="24"/>
      <c r="H12" s="25"/>
      <c r="J12" s="6"/>
    </row>
    <row r="13" spans="1:13">
      <c r="A13" s="7"/>
      <c r="B13" s="18" t="s">
        <v>17</v>
      </c>
      <c r="C13" s="26">
        <f>SUM(C10:C12)</f>
        <v>57566516</v>
      </c>
      <c r="D13" s="26">
        <f>+D10-D11+D12</f>
        <v>1415984355</v>
      </c>
      <c r="E13" s="26">
        <f t="shared" ref="E13" si="0">SUM(E10:E12)</f>
        <v>11250826</v>
      </c>
      <c r="F13" s="26">
        <f>+F10-F11+F12</f>
        <v>1484801697</v>
      </c>
      <c r="H13" s="17"/>
      <c r="J13" s="6"/>
    </row>
    <row r="14" spans="1:13">
      <c r="A14" s="7"/>
      <c r="C14" s="27"/>
      <c r="D14" s="27"/>
      <c r="E14" s="27"/>
      <c r="F14" s="27"/>
      <c r="J14" s="6"/>
    </row>
    <row r="15" spans="1:13" ht="45">
      <c r="A15" s="28" t="s">
        <v>18</v>
      </c>
      <c r="B15" s="29" t="s">
        <v>19</v>
      </c>
      <c r="C15" s="30" t="s">
        <v>10</v>
      </c>
      <c r="D15" s="30" t="s">
        <v>11</v>
      </c>
      <c r="E15" s="30" t="s">
        <v>12</v>
      </c>
      <c r="F15" s="31" t="s">
        <v>17</v>
      </c>
      <c r="G15" s="32" t="s">
        <v>20</v>
      </c>
      <c r="H15" s="33" t="s">
        <v>21</v>
      </c>
      <c r="I15" s="34" t="s">
        <v>22</v>
      </c>
      <c r="J15" s="35" t="s">
        <v>23</v>
      </c>
      <c r="M15" s="36"/>
    </row>
    <row r="16" spans="1:13" ht="30">
      <c r="A16" s="37">
        <v>1</v>
      </c>
      <c r="B16" s="38" t="s">
        <v>24</v>
      </c>
      <c r="C16" s="39">
        <f>+$F$16*C5</f>
        <v>406502.33996758692</v>
      </c>
      <c r="D16" s="39">
        <f t="shared" ref="D16:E16" si="1">+$F$16*D5</f>
        <v>9998884.65831412</v>
      </c>
      <c r="E16" s="39">
        <f t="shared" si="1"/>
        <v>79447.001718293439</v>
      </c>
      <c r="F16" s="40">
        <v>10484834</v>
      </c>
      <c r="G16" s="41">
        <f>SUM((F16)*$F$5/$F$13)</f>
        <v>7.0614372418783674E-3</v>
      </c>
      <c r="H16" s="42">
        <v>45961</v>
      </c>
      <c r="I16" s="34" t="s">
        <v>25</v>
      </c>
      <c r="J16" s="43" t="s">
        <v>26</v>
      </c>
    </row>
    <row r="17" spans="1:14">
      <c r="A17" s="37">
        <v>2</v>
      </c>
      <c r="B17" s="44">
        <v>45992</v>
      </c>
      <c r="C17" s="45">
        <v>7440625</v>
      </c>
      <c r="D17" s="45">
        <v>239928341</v>
      </c>
      <c r="E17" s="45">
        <v>1454199</v>
      </c>
      <c r="F17" s="46">
        <f t="shared" ref="F17" si="2">SUM(C17:E17)</f>
        <v>248823165</v>
      </c>
      <c r="G17" s="41">
        <f>SUM((F17)*$F$5/$F$13)</f>
        <v>0.1675800650704671</v>
      </c>
      <c r="H17" s="42">
        <v>45962</v>
      </c>
      <c r="I17" s="34" t="s">
        <v>27</v>
      </c>
      <c r="J17" s="43" t="s">
        <v>28</v>
      </c>
    </row>
    <row r="18" spans="1:14">
      <c r="A18" s="37">
        <v>3</v>
      </c>
      <c r="B18" s="44">
        <v>46023</v>
      </c>
      <c r="C18" s="45">
        <f>+F18*$C$5</f>
        <v>7740037.2919815341</v>
      </c>
      <c r="D18" s="45">
        <f>+F18*$D$5</f>
        <v>190384488.65938696</v>
      </c>
      <c r="E18" s="45">
        <f>+F18*$E$5</f>
        <v>1512716.3993317822</v>
      </c>
      <c r="F18" s="46">
        <f>+'[1]ANEXO ECONOMICO nov, dic y ener'!V88</f>
        <v>199637242.35070029</v>
      </c>
      <c r="G18" s="41">
        <f t="shared" ref="G18:G24" si="3">SUM((F18)*$F$5/$F$13)</f>
        <v>0.13445380804323009</v>
      </c>
      <c r="H18" s="42">
        <v>46052</v>
      </c>
      <c r="I18" s="34"/>
      <c r="J18" s="43"/>
    </row>
    <row r="19" spans="1:14">
      <c r="A19" s="37">
        <v>4</v>
      </c>
      <c r="B19" s="44">
        <v>46054</v>
      </c>
      <c r="C19" s="26">
        <f t="shared" ref="C19:C23" si="4">+F19*$C$5</f>
        <v>7622353.9376472328</v>
      </c>
      <c r="D19" s="26">
        <f t="shared" ref="D19:D23" si="5">+F19*$D$5</f>
        <v>187489788.75117487</v>
      </c>
      <c r="E19" s="26">
        <f t="shared" ref="E19:E23" si="6">+F19*$E$5</f>
        <v>1489716.3111779054</v>
      </c>
      <c r="F19" s="47">
        <f>+'ANEXO ECONOMICO MODIFICACION 3'!N97</f>
        <v>196601859</v>
      </c>
      <c r="G19" s="41">
        <f t="shared" si="3"/>
        <v>0.13240950586009467</v>
      </c>
      <c r="H19" s="48">
        <v>46080</v>
      </c>
      <c r="I19" s="34"/>
      <c r="J19" s="43"/>
      <c r="L19" s="49"/>
    </row>
    <row r="20" spans="1:14">
      <c r="A20" s="37">
        <v>5</v>
      </c>
      <c r="B20" s="44">
        <v>46082</v>
      </c>
      <c r="C20" s="26">
        <f t="shared" si="4"/>
        <v>7622353.9376472328</v>
      </c>
      <c r="D20" s="26">
        <f t="shared" si="5"/>
        <v>187489788.75117487</v>
      </c>
      <c r="E20" s="26">
        <f t="shared" si="6"/>
        <v>1489716.3111779054</v>
      </c>
      <c r="F20" s="47">
        <f>+'[1]ANEXO ECONOMICO MODIFICACION 3'!P97</f>
        <v>196601859</v>
      </c>
      <c r="G20" s="41">
        <f t="shared" si="3"/>
        <v>0.13240950586009467</v>
      </c>
      <c r="H20" s="48">
        <v>46111</v>
      </c>
      <c r="I20" s="34"/>
      <c r="J20" s="43"/>
      <c r="L20" s="49"/>
    </row>
    <row r="21" spans="1:14">
      <c r="A21" s="37">
        <v>6</v>
      </c>
      <c r="B21" s="44">
        <v>46113</v>
      </c>
      <c r="C21" s="26">
        <f t="shared" si="4"/>
        <v>7622353.9376472328</v>
      </c>
      <c r="D21" s="26">
        <f t="shared" si="5"/>
        <v>187489788.75117487</v>
      </c>
      <c r="E21" s="26">
        <f t="shared" si="6"/>
        <v>1489716.3111779054</v>
      </c>
      <c r="F21" s="47">
        <f>+'ANEXO ECONOMICO MODIFICACION 3'!P97</f>
        <v>196601859</v>
      </c>
      <c r="G21" s="41">
        <f t="shared" si="3"/>
        <v>0.13240950586009467</v>
      </c>
      <c r="H21" s="48">
        <v>46142</v>
      </c>
      <c r="I21" s="34"/>
      <c r="J21" s="43"/>
      <c r="L21" s="49"/>
    </row>
    <row r="22" spans="1:14">
      <c r="A22" s="37">
        <v>7</v>
      </c>
      <c r="B22" s="44">
        <v>46143</v>
      </c>
      <c r="C22" s="26">
        <f t="shared" si="4"/>
        <v>7841119.7467159629</v>
      </c>
      <c r="D22" s="26">
        <f t="shared" si="5"/>
        <v>192870850.25314659</v>
      </c>
      <c r="E22" s="26">
        <f t="shared" si="6"/>
        <v>1532472.0001374648</v>
      </c>
      <c r="F22" s="47">
        <f>+'ANEXO ECONOMICO MODIFICACION 3'!Q97</f>
        <v>202244442</v>
      </c>
      <c r="G22" s="41">
        <f t="shared" si="3"/>
        <v>0.13620973252430221</v>
      </c>
      <c r="H22" s="48">
        <v>46171</v>
      </c>
      <c r="I22" s="34"/>
      <c r="J22" s="43"/>
      <c r="L22" s="27"/>
    </row>
    <row r="23" spans="1:14">
      <c r="A23" s="37">
        <v>8</v>
      </c>
      <c r="B23" s="44">
        <v>46174</v>
      </c>
      <c r="C23" s="26">
        <f t="shared" si="4"/>
        <v>7841119.7467159629</v>
      </c>
      <c r="D23" s="26">
        <f t="shared" si="5"/>
        <v>192870850.25314659</v>
      </c>
      <c r="E23" s="26">
        <f t="shared" si="6"/>
        <v>1532472.0001374648</v>
      </c>
      <c r="F23" s="47">
        <f>+'ANEXO ECONOMICO MODIFICACION 3'!R97</f>
        <v>202244442</v>
      </c>
      <c r="G23" s="41">
        <f t="shared" si="3"/>
        <v>0.13620973252430221</v>
      </c>
      <c r="H23" s="48">
        <v>46203</v>
      </c>
      <c r="I23" s="34"/>
      <c r="J23" s="43"/>
    </row>
    <row r="24" spans="1:14">
      <c r="A24" s="37"/>
      <c r="B24" s="44"/>
      <c r="C24" s="23"/>
      <c r="D24" s="23"/>
      <c r="E24" s="23"/>
      <c r="F24" s="47"/>
      <c r="G24" s="41">
        <f t="shared" si="3"/>
        <v>0</v>
      </c>
      <c r="H24" s="48"/>
      <c r="I24" s="34"/>
      <c r="J24" s="43"/>
      <c r="N24" s="27"/>
    </row>
    <row r="25" spans="1:14">
      <c r="A25" s="313" t="s">
        <v>17</v>
      </c>
      <c r="B25" s="352"/>
      <c r="C25" s="50">
        <f>SUM(C16:C23)</f>
        <v>54136465.938322745</v>
      </c>
      <c r="D25" s="50">
        <f t="shared" ref="D25:E25" si="7">SUM(D16:D23)</f>
        <v>1388522781.0775192</v>
      </c>
      <c r="E25" s="50">
        <f t="shared" si="7"/>
        <v>10580455.334858723</v>
      </c>
      <c r="F25" s="50">
        <f>SUM(C25:E25)</f>
        <v>1453239702.3507006</v>
      </c>
      <c r="G25" s="51">
        <f>SUM(G16:G24)</f>
        <v>0.97874329298446416</v>
      </c>
      <c r="H25" s="52"/>
      <c r="J25" s="6"/>
    </row>
    <row r="26" spans="1:14">
      <c r="A26" s="353" t="s">
        <v>29</v>
      </c>
      <c r="B26" s="354"/>
      <c r="C26" s="23">
        <f>+C13-C25</f>
        <v>3430050.0616772547</v>
      </c>
      <c r="D26" s="23">
        <f t="shared" ref="D26:E26" si="8">+D13-D25</f>
        <v>27461573.922480822</v>
      </c>
      <c r="E26" s="23">
        <f t="shared" si="8"/>
        <v>670370.66514127702</v>
      </c>
      <c r="F26" s="23">
        <f>+F13-F25</f>
        <v>31561994.649299383</v>
      </c>
      <c r="G26" s="10">
        <f>SUM(F5-G25)</f>
        <v>2.1256707015535836E-2</v>
      </c>
      <c r="H26" s="52"/>
      <c r="J26" s="6"/>
    </row>
    <row r="27" spans="1:14">
      <c r="A27" s="53"/>
      <c r="C27" s="27"/>
      <c r="D27" s="27"/>
      <c r="E27" s="27"/>
      <c r="F27" s="27"/>
      <c r="H27" s="52"/>
      <c r="J27" s="54"/>
    </row>
    <row r="28" spans="1:14">
      <c r="A28" s="53"/>
      <c r="C28" s="27"/>
      <c r="D28" s="27"/>
      <c r="E28" s="27"/>
      <c r="F28" s="27"/>
      <c r="G28" s="55"/>
      <c r="H28" s="55"/>
      <c r="J28" s="6"/>
      <c r="L28" s="56"/>
      <c r="M28" s="23"/>
    </row>
    <row r="29" spans="1:14">
      <c r="A29" s="53"/>
      <c r="B29" s="18" t="s">
        <v>30</v>
      </c>
      <c r="C29" s="355" t="s">
        <v>31</v>
      </c>
      <c r="D29" s="356"/>
      <c r="E29" s="356"/>
      <c r="F29" s="357"/>
      <c r="G29" s="357"/>
      <c r="H29" s="357"/>
      <c r="I29" s="358"/>
      <c r="J29" s="6"/>
      <c r="L29" s="56"/>
      <c r="M29" s="23"/>
    </row>
    <row r="30" spans="1:14" ht="15.75" hidden="1">
      <c r="A30" s="53"/>
      <c r="B30" s="18" t="s">
        <v>32</v>
      </c>
      <c r="C30" s="346" t="s">
        <v>33</v>
      </c>
      <c r="D30" s="346"/>
      <c r="E30" s="346"/>
      <c r="F30" s="346"/>
      <c r="G30" s="346"/>
      <c r="H30" s="346"/>
      <c r="I30" s="346"/>
      <c r="J30" s="6"/>
      <c r="L30" s="56"/>
      <c r="M30" s="23"/>
    </row>
    <row r="31" spans="1:14" ht="15.75" hidden="1">
      <c r="A31" s="53"/>
      <c r="B31" s="18" t="s">
        <v>34</v>
      </c>
      <c r="C31" s="346" t="s">
        <v>35</v>
      </c>
      <c r="D31" s="346"/>
      <c r="E31" s="346"/>
      <c r="F31" s="346"/>
      <c r="G31" s="346"/>
      <c r="H31" s="346"/>
      <c r="I31" s="346"/>
      <c r="J31" s="6"/>
    </row>
    <row r="32" spans="1:14" ht="16.5" hidden="1" thickBot="1">
      <c r="A32" s="57"/>
      <c r="B32" s="58" t="s">
        <v>36</v>
      </c>
      <c r="C32" s="347" t="s">
        <v>37</v>
      </c>
      <c r="D32" s="347"/>
      <c r="E32" s="347"/>
      <c r="F32" s="347"/>
      <c r="G32" s="347"/>
      <c r="H32" s="347"/>
      <c r="I32" s="347"/>
      <c r="J32" s="59"/>
    </row>
  </sheetData>
  <mergeCells count="9">
    <mergeCell ref="C30:I30"/>
    <mergeCell ref="C31:I31"/>
    <mergeCell ref="C32:I32"/>
    <mergeCell ref="A1:G1"/>
    <mergeCell ref="A2:G2"/>
    <mergeCell ref="A3:G3"/>
    <mergeCell ref="A25:B25"/>
    <mergeCell ref="A26:B26"/>
    <mergeCell ref="C29:I29"/>
  </mergeCells>
  <hyperlinks>
    <hyperlink ref="C29" r:id="rId1" xr:uid="{79B245D8-EBFC-4783-ABDF-22B5A4D8E091}"/>
  </hyperlinks>
  <pageMargins left="0.7" right="0.7" top="0.75" bottom="0.75" header="0.3" footer="0.3"/>
  <pageSetup paperSize="14" orientation="portrait" horizontalDpi="4294967294" verticalDpi="4294967294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ECONOMICO nov, dic y ener</vt:lpstr>
      <vt:lpstr>ANEXO ECONOMICO MODIFICACION 3</vt:lpstr>
      <vt:lpstr>CONTROL DE PAGOS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Orlando Gamboa Vera</dc:creator>
  <cp:lastModifiedBy>Jessica Alexandra Espinosa Braga</cp:lastModifiedBy>
  <dcterms:created xsi:type="dcterms:W3CDTF">2026-03-24T15:37:19Z</dcterms:created>
  <dcterms:modified xsi:type="dcterms:W3CDTF">2026-04-30T15:36:35Z</dcterms:modified>
</cp:coreProperties>
</file>