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LINA.SILVAR\Documents\1. SI. LINA\1. CONTRATOS\11. CONTRATOS 2026\1. SELECCION ABREVIADA\2. SUBASTA INVERSA\1. INSUMOS MEDICO QX Y EXTRAMURAL\"/>
    </mc:Choice>
  </mc:AlternateContent>
  <xr:revisionPtr revIDLastSave="0" documentId="13_ncr:1_{DFF6CE2B-D12C-47F9-8DC4-818B4F4DB60C}" xr6:coauthVersionLast="36" xr6:coauthVersionMax="36" xr10:uidLastSave="{00000000-0000-0000-0000-000000000000}"/>
  <bookViews>
    <workbookView xWindow="0" yWindow="0" windowWidth="20490" windowHeight="7545" firstSheet="1" activeTab="1" xr2:uid="{00000000-000D-0000-FFFF-FFFF00000000}"/>
  </bookViews>
  <sheets>
    <sheet name="FORMATO 1 PLANTA" sheetId="10" state="hidden" r:id="rId1"/>
    <sheet name="TOTAL PROCESO" sheetId="28" r:id="rId2"/>
  </sheets>
  <definedNames>
    <definedName name="_xlnm._FilterDatabase" localSheetId="0" hidden="1">'FORMATO 1 PLANTA'!$A$13:$U$129</definedName>
    <definedName name="_xlnm._FilterDatabase" localSheetId="1" hidden="1">'TOTAL PROCESO'!$A$3:$BE$355</definedName>
    <definedName name="_xlnm.Print_Area" localSheetId="0">'FORMATO 1 PLANTA'!$A$1:$T$129</definedName>
    <definedName name="_xlnm.Print_Area" localSheetId="1">'TOTAL PROCESO'!$B$1:$BC$345</definedName>
    <definedName name="_xlnm.Print_Titles" localSheetId="0">'FORMATO 1 PLANTA'!$1:$13</definedName>
    <definedName name="_xlnm.Print_Titles" localSheetId="1">'TOTAL PROCESO'!#REF!</definedName>
  </definedNames>
  <calcPr calcId="191029"/>
</workbook>
</file>

<file path=xl/calcChain.xml><?xml version="1.0" encoding="utf-8"?>
<calcChain xmlns="http://schemas.openxmlformats.org/spreadsheetml/2006/main">
  <c r="BD346" i="28" l="1"/>
  <c r="BC5" i="28" l="1"/>
  <c r="BC4" i="28"/>
  <c r="AU165" i="28" l="1"/>
  <c r="O4" i="28" l="1"/>
  <c r="BC345" i="28" l="1"/>
  <c r="AU345" i="28"/>
  <c r="S345" i="28"/>
  <c r="AL345" i="28" s="1"/>
  <c r="BC344" i="28"/>
  <c r="AU344" i="28"/>
  <c r="S344" i="28"/>
  <c r="AL344" i="28" s="1"/>
  <c r="BC343" i="28"/>
  <c r="AU343" i="28"/>
  <c r="AW343" i="28" s="1"/>
  <c r="BC342" i="28"/>
  <c r="AU342" i="28"/>
  <c r="AW342" i="28" s="1"/>
  <c r="BC341" i="28"/>
  <c r="AU341" i="28"/>
  <c r="S341" i="28"/>
  <c r="AL341" i="28" s="1"/>
  <c r="BC340" i="28"/>
  <c r="AU340" i="28"/>
  <c r="AW340" i="28" s="1"/>
  <c r="BC339" i="28"/>
  <c r="AU339" i="28"/>
  <c r="AW339" i="28" s="1"/>
  <c r="BC338" i="28"/>
  <c r="AU338" i="28"/>
  <c r="AW338" i="28" s="1"/>
  <c r="BC337" i="28"/>
  <c r="AU337" i="28"/>
  <c r="AW337" i="28" s="1"/>
  <c r="BC336" i="28"/>
  <c r="AU336" i="28"/>
  <c r="AW336" i="28" s="1"/>
  <c r="BC335" i="28"/>
  <c r="AU335" i="28"/>
  <c r="AW335" i="28" s="1"/>
  <c r="BC334" i="28"/>
  <c r="AU334" i="28"/>
  <c r="AW334" i="28" s="1"/>
  <c r="BC333" i="28"/>
  <c r="AU333" i="28"/>
  <c r="AK333" i="28"/>
  <c r="S333" i="28"/>
  <c r="BC332" i="28"/>
  <c r="AU332" i="28"/>
  <c r="AK332" i="28"/>
  <c r="AL332" i="28" s="1"/>
  <c r="BC331" i="28"/>
  <c r="AU331" i="28"/>
  <c r="AW331" i="28" s="1"/>
  <c r="BC330" i="28"/>
  <c r="AU330" i="28"/>
  <c r="AW330" i="28" s="1"/>
  <c r="BC329" i="28"/>
  <c r="AU329" i="28"/>
  <c r="AW329" i="28" s="1"/>
  <c r="BC328" i="28"/>
  <c r="AU328" i="28"/>
  <c r="AW328" i="28" s="1"/>
  <c r="BC327" i="28"/>
  <c r="AU327" i="28"/>
  <c r="AK327" i="28"/>
  <c r="S327" i="28"/>
  <c r="BC326" i="28"/>
  <c r="AU326" i="28"/>
  <c r="S326" i="28"/>
  <c r="AL326" i="28" s="1"/>
  <c r="BC325" i="28"/>
  <c r="AU325" i="28"/>
  <c r="AW325" i="28" s="1"/>
  <c r="BC324" i="28"/>
  <c r="AU324" i="28"/>
  <c r="AK324" i="28"/>
  <c r="S324" i="28"/>
  <c r="BC323" i="28"/>
  <c r="AU323" i="28"/>
  <c r="AW323" i="28" s="1"/>
  <c r="BC322" i="28"/>
  <c r="AU322" i="28"/>
  <c r="AW322" i="28" s="1"/>
  <c r="BC321" i="28"/>
  <c r="AU321" i="28"/>
  <c r="AW321" i="28" s="1"/>
  <c r="BC320" i="28"/>
  <c r="AU320" i="28"/>
  <c r="AW320" i="28" s="1"/>
  <c r="BC319" i="28"/>
  <c r="AU319" i="28"/>
  <c r="AW319" i="28" s="1"/>
  <c r="BC318" i="28"/>
  <c r="AQ318" i="28"/>
  <c r="AU318" i="28" s="1"/>
  <c r="AB318" i="28"/>
  <c r="AC318" i="28" s="1"/>
  <c r="AL318" i="28" s="1"/>
  <c r="BC317" i="28"/>
  <c r="AQ317" i="28"/>
  <c r="AU317" i="28" s="1"/>
  <c r="AB317" i="28"/>
  <c r="AC317" i="28" s="1"/>
  <c r="AL317" i="28" s="1"/>
  <c r="G317" i="28"/>
  <c r="I317" i="28" s="1"/>
  <c r="BC316" i="28"/>
  <c r="AQ316" i="28"/>
  <c r="AU316" i="28" s="1"/>
  <c r="AI316" i="28"/>
  <c r="AB316" i="28"/>
  <c r="AC316" i="28" s="1"/>
  <c r="L316" i="28"/>
  <c r="M316" i="28" s="1"/>
  <c r="G316" i="28"/>
  <c r="I316" i="28" s="1"/>
  <c r="BC315" i="28"/>
  <c r="AQ315" i="28"/>
  <c r="AU315" i="28" s="1"/>
  <c r="AI315" i="28"/>
  <c r="AB315" i="28"/>
  <c r="AC315" i="28" s="1"/>
  <c r="L315" i="28"/>
  <c r="M315" i="28" s="1"/>
  <c r="G315" i="28"/>
  <c r="I315" i="28" s="1"/>
  <c r="BC314" i="28"/>
  <c r="AQ314" i="28"/>
  <c r="AU314" i="28" s="1"/>
  <c r="AI314" i="28"/>
  <c r="AB314" i="28"/>
  <c r="AC314" i="28" s="1"/>
  <c r="L314" i="28"/>
  <c r="M314" i="28" s="1"/>
  <c r="G314" i="28"/>
  <c r="I314" i="28" s="1"/>
  <c r="BC313" i="28"/>
  <c r="AQ313" i="28"/>
  <c r="AU313" i="28" s="1"/>
  <c r="AI313" i="28"/>
  <c r="AB313" i="28"/>
  <c r="AC313" i="28" s="1"/>
  <c r="L313" i="28"/>
  <c r="M313" i="28" s="1"/>
  <c r="G313" i="28"/>
  <c r="I313" i="28" s="1"/>
  <c r="BC312" i="28"/>
  <c r="AQ312" i="28"/>
  <c r="AU312" i="28" s="1"/>
  <c r="AI312" i="28"/>
  <c r="AB312" i="28"/>
  <c r="AC312" i="28" s="1"/>
  <c r="L312" i="28"/>
  <c r="M312" i="28" s="1"/>
  <c r="G312" i="28"/>
  <c r="I312" i="28" s="1"/>
  <c r="BC311" i="28"/>
  <c r="AQ311" i="28"/>
  <c r="AU311" i="28" s="1"/>
  <c r="AI311" i="28"/>
  <c r="AB311" i="28"/>
  <c r="AC311" i="28" s="1"/>
  <c r="L311" i="28"/>
  <c r="M311" i="28" s="1"/>
  <c r="G311" i="28"/>
  <c r="I311" i="28" s="1"/>
  <c r="BC310" i="28"/>
  <c r="AQ310" i="28"/>
  <c r="AU310" i="28" s="1"/>
  <c r="AI310" i="28"/>
  <c r="AB310" i="28"/>
  <c r="AC310" i="28" s="1"/>
  <c r="L310" i="28"/>
  <c r="M310" i="28" s="1"/>
  <c r="G310" i="28"/>
  <c r="I310" i="28" s="1"/>
  <c r="BC309" i="28"/>
  <c r="AU309" i="28"/>
  <c r="AI309" i="28"/>
  <c r="AE309" i="28"/>
  <c r="M309" i="28"/>
  <c r="I309" i="28"/>
  <c r="BC308" i="28"/>
  <c r="AU308" i="28"/>
  <c r="AI308" i="28"/>
  <c r="AE308" i="28"/>
  <c r="M308" i="28"/>
  <c r="I308" i="28"/>
  <c r="BC307" i="28"/>
  <c r="AU307" i="28"/>
  <c r="AE307" i="28"/>
  <c r="AL307" i="28" s="1"/>
  <c r="BC306" i="28"/>
  <c r="AU306" i="28"/>
  <c r="AE306" i="28"/>
  <c r="AL306" i="28" s="1"/>
  <c r="BC305" i="28"/>
  <c r="AQ305" i="28"/>
  <c r="AN305" i="28"/>
  <c r="AH305" i="28"/>
  <c r="AI305" i="28" s="1"/>
  <c r="AD305" i="28"/>
  <c r="AE305" i="28" s="1"/>
  <c r="L305" i="28"/>
  <c r="M305" i="28" s="1"/>
  <c r="BC304" i="28"/>
  <c r="AQ304" i="28"/>
  <c r="AN304" i="28"/>
  <c r="AH304" i="28"/>
  <c r="AI304" i="28" s="1"/>
  <c r="AD304" i="28"/>
  <c r="AE304" i="28" s="1"/>
  <c r="L304" i="28"/>
  <c r="M304" i="28" s="1"/>
  <c r="BC303" i="28"/>
  <c r="AU303" i="28"/>
  <c r="AW303" i="28" s="1"/>
  <c r="BC302" i="28"/>
  <c r="AU302" i="28"/>
  <c r="AW302" i="28" s="1"/>
  <c r="BC301" i="28"/>
  <c r="AU301" i="28"/>
  <c r="AW301" i="28" s="1"/>
  <c r="BC300" i="28"/>
  <c r="AQ300" i="28"/>
  <c r="AU300" i="28" s="1"/>
  <c r="AW300" i="28" s="1"/>
  <c r="BC299" i="28"/>
  <c r="AU299" i="28"/>
  <c r="AW299" i="28" s="1"/>
  <c r="AC299" i="28"/>
  <c r="V299" i="28"/>
  <c r="W299" i="28" s="1"/>
  <c r="G299" i="28"/>
  <c r="I299" i="28" s="1"/>
  <c r="BC298" i="28"/>
  <c r="AU298" i="28"/>
  <c r="AC298" i="28"/>
  <c r="V298" i="28"/>
  <c r="W298" i="28" s="1"/>
  <c r="G298" i="28"/>
  <c r="I298" i="28" s="1"/>
  <c r="BC297" i="28"/>
  <c r="AU297" i="28"/>
  <c r="AC297" i="28"/>
  <c r="V297" i="28"/>
  <c r="W297" i="28" s="1"/>
  <c r="G297" i="28"/>
  <c r="I297" i="28" s="1"/>
  <c r="BC296" i="28"/>
  <c r="AU296" i="28"/>
  <c r="AW296" i="28" s="1"/>
  <c r="AC296" i="28"/>
  <c r="V296" i="28"/>
  <c r="W296" i="28" s="1"/>
  <c r="G296" i="28"/>
  <c r="I296" i="28" s="1"/>
  <c r="BC295" i="28"/>
  <c r="AU295" i="28"/>
  <c r="AW295" i="28" s="1"/>
  <c r="BC294" i="28"/>
  <c r="AU294" i="28"/>
  <c r="L294" i="28"/>
  <c r="M294" i="28" s="1"/>
  <c r="AL294" i="28" s="1"/>
  <c r="I294" i="28"/>
  <c r="BC293" i="28"/>
  <c r="AU293" i="28"/>
  <c r="L293" i="28"/>
  <c r="M293" i="28" s="1"/>
  <c r="AL293" i="28" s="1"/>
  <c r="BC292" i="28"/>
  <c r="AU292" i="28"/>
  <c r="AW292" i="28" s="1"/>
  <c r="AI292" i="28"/>
  <c r="I292" i="28"/>
  <c r="BC291" i="28"/>
  <c r="AU291" i="28"/>
  <c r="S291" i="28"/>
  <c r="AL291" i="28" s="1"/>
  <c r="BC290" i="28"/>
  <c r="AU290" i="28"/>
  <c r="AW290" i="28" s="1"/>
  <c r="U290" i="28"/>
  <c r="O290" i="28"/>
  <c r="BC289" i="28"/>
  <c r="AU289" i="28"/>
  <c r="U289" i="28"/>
  <c r="O289" i="28"/>
  <c r="BC288" i="28"/>
  <c r="AU288" i="28"/>
  <c r="U288" i="28"/>
  <c r="AL288" i="28" s="1"/>
  <c r="BC287" i="28"/>
  <c r="AU287" i="28"/>
  <c r="AW287" i="28" s="1"/>
  <c r="U287" i="28"/>
  <c r="O287" i="28"/>
  <c r="BC286" i="28"/>
  <c r="AU286" i="28"/>
  <c r="AE286" i="28"/>
  <c r="U286" i="28"/>
  <c r="O286" i="28"/>
  <c r="BC285" i="28"/>
  <c r="AU285" i="28"/>
  <c r="AW285" i="28" s="1"/>
  <c r="O285" i="28"/>
  <c r="AL285" i="28" s="1"/>
  <c r="BC284" i="28"/>
  <c r="AQ284" i="28"/>
  <c r="AU284" i="28" s="1"/>
  <c r="AW284" i="28" s="1"/>
  <c r="O284" i="28"/>
  <c r="AL284" i="28" s="1"/>
  <c r="BC283" i="28"/>
  <c r="AU283" i="28"/>
  <c r="AW283" i="28" s="1"/>
  <c r="BC282" i="28"/>
  <c r="AU282" i="28"/>
  <c r="U282" i="28"/>
  <c r="O282" i="28"/>
  <c r="BC281" i="28"/>
  <c r="AU281" i="28"/>
  <c r="AW281" i="28" s="1"/>
  <c r="U281" i="28"/>
  <c r="O281" i="28"/>
  <c r="BC280" i="28"/>
  <c r="AU280" i="28"/>
  <c r="AW280" i="28" s="1"/>
  <c r="BC279" i="28"/>
  <c r="AU279" i="28"/>
  <c r="U279" i="28"/>
  <c r="AL279" i="28" s="1"/>
  <c r="BC278" i="28"/>
  <c r="AU278" i="28"/>
  <c r="U278" i="28"/>
  <c r="AL278" i="28" s="1"/>
  <c r="BC277" i="28"/>
  <c r="AU277" i="28"/>
  <c r="AW277" i="28" s="1"/>
  <c r="BC276" i="28"/>
  <c r="AU276" i="28"/>
  <c r="AC276" i="28"/>
  <c r="AL276" i="28" s="1"/>
  <c r="BC275" i="28"/>
  <c r="AU275" i="28"/>
  <c r="AW275" i="28" s="1"/>
  <c r="BC274" i="28"/>
  <c r="AU274" i="28"/>
  <c r="AW274" i="28" s="1"/>
  <c r="AC274" i="28"/>
  <c r="AL274" i="28" s="1"/>
  <c r="BC273" i="28"/>
  <c r="AU273" i="28"/>
  <c r="AW273" i="28" s="1"/>
  <c r="BC272" i="28"/>
  <c r="AU272" i="28"/>
  <c r="AC272" i="28"/>
  <c r="AL272" i="28" s="1"/>
  <c r="BC271" i="28"/>
  <c r="AU271" i="28"/>
  <c r="AC271" i="28"/>
  <c r="AL271" i="28" s="1"/>
  <c r="BC270" i="28"/>
  <c r="AU270" i="28"/>
  <c r="W270" i="28"/>
  <c r="AL270" i="28" s="1"/>
  <c r="BC269" i="28"/>
  <c r="AU269" i="28"/>
  <c r="AW269" i="28" s="1"/>
  <c r="BC268" i="28"/>
  <c r="AQ268" i="28"/>
  <c r="AP268" i="28"/>
  <c r="AN268" i="28"/>
  <c r="V268" i="28"/>
  <c r="W268" i="28" s="1"/>
  <c r="P268" i="28"/>
  <c r="Q268" i="28" s="1"/>
  <c r="I268" i="28"/>
  <c r="BC267" i="28"/>
  <c r="AP267" i="28"/>
  <c r="AN267" i="28"/>
  <c r="V267" i="28"/>
  <c r="W267" i="28" s="1"/>
  <c r="P267" i="28"/>
  <c r="Q267" i="28" s="1"/>
  <c r="G267" i="28"/>
  <c r="I267" i="28" s="1"/>
  <c r="BC266" i="28"/>
  <c r="AU266" i="28"/>
  <c r="W266" i="28"/>
  <c r="Q266" i="28"/>
  <c r="BC265" i="28"/>
  <c r="AU265" i="28"/>
  <c r="W265" i="28"/>
  <c r="Q265" i="28"/>
  <c r="BC264" i="28"/>
  <c r="AU264" i="28"/>
  <c r="W264" i="28"/>
  <c r="Q264" i="28"/>
  <c r="BC263" i="28"/>
  <c r="AU263" i="28"/>
  <c r="W263" i="28"/>
  <c r="Q263" i="28"/>
  <c r="BC262" i="28"/>
  <c r="AU262" i="28"/>
  <c r="AW262" i="28" s="1"/>
  <c r="G262" i="28"/>
  <c r="I262" i="28" s="1"/>
  <c r="BC261" i="28"/>
  <c r="AU261" i="28"/>
  <c r="AW261" i="28" s="1"/>
  <c r="G261" i="28"/>
  <c r="I261" i="28" s="1"/>
  <c r="BC260" i="28"/>
  <c r="AU260" i="28"/>
  <c r="AW260" i="28" s="1"/>
  <c r="G260" i="28"/>
  <c r="I260" i="28" s="1"/>
  <c r="BC259" i="28"/>
  <c r="AU259" i="28"/>
  <c r="G259" i="28"/>
  <c r="I259" i="28" s="1"/>
  <c r="BC258" i="28"/>
  <c r="AU258" i="28"/>
  <c r="AW258" i="28" s="1"/>
  <c r="W258" i="28"/>
  <c r="AL258" i="28" s="1"/>
  <c r="G258" i="28"/>
  <c r="BC257" i="28"/>
  <c r="AU257" i="28"/>
  <c r="AW257" i="28" s="1"/>
  <c r="W257" i="28"/>
  <c r="AL257" i="28" s="1"/>
  <c r="G257" i="28"/>
  <c r="I257" i="28" s="1"/>
  <c r="BC256" i="28"/>
  <c r="AU256" i="28"/>
  <c r="AW256" i="28" s="1"/>
  <c r="W256" i="28"/>
  <c r="AL256" i="28" s="1"/>
  <c r="G256" i="28"/>
  <c r="I256" i="28" s="1"/>
  <c r="BC255" i="28"/>
  <c r="AU255" i="28"/>
  <c r="W255" i="28"/>
  <c r="Q255" i="28"/>
  <c r="BC254" i="28"/>
  <c r="AU254" i="28"/>
  <c r="W254" i="28"/>
  <c r="Q254" i="28"/>
  <c r="BC253" i="28"/>
  <c r="AU253" i="28"/>
  <c r="W253" i="28"/>
  <c r="P253" i="28"/>
  <c r="Q253" i="28" s="1"/>
  <c r="BC252" i="28"/>
  <c r="AU252" i="28"/>
  <c r="AC252" i="28"/>
  <c r="Q252" i="28"/>
  <c r="BC251" i="28"/>
  <c r="AU251" i="28"/>
  <c r="AC251" i="28"/>
  <c r="W251" i="28"/>
  <c r="Q251" i="28"/>
  <c r="H251" i="28"/>
  <c r="G251" i="28"/>
  <c r="BC250" i="28"/>
  <c r="AU250" i="28"/>
  <c r="AC250" i="28"/>
  <c r="W250" i="28"/>
  <c r="J250" i="28"/>
  <c r="K250" i="28" s="1"/>
  <c r="G250" i="28"/>
  <c r="I250" i="28" s="1"/>
  <c r="BC249" i="28"/>
  <c r="AU249" i="28"/>
  <c r="W249" i="28"/>
  <c r="J249" i="28"/>
  <c r="K249" i="28" s="1"/>
  <c r="G249" i="28"/>
  <c r="I249" i="28" s="1"/>
  <c r="BC248" i="28"/>
  <c r="AU248" i="28"/>
  <c r="AW248" i="28" s="1"/>
  <c r="AG248" i="28"/>
  <c r="AC248" i="28"/>
  <c r="W248" i="28"/>
  <c r="Q248" i="28"/>
  <c r="K248" i="28"/>
  <c r="BC247" i="28"/>
  <c r="AU247" i="28"/>
  <c r="AG247" i="28"/>
  <c r="AC247" i="28"/>
  <c r="K247" i="28"/>
  <c r="G247" i="28"/>
  <c r="I247" i="28" s="1"/>
  <c r="BC246" i="28"/>
  <c r="AU246" i="28"/>
  <c r="AG246" i="28"/>
  <c r="AC246" i="28"/>
  <c r="K246" i="28"/>
  <c r="G246" i="28"/>
  <c r="I246" i="28" s="1"/>
  <c r="BC245" i="28"/>
  <c r="AU245" i="28"/>
  <c r="AG245" i="28"/>
  <c r="AC245" i="28"/>
  <c r="K245" i="28"/>
  <c r="G245" i="28"/>
  <c r="I245" i="28" s="1"/>
  <c r="BC244" i="28"/>
  <c r="AU244" i="28"/>
  <c r="W244" i="28"/>
  <c r="Q244" i="28"/>
  <c r="G244" i="28"/>
  <c r="I244" i="28" s="1"/>
  <c r="BC243" i="28"/>
  <c r="AU243" i="28"/>
  <c r="AW243" i="28" s="1"/>
  <c r="BC242" i="28"/>
  <c r="AU242" i="28"/>
  <c r="AW242" i="28" s="1"/>
  <c r="AK242" i="28"/>
  <c r="R242" i="28"/>
  <c r="S242" i="28" s="1"/>
  <c r="BC241" i="28"/>
  <c r="AU241" i="28"/>
  <c r="AK241" i="28"/>
  <c r="S241" i="28"/>
  <c r="BC240" i="28"/>
  <c r="AU240" i="28"/>
  <c r="AW240" i="28" s="1"/>
  <c r="BC239" i="28"/>
  <c r="AU239" i="28"/>
  <c r="AW239" i="28" s="1"/>
  <c r="BC238" i="28"/>
  <c r="AU238" i="28"/>
  <c r="AW238" i="28" s="1"/>
  <c r="BC237" i="28"/>
  <c r="AU237" i="28"/>
  <c r="AW237" i="28" s="1"/>
  <c r="BC236" i="28"/>
  <c r="AU236" i="28"/>
  <c r="Q236" i="28"/>
  <c r="AL236" i="28" s="1"/>
  <c r="BC235" i="28"/>
  <c r="AU235" i="28"/>
  <c r="AW235" i="28" s="1"/>
  <c r="BC234" i="28"/>
  <c r="AU234" i="28"/>
  <c r="AW234" i="28" s="1"/>
  <c r="BC233" i="28"/>
  <c r="AU233" i="28"/>
  <c r="AK233" i="28"/>
  <c r="S233" i="28"/>
  <c r="BC232" i="28"/>
  <c r="AU232" i="28"/>
  <c r="AK232" i="28"/>
  <c r="S232" i="28"/>
  <c r="BC231" i="28"/>
  <c r="AU231" i="28"/>
  <c r="AW231" i="28" s="1"/>
  <c r="BC230" i="28"/>
  <c r="AU230" i="28"/>
  <c r="AK230" i="28"/>
  <c r="AL230" i="28" s="1"/>
  <c r="BC229" i="28"/>
  <c r="AU229" i="28"/>
  <c r="AK229" i="28"/>
  <c r="S229" i="28"/>
  <c r="BC228" i="28"/>
  <c r="AU228" i="28"/>
  <c r="AW228" i="28" s="1"/>
  <c r="AK228" i="28"/>
  <c r="S228" i="28"/>
  <c r="BC227" i="28"/>
  <c r="AU227" i="28"/>
  <c r="AW227" i="28" s="1"/>
  <c r="BC226" i="28"/>
  <c r="AU226" i="28"/>
  <c r="AW226" i="28" s="1"/>
  <c r="BC225" i="28"/>
  <c r="AU225" i="28"/>
  <c r="AW225" i="28" s="1"/>
  <c r="BC224" i="28"/>
  <c r="AU224" i="28"/>
  <c r="AK224" i="28"/>
  <c r="AL224" i="28" s="1"/>
  <c r="BC223" i="28"/>
  <c r="AU223" i="28"/>
  <c r="AW223" i="28" s="1"/>
  <c r="BC222" i="28"/>
  <c r="AU222" i="28"/>
  <c r="AW222" i="28" s="1"/>
  <c r="BC221" i="28"/>
  <c r="AU221" i="28"/>
  <c r="AW221" i="28" s="1"/>
  <c r="BC220" i="28"/>
  <c r="AU220" i="28"/>
  <c r="AK220" i="28"/>
  <c r="AL220" i="28" s="1"/>
  <c r="BC219" i="28"/>
  <c r="AU219" i="28"/>
  <c r="AK219" i="28"/>
  <c r="AL219" i="28" s="1"/>
  <c r="BC218" i="28"/>
  <c r="AU218" i="28"/>
  <c r="AK218" i="28"/>
  <c r="AL218" i="28" s="1"/>
  <c r="BC217" i="28"/>
  <c r="AU217" i="28"/>
  <c r="AK217" i="28"/>
  <c r="AL217" i="28" s="1"/>
  <c r="BC216" i="28"/>
  <c r="AU216" i="28"/>
  <c r="AK216" i="28"/>
  <c r="AL216" i="28" s="1"/>
  <c r="BC215" i="28"/>
  <c r="AU215" i="28"/>
  <c r="AK215" i="28"/>
  <c r="AL215" i="28" s="1"/>
  <c r="BC214" i="28"/>
  <c r="AU214" i="28"/>
  <c r="AW214" i="28" s="1"/>
  <c r="AK214" i="28"/>
  <c r="S214" i="28"/>
  <c r="BC213" i="28"/>
  <c r="AU213" i="28"/>
  <c r="AW213" i="28" s="1"/>
  <c r="AK213" i="28"/>
  <c r="S213" i="28"/>
  <c r="BC212" i="28"/>
  <c r="AU212" i="28"/>
  <c r="AW212" i="28" s="1"/>
  <c r="AK212" i="28"/>
  <c r="S212" i="28"/>
  <c r="BC211" i="28"/>
  <c r="AU211" i="28"/>
  <c r="AW211" i="28" s="1"/>
  <c r="AK211" i="28"/>
  <c r="S211" i="28"/>
  <c r="BC210" i="28"/>
  <c r="AU210" i="28"/>
  <c r="AW210" i="28" s="1"/>
  <c r="AK210" i="28"/>
  <c r="S210" i="28"/>
  <c r="BC209" i="28"/>
  <c r="AU209" i="28"/>
  <c r="AW209" i="28" s="1"/>
  <c r="AK209" i="28"/>
  <c r="S209" i="28"/>
  <c r="BC208" i="28"/>
  <c r="AU208" i="28"/>
  <c r="AW208" i="28" s="1"/>
  <c r="AK208" i="28"/>
  <c r="S208" i="28"/>
  <c r="BC207" i="28"/>
  <c r="AU207" i="28"/>
  <c r="AW207" i="28" s="1"/>
  <c r="AK207" i="28"/>
  <c r="S207" i="28"/>
  <c r="BC206" i="28"/>
  <c r="AU206" i="28"/>
  <c r="AW206" i="28" s="1"/>
  <c r="AK206" i="28"/>
  <c r="S206" i="28"/>
  <c r="BC205" i="28"/>
  <c r="AQ205" i="28"/>
  <c r="AN205" i="28"/>
  <c r="AJ205" i="28"/>
  <c r="AK205" i="28" s="1"/>
  <c r="R205" i="28"/>
  <c r="S205" i="28" s="1"/>
  <c r="BC204" i="28"/>
  <c r="AU204" i="28"/>
  <c r="AK204" i="28"/>
  <c r="AL204" i="28" s="1"/>
  <c r="BC203" i="28"/>
  <c r="AU203" i="28"/>
  <c r="AW203" i="28" s="1"/>
  <c r="AK203" i="28"/>
  <c r="S203" i="28"/>
  <c r="BC202" i="28"/>
  <c r="AU202" i="28"/>
  <c r="AK202" i="28"/>
  <c r="S202" i="28"/>
  <c r="BC201" i="28"/>
  <c r="AU201" i="28"/>
  <c r="AK201" i="28"/>
  <c r="S201" i="28"/>
  <c r="BC200" i="28"/>
  <c r="AU200" i="28"/>
  <c r="AK200" i="28"/>
  <c r="S200" i="28"/>
  <c r="BC199" i="28"/>
  <c r="AU199" i="28"/>
  <c r="AK199" i="28"/>
  <c r="S199" i="28"/>
  <c r="BC198" i="28"/>
  <c r="AU198" i="28"/>
  <c r="AW198" i="28" s="1"/>
  <c r="AK198" i="28"/>
  <c r="S198" i="28"/>
  <c r="BC197" i="28"/>
  <c r="AU197" i="28"/>
  <c r="AK197" i="28"/>
  <c r="S197" i="28"/>
  <c r="BC196" i="28"/>
  <c r="AU196" i="28"/>
  <c r="S196" i="28"/>
  <c r="AL196" i="28" s="1"/>
  <c r="BC195" i="28"/>
  <c r="AU195" i="28"/>
  <c r="AK195" i="28"/>
  <c r="S195" i="28"/>
  <c r="BC194" i="28"/>
  <c r="AU194" i="28"/>
  <c r="AC194" i="28"/>
  <c r="AL194" i="28" s="1"/>
  <c r="G194" i="28"/>
  <c r="I194" i="28" s="1"/>
  <c r="BC193" i="28"/>
  <c r="AU193" i="28"/>
  <c r="AI193" i="28"/>
  <c r="AC193" i="28"/>
  <c r="G193" i="28"/>
  <c r="I193" i="28" s="1"/>
  <c r="BC192" i="28"/>
  <c r="AU192" i="28"/>
  <c r="AI192" i="28"/>
  <c r="AC192" i="28"/>
  <c r="G192" i="28"/>
  <c r="I192" i="28" s="1"/>
  <c r="BC191" i="28"/>
  <c r="AU191" i="28"/>
  <c r="AI191" i="28"/>
  <c r="AC191" i="28"/>
  <c r="G191" i="28"/>
  <c r="I191" i="28" s="1"/>
  <c r="BC190" i="28"/>
  <c r="AQ190" i="28"/>
  <c r="AN190" i="28"/>
  <c r="BC189" i="28"/>
  <c r="AU189" i="28"/>
  <c r="AW189" i="28" s="1"/>
  <c r="AI189" i="28"/>
  <c r="AG189" i="28"/>
  <c r="AC189" i="28"/>
  <c r="K189" i="28"/>
  <c r="BC188" i="28"/>
  <c r="AP188" i="28"/>
  <c r="AN188" i="28"/>
  <c r="AU188" i="28" s="1"/>
  <c r="AW188" i="28" s="1"/>
  <c r="G188" i="28"/>
  <c r="I188" i="28" s="1"/>
  <c r="BC187" i="28"/>
  <c r="AQ187" i="28"/>
  <c r="AP187" i="28"/>
  <c r="AO187" i="28"/>
  <c r="AN187" i="28"/>
  <c r="AI187" i="28"/>
  <c r="AB187" i="28"/>
  <c r="AC187" i="28" s="1"/>
  <c r="G187" i="28"/>
  <c r="I187" i="28" s="1"/>
  <c r="BC186" i="28"/>
  <c r="AU186" i="28"/>
  <c r="AI186" i="28"/>
  <c r="AC186" i="28"/>
  <c r="G186" i="28"/>
  <c r="I186" i="28" s="1"/>
  <c r="BC185" i="28"/>
  <c r="AU185" i="28"/>
  <c r="AW185" i="28" s="1"/>
  <c r="BC184" i="28"/>
  <c r="AU184" i="28"/>
  <c r="AI184" i="28"/>
  <c r="AC184" i="28"/>
  <c r="BC183" i="28"/>
  <c r="AU183" i="28"/>
  <c r="AW183" i="28" s="1"/>
  <c r="BC182" i="28"/>
  <c r="AU182" i="28"/>
  <c r="G182" i="28"/>
  <c r="I182" i="28" s="1"/>
  <c r="BC181" i="28"/>
  <c r="AU181" i="28"/>
  <c r="G181" i="28"/>
  <c r="I181" i="28" s="1"/>
  <c r="BC180" i="28"/>
  <c r="AU180" i="28"/>
  <c r="AW180" i="28" s="1"/>
  <c r="G180" i="28"/>
  <c r="I180" i="28" s="1"/>
  <c r="BC179" i="28"/>
  <c r="AU179" i="28"/>
  <c r="G179" i="28"/>
  <c r="I179" i="28" s="1"/>
  <c r="BC178" i="28"/>
  <c r="AU178" i="28"/>
  <c r="AW178" i="28" s="1"/>
  <c r="G178" i="28"/>
  <c r="BC177" i="28"/>
  <c r="AU177" i="28"/>
  <c r="AW177" i="28" s="1"/>
  <c r="AI177" i="28"/>
  <c r="I177" i="28"/>
  <c r="BC176" i="28"/>
  <c r="AU176" i="28"/>
  <c r="AI176" i="28"/>
  <c r="AC176" i="28"/>
  <c r="I176" i="28"/>
  <c r="BC175" i="28"/>
  <c r="AU175" i="28"/>
  <c r="AW175" i="28" s="1"/>
  <c r="AI175" i="28"/>
  <c r="I175" i="28"/>
  <c r="BC174" i="28"/>
  <c r="AQ174" i="28"/>
  <c r="AN174" i="28"/>
  <c r="AH174" i="28"/>
  <c r="AI174" i="28" s="1"/>
  <c r="AD174" i="28"/>
  <c r="AE174" i="28" s="1"/>
  <c r="BC173" i="28"/>
  <c r="AU173" i="28"/>
  <c r="AI173" i="28"/>
  <c r="AE173" i="28"/>
  <c r="BC172" i="28"/>
  <c r="AU172" i="28"/>
  <c r="AW172" i="28" s="1"/>
  <c r="AI172" i="28"/>
  <c r="AZ171" i="28"/>
  <c r="AU171" i="28"/>
  <c r="AI171" i="28"/>
  <c r="M171" i="28"/>
  <c r="BC170" i="28"/>
  <c r="AU170" i="28"/>
  <c r="AI170" i="28"/>
  <c r="M170" i="28"/>
  <c r="BC169" i="28"/>
  <c r="AU169" i="28"/>
  <c r="AK169" i="28"/>
  <c r="AL169" i="28" s="1"/>
  <c r="BC168" i="28"/>
  <c r="AQ168" i="28"/>
  <c r="AP168" i="28"/>
  <c r="AN168" i="28"/>
  <c r="AB168" i="28"/>
  <c r="AC168" i="28" s="1"/>
  <c r="AL168" i="28" s="1"/>
  <c r="G168" i="28"/>
  <c r="I168" i="28" s="1"/>
  <c r="BC167" i="28"/>
  <c r="AU167" i="28"/>
  <c r="AW167" i="28" s="1"/>
  <c r="BC166" i="28"/>
  <c r="AU166" i="28"/>
  <c r="AW166" i="28" s="1"/>
  <c r="BC165" i="28"/>
  <c r="AW165" i="28"/>
  <c r="I165" i="28"/>
  <c r="BC164" i="28"/>
  <c r="AU164" i="28"/>
  <c r="AW164" i="28" s="1"/>
  <c r="BC163" i="28"/>
  <c r="AQ163" i="28"/>
  <c r="AO163" i="28"/>
  <c r="AN163" i="28"/>
  <c r="AD163" i="28"/>
  <c r="AE163" i="28" s="1"/>
  <c r="L163" i="28"/>
  <c r="M163" i="28" s="1"/>
  <c r="G163" i="28"/>
  <c r="BC162" i="28"/>
  <c r="AU162" i="28"/>
  <c r="AE162" i="28"/>
  <c r="M162" i="28"/>
  <c r="BC161" i="28"/>
  <c r="AU161" i="28"/>
  <c r="AI161" i="28"/>
  <c r="M161" i="28"/>
  <c r="I161" i="28"/>
  <c r="BC160" i="28"/>
  <c r="AU160" i="28"/>
  <c r="AI160" i="28"/>
  <c r="M160" i="28"/>
  <c r="I160" i="28"/>
  <c r="BC159" i="28"/>
  <c r="AU159" i="28"/>
  <c r="AW159" i="28" s="1"/>
  <c r="AG159" i="28"/>
  <c r="K159" i="28"/>
  <c r="G159" i="28"/>
  <c r="I159" i="28" s="1"/>
  <c r="BC158" i="28"/>
  <c r="AU158" i="28"/>
  <c r="AF158" i="28"/>
  <c r="AG158" i="28" s="1"/>
  <c r="J158" i="28"/>
  <c r="K158" i="28" s="1"/>
  <c r="BC157" i="28"/>
  <c r="AU157" i="28"/>
  <c r="AF157" i="28"/>
  <c r="AG157" i="28" s="1"/>
  <c r="K157" i="28"/>
  <c r="BC156" i="28"/>
  <c r="AU156" i="28"/>
  <c r="AF156" i="28"/>
  <c r="AG156" i="28" s="1"/>
  <c r="J156" i="28"/>
  <c r="K156" i="28" s="1"/>
  <c r="BC155" i="28"/>
  <c r="AU155" i="28"/>
  <c r="AF155" i="28"/>
  <c r="AG155" i="28" s="1"/>
  <c r="J155" i="28"/>
  <c r="K155" i="28" s="1"/>
  <c r="BC154" i="28"/>
  <c r="AU154" i="28"/>
  <c r="AW154" i="28" s="1"/>
  <c r="AG154" i="28"/>
  <c r="AC154" i="28"/>
  <c r="W154" i="28"/>
  <c r="Q154" i="28"/>
  <c r="K154" i="28"/>
  <c r="I154" i="28"/>
  <c r="BC153" i="28"/>
  <c r="AU153" i="28"/>
  <c r="AG153" i="28"/>
  <c r="K153" i="28"/>
  <c r="BC152" i="28"/>
  <c r="AU152" i="28"/>
  <c r="AF152" i="28"/>
  <c r="AG152" i="28" s="1"/>
  <c r="J152" i="28"/>
  <c r="K152" i="28" s="1"/>
  <c r="BC151" i="28"/>
  <c r="AU151" i="28"/>
  <c r="AF151" i="28"/>
  <c r="AG151" i="28" s="1"/>
  <c r="J151" i="28"/>
  <c r="K151" i="28" s="1"/>
  <c r="BC150" i="28"/>
  <c r="AU150" i="28"/>
  <c r="AW150" i="28" s="1"/>
  <c r="BC149" i="28"/>
  <c r="AU149" i="28"/>
  <c r="AW149" i="28" s="1"/>
  <c r="BC148" i="28"/>
  <c r="AU148" i="28"/>
  <c r="AI148" i="28"/>
  <c r="AF148" i="28"/>
  <c r="AG148" i="28" s="1"/>
  <c r="L148" i="28"/>
  <c r="M148" i="28" s="1"/>
  <c r="J148" i="28"/>
  <c r="K148" i="28" s="1"/>
  <c r="G148" i="28"/>
  <c r="I148" i="28" s="1"/>
  <c r="BC147" i="28"/>
  <c r="AU147" i="28"/>
  <c r="AG147" i="28"/>
  <c r="AC147" i="28"/>
  <c r="W147" i="28"/>
  <c r="K147" i="28"/>
  <c r="G147" i="28"/>
  <c r="I147" i="28" s="1"/>
  <c r="BC146" i="28"/>
  <c r="AU146" i="28"/>
  <c r="AF146" i="28"/>
  <c r="AG146" i="28" s="1"/>
  <c r="W146" i="28"/>
  <c r="J146" i="28"/>
  <c r="K146" i="28" s="1"/>
  <c r="G146" i="28"/>
  <c r="I146" i="28" s="1"/>
  <c r="BC145" i="28"/>
  <c r="AU145" i="28"/>
  <c r="AF145" i="28"/>
  <c r="AG145" i="28" s="1"/>
  <c r="J145" i="28"/>
  <c r="K145" i="28" s="1"/>
  <c r="G145" i="28"/>
  <c r="I145" i="28" s="1"/>
  <c r="BC144" i="28"/>
  <c r="AU144" i="28"/>
  <c r="AF144" i="28"/>
  <c r="AG144" i="28" s="1"/>
  <c r="J144" i="28"/>
  <c r="K144" i="28" s="1"/>
  <c r="G144" i="28"/>
  <c r="I144" i="28" s="1"/>
  <c r="BC143" i="28"/>
  <c r="AU143" i="28"/>
  <c r="AF143" i="28"/>
  <c r="AG143" i="28" s="1"/>
  <c r="W143" i="28"/>
  <c r="J143" i="28"/>
  <c r="K143" i="28" s="1"/>
  <c r="G143" i="28"/>
  <c r="I143" i="28" s="1"/>
  <c r="BC142" i="28"/>
  <c r="AU142" i="28"/>
  <c r="AF142" i="28"/>
  <c r="AG142" i="28" s="1"/>
  <c r="J142" i="28"/>
  <c r="K142" i="28" s="1"/>
  <c r="BC141" i="28"/>
  <c r="AU141" i="28"/>
  <c r="AI141" i="28"/>
  <c r="AF141" i="28"/>
  <c r="AG141" i="28" s="1"/>
  <c r="J141" i="28"/>
  <c r="K141" i="28" s="1"/>
  <c r="G141" i="28"/>
  <c r="I141" i="28" s="1"/>
  <c r="BC140" i="28"/>
  <c r="AU140" i="28"/>
  <c r="AI140" i="28"/>
  <c r="AF140" i="28"/>
  <c r="AG140" i="28" s="1"/>
  <c r="J140" i="28"/>
  <c r="K140" i="28" s="1"/>
  <c r="BC139" i="28"/>
  <c r="AU139" i="28"/>
  <c r="AF139" i="28"/>
  <c r="AG139" i="28" s="1"/>
  <c r="J139" i="28"/>
  <c r="K139" i="28" s="1"/>
  <c r="BC138" i="28"/>
  <c r="AU138" i="28"/>
  <c r="AK138" i="28"/>
  <c r="S138" i="28"/>
  <c r="BC137" i="28"/>
  <c r="AU137" i="28"/>
  <c r="W137" i="28"/>
  <c r="AL137" i="28" s="1"/>
  <c r="I137" i="28"/>
  <c r="BC136" i="28"/>
  <c r="AU136" i="28"/>
  <c r="W136" i="28"/>
  <c r="AL136" i="28" s="1"/>
  <c r="I136" i="28"/>
  <c r="BC135" i="28"/>
  <c r="AU135" i="28"/>
  <c r="O135" i="28"/>
  <c r="AL135" i="28" s="1"/>
  <c r="BC134" i="28"/>
  <c r="AU134" i="28"/>
  <c r="O134" i="28"/>
  <c r="AL134" i="28" s="1"/>
  <c r="G134" i="28"/>
  <c r="I134" i="28" s="1"/>
  <c r="BC133" i="28"/>
  <c r="AU133" i="28"/>
  <c r="O133" i="28"/>
  <c r="AL133" i="28" s="1"/>
  <c r="BC132" i="28"/>
  <c r="AU132" i="28"/>
  <c r="AK132" i="28"/>
  <c r="AL132" i="28" s="1"/>
  <c r="BC131" i="28"/>
  <c r="AU131" i="28"/>
  <c r="AW131" i="28" s="1"/>
  <c r="AG131" i="28"/>
  <c r="O131" i="28"/>
  <c r="K131" i="28"/>
  <c r="H131" i="28"/>
  <c r="G131" i="28"/>
  <c r="BC130" i="28"/>
  <c r="AU130" i="28"/>
  <c r="AG130" i="28"/>
  <c r="AC130" i="28"/>
  <c r="W130" i="28"/>
  <c r="O130" i="28"/>
  <c r="K130" i="28"/>
  <c r="I130" i="28"/>
  <c r="BC129" i="28"/>
  <c r="AU129" i="28"/>
  <c r="AG129" i="28"/>
  <c r="AC129" i="28"/>
  <c r="W129" i="28"/>
  <c r="O129" i="28"/>
  <c r="K129" i="28"/>
  <c r="I129" i="28"/>
  <c r="BC128" i="28"/>
  <c r="AU128" i="28"/>
  <c r="AG128" i="28"/>
  <c r="O128" i="28"/>
  <c r="K128" i="28"/>
  <c r="I128" i="28"/>
  <c r="BC127" i="28"/>
  <c r="AU127" i="28"/>
  <c r="AW127" i="28" s="1"/>
  <c r="AG127" i="28"/>
  <c r="AC127" i="28"/>
  <c r="O127" i="28"/>
  <c r="K127" i="28"/>
  <c r="G127" i="28"/>
  <c r="I127" i="28" s="1"/>
  <c r="BC126" i="28"/>
  <c r="AU126" i="28"/>
  <c r="AG126" i="28"/>
  <c r="AC126" i="28"/>
  <c r="O126" i="28"/>
  <c r="K126" i="28"/>
  <c r="G126" i="28"/>
  <c r="I126" i="28" s="1"/>
  <c r="BC125" i="28"/>
  <c r="AU125" i="28"/>
  <c r="Q125" i="28"/>
  <c r="AL125" i="28" s="1"/>
  <c r="BC124" i="28"/>
  <c r="AU124" i="28"/>
  <c r="AI124" i="28"/>
  <c r="I124" i="28"/>
  <c r="BC123" i="28"/>
  <c r="AU123" i="28"/>
  <c r="AW123" i="28" s="1"/>
  <c r="S123" i="28"/>
  <c r="AL123" i="28" s="1"/>
  <c r="BC122" i="28"/>
  <c r="AU122" i="28"/>
  <c r="AK122" i="28"/>
  <c r="S122" i="28"/>
  <c r="BC121" i="28"/>
  <c r="AU121" i="28"/>
  <c r="AK121" i="28"/>
  <c r="S121" i="28"/>
  <c r="BC120" i="28"/>
  <c r="AU120" i="28"/>
  <c r="AK120" i="28"/>
  <c r="S120" i="28"/>
  <c r="BC119" i="28"/>
  <c r="AU119" i="28"/>
  <c r="AK119" i="28"/>
  <c r="S119" i="28"/>
  <c r="BC118" i="28"/>
  <c r="AU118" i="28"/>
  <c r="AK118" i="28"/>
  <c r="S118" i="28"/>
  <c r="BC117" i="28"/>
  <c r="AU117" i="28"/>
  <c r="AW117" i="28" s="1"/>
  <c r="AK117" i="28"/>
  <c r="S117" i="28"/>
  <c r="BC116" i="28"/>
  <c r="AU116" i="28"/>
  <c r="AK116" i="28"/>
  <c r="S116" i="28"/>
  <c r="BC115" i="28"/>
  <c r="AU115" i="28"/>
  <c r="AC115" i="28"/>
  <c r="AL115" i="28" s="1"/>
  <c r="BC114" i="28"/>
  <c r="AU114" i="28"/>
  <c r="AW114" i="28" s="1"/>
  <c r="BC113" i="28"/>
  <c r="AU113" i="28"/>
  <c r="AK113" i="28"/>
  <c r="S113" i="28"/>
  <c r="BC112" i="28"/>
  <c r="AU112" i="28"/>
  <c r="AK112" i="28"/>
  <c r="S112" i="28"/>
  <c r="BC111" i="28"/>
  <c r="AU111" i="28"/>
  <c r="AK111" i="28"/>
  <c r="S111" i="28"/>
  <c r="BC110" i="28"/>
  <c r="AU110" i="28"/>
  <c r="AW110" i="28" s="1"/>
  <c r="BC109" i="28"/>
  <c r="AU109" i="28"/>
  <c r="AK109" i="28"/>
  <c r="S109" i="28"/>
  <c r="BC108" i="28"/>
  <c r="AU108" i="28"/>
  <c r="AW108" i="28" s="1"/>
  <c r="BC107" i="28"/>
  <c r="AU107" i="28"/>
  <c r="AK107" i="28"/>
  <c r="S107" i="28"/>
  <c r="BC106" i="28"/>
  <c r="AU106" i="28"/>
  <c r="AK106" i="28"/>
  <c r="S106" i="28"/>
  <c r="BC105" i="28"/>
  <c r="AU105" i="28"/>
  <c r="AW105" i="28" s="1"/>
  <c r="AI105" i="28"/>
  <c r="BC104" i="28"/>
  <c r="AU104" i="28"/>
  <c r="AW104" i="28" s="1"/>
  <c r="AI104" i="28"/>
  <c r="BC103" i="28"/>
  <c r="AU103" i="28"/>
  <c r="AW103" i="28" s="1"/>
  <c r="I103" i="28"/>
  <c r="BC102" i="28"/>
  <c r="AU102" i="28"/>
  <c r="AK102" i="28"/>
  <c r="S102" i="28"/>
  <c r="BC101" i="28"/>
  <c r="AU101" i="28"/>
  <c r="AK101" i="28"/>
  <c r="S101" i="28"/>
  <c r="BC100" i="28"/>
  <c r="AU100" i="28"/>
  <c r="Q100" i="28"/>
  <c r="AL100" i="28" s="1"/>
  <c r="BC99" i="28"/>
  <c r="AU99" i="28"/>
  <c r="AK99" i="28"/>
  <c r="S99" i="28"/>
  <c r="BC98" i="28"/>
  <c r="AU98" i="28"/>
  <c r="AW98" i="28" s="1"/>
  <c r="AC98" i="28"/>
  <c r="AL98" i="28" s="1"/>
  <c r="BC97" i="28"/>
  <c r="AU97" i="28"/>
  <c r="AC97" i="28"/>
  <c r="AL97" i="28" s="1"/>
  <c r="BC96" i="28"/>
  <c r="AU96" i="28"/>
  <c r="AW96" i="28" s="1"/>
  <c r="BC95" i="28"/>
  <c r="AU95" i="28"/>
  <c r="AC95" i="28"/>
  <c r="W95" i="28"/>
  <c r="Q95" i="28"/>
  <c r="I95" i="28"/>
  <c r="BC94" i="28"/>
  <c r="AU94" i="28"/>
  <c r="Y94" i="28"/>
  <c r="AL94" i="28" s="1"/>
  <c r="BC93" i="28"/>
  <c r="AU93" i="28"/>
  <c r="AG93" i="28"/>
  <c r="AC93" i="28"/>
  <c r="Y93" i="28"/>
  <c r="BC92" i="28"/>
  <c r="AU92" i="28"/>
  <c r="AG92" i="28"/>
  <c r="AC92" i="28"/>
  <c r="W92" i="28"/>
  <c r="Q92" i="28"/>
  <c r="K92" i="28"/>
  <c r="I92" i="28"/>
  <c r="BC91" i="28"/>
  <c r="AU91" i="28"/>
  <c r="AW91" i="28" s="1"/>
  <c r="BC90" i="28"/>
  <c r="AU90" i="28"/>
  <c r="AC90" i="28"/>
  <c r="W90" i="28"/>
  <c r="BC89" i="28"/>
  <c r="AU89" i="28"/>
  <c r="AW89" i="28" s="1"/>
  <c r="W89" i="28"/>
  <c r="Q89" i="28"/>
  <c r="BC88" i="28"/>
  <c r="AU88" i="28"/>
  <c r="AC88" i="28"/>
  <c r="W88" i="28"/>
  <c r="Q88" i="28"/>
  <c r="BC87" i="28"/>
  <c r="AU87" i="28"/>
  <c r="AW87" i="28" s="1"/>
  <c r="BC86" i="28"/>
  <c r="AU86" i="28"/>
  <c r="AW86" i="28" s="1"/>
  <c r="BC85" i="28"/>
  <c r="AU85" i="28"/>
  <c r="AW85" i="28" s="1"/>
  <c r="BC84" i="28"/>
  <c r="AU84" i="28"/>
  <c r="AC84" i="28"/>
  <c r="W84" i="28"/>
  <c r="Q84" i="28"/>
  <c r="BC83" i="28"/>
  <c r="AU83" i="28"/>
  <c r="AC83" i="28"/>
  <c r="AL83" i="28" s="1"/>
  <c r="I83" i="28"/>
  <c r="BC82" i="28"/>
  <c r="AQ82" i="28"/>
  <c r="AU82" i="28" s="1"/>
  <c r="J82" i="28"/>
  <c r="K82" i="28" s="1"/>
  <c r="AL82" i="28" s="1"/>
  <c r="BC81" i="28"/>
  <c r="AU81" i="28"/>
  <c r="AC81" i="28"/>
  <c r="W81" i="28"/>
  <c r="Q81" i="28"/>
  <c r="BC80" i="28"/>
  <c r="AU80" i="28"/>
  <c r="AW80" i="28" s="1"/>
  <c r="BC79" i="28"/>
  <c r="AU79" i="28"/>
  <c r="AW79" i="28" s="1"/>
  <c r="BC78" i="28"/>
  <c r="AU78" i="28"/>
  <c r="AW78" i="28" s="1"/>
  <c r="BC77" i="28"/>
  <c r="AU77" i="28"/>
  <c r="AW77" i="28" s="1"/>
  <c r="BC76" i="28"/>
  <c r="AQ76" i="28"/>
  <c r="AN76" i="28"/>
  <c r="BC75" i="28"/>
  <c r="AQ75" i="28"/>
  <c r="AN75" i="28"/>
  <c r="BC74" i="28"/>
  <c r="AU74" i="28"/>
  <c r="AW74" i="28" s="1"/>
  <c r="BC73" i="28"/>
  <c r="AU73" i="28"/>
  <c r="AW73" i="28" s="1"/>
  <c r="BC72" i="28"/>
  <c r="AU72" i="28"/>
  <c r="AW72" i="28" s="1"/>
  <c r="BC71" i="28"/>
  <c r="AU71" i="28"/>
  <c r="AW71" i="28" s="1"/>
  <c r="BC70" i="28"/>
  <c r="AU70" i="28"/>
  <c r="AW70" i="28" s="1"/>
  <c r="BC69" i="28"/>
  <c r="AU69" i="28"/>
  <c r="AW69" i="28" s="1"/>
  <c r="BC68" i="28"/>
  <c r="AU68" i="28"/>
  <c r="AW68" i="28" s="1"/>
  <c r="BC67" i="28"/>
  <c r="AU67" i="28"/>
  <c r="AW67" i="28" s="1"/>
  <c r="BC66" i="28"/>
  <c r="AQ66" i="28"/>
  <c r="AN66" i="28"/>
  <c r="AJ66" i="28"/>
  <c r="AK66" i="28" s="1"/>
  <c r="AL66" i="28" s="1"/>
  <c r="BC65" i="28"/>
  <c r="AU65" i="28"/>
  <c r="AK65" i="28"/>
  <c r="AL65" i="28" s="1"/>
  <c r="BC64" i="28"/>
  <c r="AQ64" i="28"/>
  <c r="AN64" i="28"/>
  <c r="AJ64" i="28"/>
  <c r="AK64" i="28" s="1"/>
  <c r="R64" i="28"/>
  <c r="S64" i="28" s="1"/>
  <c r="BC63" i="28"/>
  <c r="AQ63" i="28"/>
  <c r="AU63" i="28" s="1"/>
  <c r="AW63" i="28" s="1"/>
  <c r="BC62" i="28"/>
  <c r="AQ62" i="28"/>
  <c r="AU62" i="28" s="1"/>
  <c r="R62" i="28"/>
  <c r="S62" i="28" s="1"/>
  <c r="AL62" i="28" s="1"/>
  <c r="BC61" i="28"/>
  <c r="AU61" i="28"/>
  <c r="AW61" i="28" s="1"/>
  <c r="AG61" i="28"/>
  <c r="AC61" i="28"/>
  <c r="W61" i="28"/>
  <c r="Q61" i="28"/>
  <c r="K61" i="28"/>
  <c r="G61" i="28"/>
  <c r="I61" i="28" s="1"/>
  <c r="BC60" i="28"/>
  <c r="AU60" i="28"/>
  <c r="AG60" i="28"/>
  <c r="W60" i="28"/>
  <c r="Q60" i="28"/>
  <c r="G60" i="28"/>
  <c r="I60" i="28" s="1"/>
  <c r="BC59" i="28"/>
  <c r="AU59" i="28"/>
  <c r="AK59" i="28"/>
  <c r="S59" i="28"/>
  <c r="BC58" i="28"/>
  <c r="AU58" i="28"/>
  <c r="Y58" i="28"/>
  <c r="O58" i="28"/>
  <c r="BC57" i="28"/>
  <c r="AU57" i="28"/>
  <c r="Y57" i="28"/>
  <c r="AL57" i="28" s="1"/>
  <c r="BC56" i="28"/>
  <c r="AU56" i="28"/>
  <c r="Y56" i="28"/>
  <c r="AL56" i="28" s="1"/>
  <c r="BC55" i="28"/>
  <c r="AU55" i="28"/>
  <c r="AW55" i="28" s="1"/>
  <c r="Y55" i="28"/>
  <c r="AL55" i="28" s="1"/>
  <c r="BC54" i="28"/>
  <c r="AU54" i="28"/>
  <c r="Y54" i="28"/>
  <c r="AL54" i="28" s="1"/>
  <c r="BC53" i="28"/>
  <c r="AU53" i="28"/>
  <c r="AK53" i="28"/>
  <c r="AL53" i="28" s="1"/>
  <c r="BC52" i="28"/>
  <c r="AU52" i="28"/>
  <c r="AK52" i="28"/>
  <c r="S52" i="28"/>
  <c r="BC51" i="28"/>
  <c r="AU51" i="28"/>
  <c r="S51" i="28"/>
  <c r="AL51" i="28" s="1"/>
  <c r="BC50" i="28"/>
  <c r="AU50" i="28"/>
  <c r="S50" i="28"/>
  <c r="AL50" i="28" s="1"/>
  <c r="BC49" i="28"/>
  <c r="AU49" i="28"/>
  <c r="AW49" i="28" s="1"/>
  <c r="AI49" i="28"/>
  <c r="AL49" i="28" s="1"/>
  <c r="I49" i="28"/>
  <c r="BC48" i="28"/>
  <c r="AU48" i="28"/>
  <c r="AK48" i="28"/>
  <c r="S48" i="28"/>
  <c r="BC47" i="28"/>
  <c r="AU47" i="28"/>
  <c r="S47" i="28"/>
  <c r="AL47" i="28" s="1"/>
  <c r="BC46" i="28"/>
  <c r="AU46" i="28"/>
  <c r="AK46" i="28"/>
  <c r="S46" i="28"/>
  <c r="BC45" i="28"/>
  <c r="AU45" i="28"/>
  <c r="S45" i="28"/>
  <c r="AL45" i="28" s="1"/>
  <c r="BC44" i="28"/>
  <c r="AU44" i="28"/>
  <c r="W44" i="28"/>
  <c r="Q44" i="28"/>
  <c r="BC43" i="28"/>
  <c r="AU43" i="28"/>
  <c r="AW43" i="28" s="1"/>
  <c r="BC42" i="28"/>
  <c r="AU42" i="28"/>
  <c r="AW42" i="28" s="1"/>
  <c r="W42" i="28"/>
  <c r="AL42" i="28" s="1"/>
  <c r="BC41" i="28"/>
  <c r="AU41" i="28"/>
  <c r="AW41" i="28" s="1"/>
  <c r="BC40" i="28"/>
  <c r="AU40" i="28"/>
  <c r="AW40" i="28" s="1"/>
  <c r="BC39" i="28"/>
  <c r="AU39" i="28"/>
  <c r="AC39" i="28"/>
  <c r="W39" i="28"/>
  <c r="Q39" i="28"/>
  <c r="I39" i="28"/>
  <c r="BC38" i="28"/>
  <c r="AU38" i="28"/>
  <c r="W38" i="28"/>
  <c r="Q38" i="28"/>
  <c r="I38" i="28"/>
  <c r="BC37" i="28"/>
  <c r="AU37" i="28"/>
  <c r="AC37" i="28"/>
  <c r="AL37" i="28" s="1"/>
  <c r="AW37" i="28" s="1"/>
  <c r="BC36" i="28"/>
  <c r="AU36" i="28"/>
  <c r="AW36" i="28" s="1"/>
  <c r="BC35" i="28"/>
  <c r="AU35" i="28"/>
  <c r="Q35" i="28"/>
  <c r="AL35" i="28" s="1"/>
  <c r="BC34" i="28"/>
  <c r="AU34" i="28"/>
  <c r="Y34" i="28"/>
  <c r="AL34" i="28" s="1"/>
  <c r="BC33" i="28"/>
  <c r="AU33" i="28"/>
  <c r="AK33" i="28"/>
  <c r="S33" i="28"/>
  <c r="BC32" i="28"/>
  <c r="AU32" i="28"/>
  <c r="AC32" i="28"/>
  <c r="AL32" i="28" s="1"/>
  <c r="BC31" i="28"/>
  <c r="AU31" i="28"/>
  <c r="AC31" i="28"/>
  <c r="AL31" i="28" s="1"/>
  <c r="BC30" i="28"/>
  <c r="AU30" i="28"/>
  <c r="AW30" i="28" s="1"/>
  <c r="BC29" i="28"/>
  <c r="AU29" i="28"/>
  <c r="AW29" i="28" s="1"/>
  <c r="BC28" i="28"/>
  <c r="AU28" i="28"/>
  <c r="AW28" i="28" s="1"/>
  <c r="Y28" i="28"/>
  <c r="AL28" i="28" s="1"/>
  <c r="BC27" i="28"/>
  <c r="AU27" i="28"/>
  <c r="AW27" i="28" s="1"/>
  <c r="Y27" i="28"/>
  <c r="AL27" i="28" s="1"/>
  <c r="BC26" i="28"/>
  <c r="AU26" i="28"/>
  <c r="AW26" i="28" s="1"/>
  <c r="Y26" i="28"/>
  <c r="AL26" i="28" s="1"/>
  <c r="BC25" i="28"/>
  <c r="AU25" i="28"/>
  <c r="AW25" i="28" s="1"/>
  <c r="BC24" i="28"/>
  <c r="AU24" i="28"/>
  <c r="AW24" i="28" s="1"/>
  <c r="BC23" i="28"/>
  <c r="AU23" i="28"/>
  <c r="AW23" i="28" s="1"/>
  <c r="W23" i="28"/>
  <c r="Q23" i="28"/>
  <c r="BC22" i="28"/>
  <c r="AU22" i="28"/>
  <c r="AK22" i="28"/>
  <c r="S22" i="28"/>
  <c r="BC21" i="28"/>
  <c r="AU21" i="28"/>
  <c r="AW21" i="28" s="1"/>
  <c r="BC20" i="28"/>
  <c r="AU20" i="28"/>
  <c r="AW20" i="28" s="1"/>
  <c r="W20" i="28"/>
  <c r="Q20" i="28"/>
  <c r="BC19" i="28"/>
  <c r="AU19" i="28"/>
  <c r="AG19" i="28"/>
  <c r="AC19" i="28"/>
  <c r="W19" i="28"/>
  <c r="Q19" i="28"/>
  <c r="I19" i="28"/>
  <c r="BC18" i="28"/>
  <c r="AU18" i="28"/>
  <c r="W18" i="28"/>
  <c r="AL18" i="28" s="1"/>
  <c r="BC17" i="28"/>
  <c r="AU17" i="28"/>
  <c r="AW17" i="28" s="1"/>
  <c r="BC16" i="28"/>
  <c r="AU16" i="28"/>
  <c r="AC16" i="28"/>
  <c r="S16" i="28"/>
  <c r="BC15" i="28"/>
  <c r="AP15" i="28"/>
  <c r="AO15" i="28"/>
  <c r="AN15" i="28"/>
  <c r="H15" i="28"/>
  <c r="G15" i="28"/>
  <c r="BC14" i="28"/>
  <c r="AU14" i="28"/>
  <c r="AC14" i="28"/>
  <c r="W14" i="28"/>
  <c r="O14" i="28"/>
  <c r="G14" i="28"/>
  <c r="BC13" i="28"/>
  <c r="AU13" i="28"/>
  <c r="AA13" i="28"/>
  <c r="AL13" i="28" s="1"/>
  <c r="BC12" i="28"/>
  <c r="AU12" i="28"/>
  <c r="AW12" i="28" s="1"/>
  <c r="BC11" i="28"/>
  <c r="AU11" i="28"/>
  <c r="AA11" i="28"/>
  <c r="AL11" i="28" s="1"/>
  <c r="BC10" i="28"/>
  <c r="AU10" i="28"/>
  <c r="AW10" i="28" s="1"/>
  <c r="BC9" i="28"/>
  <c r="AU9" i="28"/>
  <c r="AW9" i="28" s="1"/>
  <c r="BC8" i="28"/>
  <c r="AU8" i="28"/>
  <c r="AW8" i="28" s="1"/>
  <c r="N8" i="28"/>
  <c r="O8" i="28" s="1"/>
  <c r="BC7" i="28"/>
  <c r="AU7" i="28"/>
  <c r="AC7" i="28"/>
  <c r="AL7" i="28" s="1"/>
  <c r="BC6" i="28"/>
  <c r="AU6" i="28"/>
  <c r="O6" i="28"/>
  <c r="AL6" i="28" s="1"/>
  <c r="AU5" i="28"/>
  <c r="AC5" i="28"/>
  <c r="W5" i="28"/>
  <c r="O5" i="28"/>
  <c r="AU4" i="28"/>
  <c r="W4" i="28"/>
  <c r="AW135" i="28" l="1"/>
  <c r="AX135" i="28" s="1"/>
  <c r="AW196" i="28"/>
  <c r="AX25" i="28"/>
  <c r="BD25" i="28" s="1"/>
  <c r="AX74" i="28"/>
  <c r="BD74" i="28" s="1"/>
  <c r="AX79" i="28"/>
  <c r="BD79" i="28" s="1"/>
  <c r="AX154" i="28"/>
  <c r="BD154" i="28" s="1"/>
  <c r="AX175" i="28"/>
  <c r="BD175" i="28" s="1"/>
  <c r="AX178" i="28"/>
  <c r="BD178" i="28" s="1"/>
  <c r="AX227" i="28"/>
  <c r="BD227" i="28" s="1"/>
  <c r="AX240" i="28"/>
  <c r="BD240" i="28" s="1"/>
  <c r="AX283" i="28"/>
  <c r="BD283" i="28" s="1"/>
  <c r="AX331" i="28"/>
  <c r="BD331" i="28" s="1"/>
  <c r="AX30" i="28"/>
  <c r="BD30" i="28" s="1"/>
  <c r="AX41" i="28"/>
  <c r="BD41" i="28" s="1"/>
  <c r="AX87" i="28"/>
  <c r="BD87" i="28" s="1"/>
  <c r="AX166" i="28"/>
  <c r="BD166" i="28" s="1"/>
  <c r="AX222" i="28"/>
  <c r="BD222" i="28" s="1"/>
  <c r="AX231" i="28"/>
  <c r="BD231" i="28" s="1"/>
  <c r="AX235" i="28"/>
  <c r="BD235" i="28" s="1"/>
  <c r="AX275" i="28"/>
  <c r="BD275" i="28" s="1"/>
  <c r="AX322" i="28"/>
  <c r="BD322" i="28" s="1"/>
  <c r="AX336" i="28"/>
  <c r="BD336" i="28" s="1"/>
  <c r="AX299" i="28"/>
  <c r="BD299" i="28" s="1"/>
  <c r="AX61" i="28"/>
  <c r="BD61" i="28" s="1"/>
  <c r="AX117" i="28"/>
  <c r="BD117" i="28" s="1"/>
  <c r="AX211" i="28"/>
  <c r="BD211" i="28" s="1"/>
  <c r="AX9" i="28"/>
  <c r="BD9" i="28" s="1"/>
  <c r="AX42" i="28"/>
  <c r="BD42" i="28" s="1"/>
  <c r="AX49" i="28"/>
  <c r="BD49" i="28" s="1"/>
  <c r="AX70" i="28"/>
  <c r="BD70" i="28" s="1"/>
  <c r="AX91" i="28"/>
  <c r="BD91" i="28" s="1"/>
  <c r="AX96" i="28"/>
  <c r="BD96" i="28" s="1"/>
  <c r="AX103" i="28"/>
  <c r="BD103" i="28" s="1"/>
  <c r="AX114" i="28"/>
  <c r="BD114" i="28" s="1"/>
  <c r="AX131" i="28"/>
  <c r="BD131" i="28" s="1"/>
  <c r="AX150" i="28"/>
  <c r="BD150" i="28" s="1"/>
  <c r="AX228" i="28"/>
  <c r="BD228" i="28" s="1"/>
  <c r="AX300" i="28"/>
  <c r="BD300" i="28" s="1"/>
  <c r="AX343" i="28"/>
  <c r="BD343" i="28" s="1"/>
  <c r="AX149" i="28"/>
  <c r="BD149" i="28" s="1"/>
  <c r="AX337" i="28"/>
  <c r="BD337" i="28" s="1"/>
  <c r="AX338" i="28"/>
  <c r="BD338" i="28" s="1"/>
  <c r="AX68" i="28"/>
  <c r="BD68" i="28" s="1"/>
  <c r="AX290" i="28"/>
  <c r="BD290" i="28" s="1"/>
  <c r="AX223" i="28"/>
  <c r="BD223" i="28" s="1"/>
  <c r="AX284" i="28"/>
  <c r="BD284" i="28" s="1"/>
  <c r="AX10" i="28"/>
  <c r="BD10" i="28" s="1"/>
  <c r="AX27" i="28"/>
  <c r="BD27" i="28" s="1"/>
  <c r="AX43" i="28"/>
  <c r="BD43" i="28" s="1"/>
  <c r="AX71" i="28"/>
  <c r="BD71" i="28" s="1"/>
  <c r="AX180" i="28"/>
  <c r="BD180" i="28" s="1"/>
  <c r="AX237" i="28"/>
  <c r="BD237" i="28" s="1"/>
  <c r="AX256" i="28"/>
  <c r="BD256" i="28" s="1"/>
  <c r="AX277" i="28"/>
  <c r="BD277" i="28" s="1"/>
  <c r="AX281" i="28"/>
  <c r="BD281" i="28" s="1"/>
  <c r="AX285" i="28"/>
  <c r="BD285" i="28" s="1"/>
  <c r="AX295" i="28"/>
  <c r="BD295" i="28" s="1"/>
  <c r="AX301" i="28"/>
  <c r="BD301" i="28" s="1"/>
  <c r="AX328" i="28"/>
  <c r="BD328" i="28" s="1"/>
  <c r="AX8" i="28"/>
  <c r="BD8" i="28" s="1"/>
  <c r="AX80" i="28"/>
  <c r="BD80" i="28" s="1"/>
  <c r="AX110" i="28"/>
  <c r="BD110" i="28" s="1"/>
  <c r="AX258" i="28"/>
  <c r="BD258" i="28" s="1"/>
  <c r="AX26" i="28"/>
  <c r="BD26" i="28" s="1"/>
  <c r="AX167" i="28"/>
  <c r="BD167" i="28" s="1"/>
  <c r="AX36" i="28"/>
  <c r="BD36" i="28" s="1"/>
  <c r="AX104" i="28"/>
  <c r="BD104" i="28" s="1"/>
  <c r="AX203" i="28"/>
  <c r="BD203" i="28" s="1"/>
  <c r="AX206" i="28"/>
  <c r="BD206" i="28" s="1"/>
  <c r="AX209" i="28"/>
  <c r="BD209" i="28" s="1"/>
  <c r="AX212" i="28"/>
  <c r="BD212" i="28" s="1"/>
  <c r="AX319" i="28"/>
  <c r="BD319" i="28" s="1"/>
  <c r="AX339" i="28"/>
  <c r="BD339" i="28" s="1"/>
  <c r="AX287" i="28"/>
  <c r="BD287" i="28" s="1"/>
  <c r="AX323" i="28"/>
  <c r="BD323" i="28" s="1"/>
  <c r="AX17" i="28"/>
  <c r="BD17" i="28" s="1"/>
  <c r="AX23" i="28"/>
  <c r="BD23" i="28" s="1"/>
  <c r="AX63" i="28"/>
  <c r="BD63" i="28" s="1"/>
  <c r="AX72" i="28"/>
  <c r="BD72" i="28" s="1"/>
  <c r="AX77" i="28"/>
  <c r="BD77" i="28" s="1"/>
  <c r="AX108" i="28"/>
  <c r="BD108" i="28" s="1"/>
  <c r="AX164" i="28"/>
  <c r="BD164" i="28" s="1"/>
  <c r="AX185" i="28"/>
  <c r="BD185" i="28" s="1"/>
  <c r="AX225" i="28"/>
  <c r="BD225" i="28" s="1"/>
  <c r="AX238" i="28"/>
  <c r="BD238" i="28" s="1"/>
  <c r="AX242" i="28"/>
  <c r="BD242" i="28" s="1"/>
  <c r="AX260" i="28"/>
  <c r="BD260" i="28" s="1"/>
  <c r="AX273" i="28"/>
  <c r="BD273" i="28" s="1"/>
  <c r="AX302" i="28"/>
  <c r="BD302" i="28" s="1"/>
  <c r="AX329" i="28"/>
  <c r="BD329" i="28" s="1"/>
  <c r="AX262" i="28"/>
  <c r="BD262" i="28" s="1"/>
  <c r="AX214" i="28"/>
  <c r="BD214" i="28" s="1"/>
  <c r="AX28" i="28"/>
  <c r="BD28" i="28" s="1"/>
  <c r="AX85" i="28"/>
  <c r="BD85" i="28" s="1"/>
  <c r="AX159" i="28"/>
  <c r="BD159" i="28" s="1"/>
  <c r="AX177" i="28"/>
  <c r="BD177" i="28" s="1"/>
  <c r="AX269" i="28"/>
  <c r="BD269" i="28" s="1"/>
  <c r="AX292" i="28"/>
  <c r="BD292" i="28" s="1"/>
  <c r="AX320" i="28"/>
  <c r="BD320" i="28" s="1"/>
  <c r="AX325" i="28"/>
  <c r="BD325" i="28" s="1"/>
  <c r="AX334" i="28"/>
  <c r="BD334" i="28" s="1"/>
  <c r="AX340" i="28"/>
  <c r="BD340" i="28" s="1"/>
  <c r="AX123" i="28"/>
  <c r="BD123" i="28" s="1"/>
  <c r="AX342" i="28"/>
  <c r="BD342" i="28" s="1"/>
  <c r="AX20" i="28"/>
  <c r="BD20" i="28" s="1"/>
  <c r="AX24" i="28"/>
  <c r="BD24" i="28" s="1"/>
  <c r="AX67" i="28"/>
  <c r="BD67" i="28" s="1"/>
  <c r="AX73" i="28"/>
  <c r="BD73" i="28" s="1"/>
  <c r="AX78" i="28"/>
  <c r="BD78" i="28" s="1"/>
  <c r="AX89" i="28"/>
  <c r="BD89" i="28" s="1"/>
  <c r="AX98" i="28"/>
  <c r="BD98" i="28" s="1"/>
  <c r="AX105" i="28"/>
  <c r="BD105" i="28" s="1"/>
  <c r="AX189" i="28"/>
  <c r="BD189" i="28" s="1"/>
  <c r="AX226" i="28"/>
  <c r="BD226" i="28" s="1"/>
  <c r="AX239" i="28"/>
  <c r="BD239" i="28" s="1"/>
  <c r="AX243" i="28"/>
  <c r="BD243" i="28" s="1"/>
  <c r="AX257" i="28"/>
  <c r="BD257" i="28" s="1"/>
  <c r="AX303" i="28"/>
  <c r="BD303" i="28" s="1"/>
  <c r="AX330" i="28"/>
  <c r="BD330" i="28" s="1"/>
  <c r="AX21" i="28"/>
  <c r="BD21" i="28" s="1"/>
  <c r="AX69" i="28"/>
  <c r="BD69" i="28" s="1"/>
  <c r="AX183" i="28"/>
  <c r="BD183" i="28" s="1"/>
  <c r="AX280" i="28"/>
  <c r="BD280" i="28" s="1"/>
  <c r="AX188" i="28"/>
  <c r="BD188" i="28" s="1"/>
  <c r="AX208" i="28"/>
  <c r="BD208" i="28" s="1"/>
  <c r="AX12" i="28"/>
  <c r="BD12" i="28" s="1"/>
  <c r="AX29" i="28"/>
  <c r="BD29" i="28" s="1"/>
  <c r="AX40" i="28"/>
  <c r="BD40" i="28" s="1"/>
  <c r="AX55" i="28"/>
  <c r="BD55" i="28" s="1"/>
  <c r="AX86" i="28"/>
  <c r="BD86" i="28" s="1"/>
  <c r="AX127" i="28"/>
  <c r="BD127" i="28" s="1"/>
  <c r="AX165" i="28"/>
  <c r="BD165" i="28" s="1"/>
  <c r="AX172" i="28"/>
  <c r="BD172" i="28" s="1"/>
  <c r="AX198" i="28"/>
  <c r="BD198" i="28" s="1"/>
  <c r="AX207" i="28"/>
  <c r="BD207" i="28" s="1"/>
  <c r="AX210" i="28"/>
  <c r="BD210" i="28" s="1"/>
  <c r="AX213" i="28"/>
  <c r="BD213" i="28" s="1"/>
  <c r="AX221" i="28"/>
  <c r="BD221" i="28" s="1"/>
  <c r="AX234" i="28"/>
  <c r="BD234" i="28" s="1"/>
  <c r="AX261" i="28"/>
  <c r="BD261" i="28" s="1"/>
  <c r="AX274" i="28"/>
  <c r="BD274" i="28" s="1"/>
  <c r="AX296" i="28"/>
  <c r="BD296" i="28" s="1"/>
  <c r="AX321" i="28"/>
  <c r="BD321" i="28" s="1"/>
  <c r="AX335" i="28"/>
  <c r="BD335" i="28" s="1"/>
  <c r="AW45" i="28"/>
  <c r="AL33" i="28"/>
  <c r="AW33" i="28" s="1"/>
  <c r="AL119" i="28"/>
  <c r="AW119" i="28" s="1"/>
  <c r="I131" i="28"/>
  <c r="AU76" i="28"/>
  <c r="AW76" i="28" s="1"/>
  <c r="AU168" i="28"/>
  <c r="AW168" i="28" s="1"/>
  <c r="AW51" i="28"/>
  <c r="I15" i="28"/>
  <c r="AW272" i="28"/>
  <c r="AL64" i="28"/>
  <c r="AW56" i="28"/>
  <c r="AL296" i="28"/>
  <c r="AU64" i="28"/>
  <c r="AU163" i="28"/>
  <c r="AU66" i="28"/>
  <c r="AW66" i="28" s="1"/>
  <c r="AU187" i="28"/>
  <c r="AW187" i="28" s="1"/>
  <c r="AL117" i="28"/>
  <c r="AU268" i="28"/>
  <c r="AW268" i="28" s="1"/>
  <c r="AL162" i="28"/>
  <c r="AW162" i="28" s="1"/>
  <c r="AL116" i="28"/>
  <c r="AW116" i="28" s="1"/>
  <c r="AL128" i="28"/>
  <c r="AW128" i="28" s="1"/>
  <c r="AL130" i="28"/>
  <c r="AW130" i="28" s="1"/>
  <c r="AL22" i="28"/>
  <c r="AW22" i="28" s="1"/>
  <c r="AL290" i="28"/>
  <c r="AL151" i="28"/>
  <c r="AW151" i="28" s="1"/>
  <c r="AL139" i="28"/>
  <c r="AW139" i="28" s="1"/>
  <c r="AL201" i="28"/>
  <c r="AW201" i="28" s="1"/>
  <c r="AW97" i="28"/>
  <c r="AL138" i="28"/>
  <c r="AW138" i="28" s="1"/>
  <c r="AU304" i="28"/>
  <c r="AU305" i="28"/>
  <c r="AL333" i="28"/>
  <c r="AW333" i="28" s="1"/>
  <c r="AL312" i="28"/>
  <c r="AW312" i="28" s="1"/>
  <c r="AL19" i="28"/>
  <c r="AW19" i="28" s="1"/>
  <c r="AU205" i="28"/>
  <c r="AL287" i="28"/>
  <c r="AU15" i="28"/>
  <c r="AW15" i="28" s="1"/>
  <c r="AW34" i="28"/>
  <c r="AL113" i="28"/>
  <c r="AW113" i="28" s="1"/>
  <c r="AU174" i="28"/>
  <c r="AW216" i="28"/>
  <c r="AL233" i="28"/>
  <c r="AW233" i="28" s="1"/>
  <c r="AW271" i="28"/>
  <c r="AL16" i="28"/>
  <c r="AW16" i="28" s="1"/>
  <c r="AL20" i="28"/>
  <c r="AL153" i="28"/>
  <c r="AW153" i="28" s="1"/>
  <c r="AL191" i="28"/>
  <c r="AW191" i="28" s="1"/>
  <c r="AW54" i="28"/>
  <c r="AL147" i="28"/>
  <c r="AW147" i="28" s="1"/>
  <c r="AW7" i="28"/>
  <c r="AL58" i="28"/>
  <c r="AW58" i="28" s="1"/>
  <c r="AL5" i="28"/>
  <c r="AW5" i="28" s="1"/>
  <c r="AX5" i="28" s="1"/>
  <c r="AL161" i="28"/>
  <c r="AW161" i="28" s="1"/>
  <c r="AL208" i="28"/>
  <c r="AW219" i="28"/>
  <c r="AL202" i="28"/>
  <c r="AW202" i="28" s="1"/>
  <c r="AL207" i="28"/>
  <c r="AL313" i="28"/>
  <c r="AW313" i="28" s="1"/>
  <c r="AW65" i="28"/>
  <c r="AL299" i="28"/>
  <c r="AL309" i="28"/>
  <c r="AW309" i="28" s="1"/>
  <c r="AL311" i="28"/>
  <c r="AW311" i="28" s="1"/>
  <c r="AW345" i="28"/>
  <c r="AL159" i="28"/>
  <c r="AL170" i="28"/>
  <c r="AW170" i="28" s="1"/>
  <c r="AL316" i="28"/>
  <c r="AW316" i="28" s="1"/>
  <c r="AL241" i="28"/>
  <c r="AW241" i="28" s="1"/>
  <c r="AL251" i="28"/>
  <c r="AW251" i="28" s="1"/>
  <c r="AW217" i="28"/>
  <c r="AW220" i="28"/>
  <c r="AL327" i="28"/>
  <c r="AW327" i="28" s="1"/>
  <c r="AL244" i="28"/>
  <c r="AW244" i="28" s="1"/>
  <c r="AW13" i="28"/>
  <c r="AW32" i="28"/>
  <c r="AL265" i="28"/>
  <c r="AW265" i="28" s="1"/>
  <c r="AL112" i="28"/>
  <c r="AW112" i="28" s="1"/>
  <c r="AW115" i="28"/>
  <c r="AL118" i="28"/>
  <c r="AW118" i="28" s="1"/>
  <c r="AL144" i="28"/>
  <c r="AW144" i="28" s="1"/>
  <c r="AL152" i="28"/>
  <c r="AW152" i="28" s="1"/>
  <c r="AL200" i="28"/>
  <c r="AW200" i="28" s="1"/>
  <c r="AL252" i="28"/>
  <c r="AW252" i="28" s="1"/>
  <c r="AL48" i="28"/>
  <c r="AW48" i="28" s="1"/>
  <c r="AL315" i="28"/>
  <c r="AW315" i="28" s="1"/>
  <c r="AL52" i="28"/>
  <c r="AW52" i="28" s="1"/>
  <c r="AL131" i="28"/>
  <c r="AL250" i="28"/>
  <c r="AW250" i="28" s="1"/>
  <c r="AW100" i="28"/>
  <c r="AL121" i="28"/>
  <c r="AW121" i="28" s="1"/>
  <c r="AW341" i="28"/>
  <c r="AL297" i="28"/>
  <c r="AW297" i="28" s="1"/>
  <c r="AW11" i="28"/>
  <c r="AL14" i="28"/>
  <c r="AW14" i="28" s="1"/>
  <c r="AW230" i="28"/>
  <c r="AL106" i="28"/>
  <c r="AW106" i="28" s="1"/>
  <c r="AX248" i="28"/>
  <c r="BD248" i="28" s="1"/>
  <c r="AW279" i="28"/>
  <c r="AL84" i="28"/>
  <c r="AW84" i="28" s="1"/>
  <c r="AL245" i="28"/>
  <c r="AW245" i="28" s="1"/>
  <c r="AW318" i="28"/>
  <c r="AW50" i="28"/>
  <c r="AW133" i="28"/>
  <c r="AW179" i="28"/>
  <c r="AL193" i="28"/>
  <c r="AW193" i="28" s="1"/>
  <c r="AL211" i="28"/>
  <c r="AW306" i="28"/>
  <c r="AL111" i="28"/>
  <c r="AW111" i="28" s="1"/>
  <c r="AL160" i="28"/>
  <c r="AW160" i="28" s="1"/>
  <c r="AL197" i="28"/>
  <c r="AW197" i="28" s="1"/>
  <c r="AL60" i="28"/>
  <c r="AW60" i="28" s="1"/>
  <c r="AL107" i="28"/>
  <c r="AW107" i="28" s="1"/>
  <c r="AL4" i="28"/>
  <c r="AW4" i="28" s="1"/>
  <c r="AX4" i="28" s="1"/>
  <c r="BD4" i="28" s="1"/>
  <c r="AL59" i="28"/>
  <c r="AW59" i="28" s="1"/>
  <c r="AL122" i="28"/>
  <c r="AW122" i="28" s="1"/>
  <c r="AW134" i="28"/>
  <c r="AL155" i="28"/>
  <c r="AW155" i="28" s="1"/>
  <c r="AW35" i="28"/>
  <c r="AL38" i="28"/>
  <c r="AW38" i="28" s="1"/>
  <c r="AW83" i="28"/>
  <c r="AL88" i="28"/>
  <c r="AW88" i="28" s="1"/>
  <c r="AL99" i="28"/>
  <c r="AW99" i="28" s="1"/>
  <c r="AL141" i="28"/>
  <c r="AW141" i="28" s="1"/>
  <c r="AL163" i="28"/>
  <c r="AL176" i="28"/>
  <c r="AW176" i="28" s="1"/>
  <c r="AL44" i="28"/>
  <c r="AW44" i="28" s="1"/>
  <c r="AL248" i="28"/>
  <c r="AW18" i="28"/>
  <c r="AW47" i="28"/>
  <c r="AL199" i="28"/>
  <c r="AW199" i="28" s="1"/>
  <c r="AL205" i="28"/>
  <c r="AL246" i="28"/>
  <c r="AW246" i="28" s="1"/>
  <c r="AL247" i="28"/>
  <c r="AW247" i="28" s="1"/>
  <c r="AL249" i="28"/>
  <c r="AW249" i="28" s="1"/>
  <c r="AL267" i="28"/>
  <c r="AL102" i="28"/>
  <c r="AW102" i="28" s="1"/>
  <c r="AW124" i="28"/>
  <c r="AL126" i="28"/>
  <c r="AW126" i="28" s="1"/>
  <c r="AL289" i="28"/>
  <c r="AW289" i="28" s="1"/>
  <c r="AW182" i="28"/>
  <c r="AL195" i="28"/>
  <c r="AW195" i="28" s="1"/>
  <c r="AL203" i="28"/>
  <c r="AW278" i="28"/>
  <c r="AW307" i="28"/>
  <c r="AW344" i="28"/>
  <c r="AL93" i="28"/>
  <c r="AW93" i="28" s="1"/>
  <c r="AL81" i="28"/>
  <c r="AW81" i="28" s="1"/>
  <c r="AL101" i="28"/>
  <c r="AW101" i="28" s="1"/>
  <c r="AL232" i="28"/>
  <c r="AW232" i="28" s="1"/>
  <c r="AW270" i="28"/>
  <c r="AL146" i="28"/>
  <c r="AW146" i="28" s="1"/>
  <c r="AL268" i="28"/>
  <c r="AL214" i="28"/>
  <c r="AL266" i="28"/>
  <c r="AW266" i="28" s="1"/>
  <c r="AL305" i="28"/>
  <c r="AL46" i="28"/>
  <c r="AW46" i="28" s="1"/>
  <c r="AU75" i="28"/>
  <c r="AW75" i="28" s="1"/>
  <c r="AL23" i="28"/>
  <c r="AL39" i="28"/>
  <c r="AW39" i="28" s="1"/>
  <c r="AL148" i="28"/>
  <c r="AW148" i="28" s="1"/>
  <c r="AL213" i="28"/>
  <c r="AL242" i="28"/>
  <c r="I251" i="28"/>
  <c r="AW276" i="28"/>
  <c r="AL281" i="28"/>
  <c r="AL282" i="28"/>
  <c r="AW282" i="28" s="1"/>
  <c r="AW136" i="28"/>
  <c r="AW137" i="28"/>
  <c r="AL140" i="28"/>
  <c r="AW140" i="28" s="1"/>
  <c r="AL156" i="28"/>
  <c r="AW156" i="28" s="1"/>
  <c r="AL304" i="28"/>
  <c r="AW6" i="28"/>
  <c r="AL174" i="28"/>
  <c r="AL212" i="28"/>
  <c r="AW218" i="28"/>
  <c r="AL263" i="28"/>
  <c r="AW263" i="28" s="1"/>
  <c r="AW294" i="28"/>
  <c r="AL314" i="28"/>
  <c r="AW314" i="28" s="1"/>
  <c r="AW326" i="28"/>
  <c r="AW53" i="28"/>
  <c r="AL61" i="28"/>
  <c r="AL158" i="28"/>
  <c r="AW158" i="28" s="1"/>
  <c r="AL171" i="28"/>
  <c r="AW171" i="28" s="1"/>
  <c r="AL186" i="28"/>
  <c r="AW186" i="28" s="1"/>
  <c r="AL210" i="28"/>
  <c r="AL228" i="28"/>
  <c r="AL229" i="28"/>
  <c r="AW229" i="28" s="1"/>
  <c r="AL264" i="28"/>
  <c r="AW264" i="28" s="1"/>
  <c r="AL90" i="28"/>
  <c r="AW90" i="28" s="1"/>
  <c r="AW125" i="28"/>
  <c r="AL127" i="28"/>
  <c r="AL129" i="28"/>
  <c r="AW129" i="28" s="1"/>
  <c r="AL142" i="28"/>
  <c r="AW142" i="28" s="1"/>
  <c r="AL143" i="28"/>
  <c r="AW143" i="28" s="1"/>
  <c r="AL209" i="28"/>
  <c r="AW31" i="28"/>
  <c r="AL92" i="28"/>
  <c r="AW92" i="28" s="1"/>
  <c r="AL184" i="28"/>
  <c r="AW184" i="28" s="1"/>
  <c r="AU190" i="28"/>
  <c r="AW190" i="28" s="1"/>
  <c r="AL192" i="28"/>
  <c r="AW192" i="28" s="1"/>
  <c r="AW194" i="28"/>
  <c r="AL145" i="28"/>
  <c r="AW145" i="28" s="1"/>
  <c r="AL308" i="28"/>
  <c r="AW308" i="28" s="1"/>
  <c r="AL324" i="28"/>
  <c r="AW324" i="28" s="1"/>
  <c r="AL89" i="28"/>
  <c r="AL109" i="28"/>
  <c r="AW109" i="28" s="1"/>
  <c r="AW132" i="28"/>
  <c r="AW169" i="28"/>
  <c r="AL189" i="28"/>
  <c r="AL206" i="28"/>
  <c r="AL286" i="28"/>
  <c r="AW286" i="28" s="1"/>
  <c r="AW291" i="28"/>
  <c r="AL298" i="28"/>
  <c r="AW298" i="28" s="1"/>
  <c r="AW57" i="28"/>
  <c r="I178" i="28"/>
  <c r="I14" i="28"/>
  <c r="AW82" i="28"/>
  <c r="AL95" i="28"/>
  <c r="AW95" i="28" s="1"/>
  <c r="AW62" i="28"/>
  <c r="AW94" i="28"/>
  <c r="AL120" i="28"/>
  <c r="AW120" i="28" s="1"/>
  <c r="BC171" i="28"/>
  <c r="AL187" i="28"/>
  <c r="AW204" i="28"/>
  <c r="AW181" i="28"/>
  <c r="AL157" i="28"/>
  <c r="AW157" i="28" s="1"/>
  <c r="AL173" i="28"/>
  <c r="AW173" i="28" s="1"/>
  <c r="AL198" i="28"/>
  <c r="AL154" i="28"/>
  <c r="AW236" i="28"/>
  <c r="AW224" i="28"/>
  <c r="AW215" i="28"/>
  <c r="AL255" i="28"/>
  <c r="AW255" i="28" s="1"/>
  <c r="AU267" i="28"/>
  <c r="AW267" i="28" s="1"/>
  <c r="AW259" i="28"/>
  <c r="AL254" i="28"/>
  <c r="AW254" i="28" s="1"/>
  <c r="AL310" i="28"/>
  <c r="AW310" i="28" s="1"/>
  <c r="AL253" i="28"/>
  <c r="AW253" i="28" s="1"/>
  <c r="AW317" i="28"/>
  <c r="AW288" i="28"/>
  <c r="AW332" i="28"/>
  <c r="AW293" i="28"/>
  <c r="D365" i="28" l="1"/>
  <c r="AX288" i="28"/>
  <c r="BD288" i="28" s="1"/>
  <c r="AX33" i="28"/>
  <c r="BD33" i="28" s="1"/>
  <c r="AX142" i="28"/>
  <c r="BD142" i="28" s="1"/>
  <c r="AX140" i="28"/>
  <c r="BD140" i="28" s="1"/>
  <c r="AX75" i="28"/>
  <c r="BD75" i="28" s="1"/>
  <c r="AX344" i="28"/>
  <c r="BD344" i="28" s="1"/>
  <c r="AX247" i="28"/>
  <c r="BD247" i="28" s="1"/>
  <c r="AX99" i="28"/>
  <c r="BD99" i="28" s="1"/>
  <c r="AX197" i="28"/>
  <c r="BD197" i="28" s="1"/>
  <c r="AX84" i="28"/>
  <c r="BD84" i="28" s="1"/>
  <c r="AX32" i="28"/>
  <c r="BD32" i="28" s="1"/>
  <c r="AX345" i="28"/>
  <c r="BD345" i="28" s="1"/>
  <c r="AX58" i="28"/>
  <c r="BD58" i="28" s="1"/>
  <c r="AX113" i="28"/>
  <c r="BD113" i="28" s="1"/>
  <c r="AX201" i="28"/>
  <c r="BD201" i="28" s="1"/>
  <c r="AX66" i="28"/>
  <c r="BD66" i="28" s="1"/>
  <c r="AX119" i="28"/>
  <c r="BD119" i="28" s="1"/>
  <c r="AX317" i="28"/>
  <c r="BD317" i="28" s="1"/>
  <c r="AX173" i="28"/>
  <c r="BD173" i="28" s="1"/>
  <c r="AX324" i="28"/>
  <c r="BD324" i="28" s="1"/>
  <c r="AX129" i="28"/>
  <c r="BD129" i="28" s="1"/>
  <c r="AX53" i="28"/>
  <c r="BD53" i="28" s="1"/>
  <c r="AX137" i="28"/>
  <c r="BD137" i="28" s="1"/>
  <c r="AX46" i="28"/>
  <c r="BD46" i="28" s="1"/>
  <c r="AX307" i="28"/>
  <c r="BD307" i="28" s="1"/>
  <c r="AX246" i="28"/>
  <c r="BD246" i="28" s="1"/>
  <c r="AX88" i="28"/>
  <c r="BD88" i="28" s="1"/>
  <c r="AX160" i="28"/>
  <c r="BD160" i="28" s="1"/>
  <c r="AX279" i="28"/>
  <c r="BD279" i="28" s="1"/>
  <c r="AX52" i="28"/>
  <c r="BD52" i="28" s="1"/>
  <c r="AX13" i="28"/>
  <c r="BD13" i="28" s="1"/>
  <c r="AX311" i="28"/>
  <c r="BD311" i="28" s="1"/>
  <c r="AX7" i="28"/>
  <c r="BD7" i="28" s="1"/>
  <c r="AX34" i="28"/>
  <c r="BD34" i="28" s="1"/>
  <c r="AX139" i="28"/>
  <c r="BD139" i="28" s="1"/>
  <c r="AX83" i="28"/>
  <c r="BD83" i="28" s="1"/>
  <c r="AX147" i="28"/>
  <c r="BD147" i="28" s="1"/>
  <c r="AX57" i="28"/>
  <c r="BD57" i="28" s="1"/>
  <c r="AX254" i="28"/>
  <c r="BD254" i="28" s="1"/>
  <c r="AX204" i="28"/>
  <c r="BD204" i="28" s="1"/>
  <c r="AX298" i="28"/>
  <c r="BD298" i="28" s="1"/>
  <c r="AX194" i="28"/>
  <c r="BD194" i="28" s="1"/>
  <c r="AX90" i="28"/>
  <c r="BD90" i="28" s="1"/>
  <c r="AX294" i="28"/>
  <c r="BD294" i="28" s="1"/>
  <c r="AX195" i="28"/>
  <c r="BD195" i="28" s="1"/>
  <c r="AX47" i="28"/>
  <c r="BD47" i="28" s="1"/>
  <c r="AX35" i="28"/>
  <c r="BD35" i="28" s="1"/>
  <c r="AX306" i="28"/>
  <c r="BD306" i="28" s="1"/>
  <c r="AX230" i="28"/>
  <c r="BD230" i="28" s="1"/>
  <c r="AX252" i="28"/>
  <c r="BD252" i="28" s="1"/>
  <c r="AX220" i="28"/>
  <c r="BD220" i="28" s="1"/>
  <c r="AX65" i="28"/>
  <c r="BD65" i="28" s="1"/>
  <c r="AX191" i="28"/>
  <c r="BD191" i="28" s="1"/>
  <c r="AX22" i="28"/>
  <c r="BD22" i="28" s="1"/>
  <c r="AX56" i="28"/>
  <c r="BD56" i="28" s="1"/>
  <c r="AX253" i="28"/>
  <c r="BD253" i="28" s="1"/>
  <c r="AX326" i="28"/>
  <c r="BD326" i="28" s="1"/>
  <c r="AX37" i="28"/>
  <c r="BD37" i="28" s="1"/>
  <c r="AX145" i="28"/>
  <c r="BD145" i="28" s="1"/>
  <c r="AX111" i="28"/>
  <c r="BD111" i="28" s="1"/>
  <c r="AX259" i="28"/>
  <c r="BD259" i="28" s="1"/>
  <c r="AX291" i="28"/>
  <c r="BD291" i="28" s="1"/>
  <c r="AX192" i="28"/>
  <c r="BD192" i="28" s="1"/>
  <c r="AX264" i="28"/>
  <c r="BD264" i="28" s="1"/>
  <c r="AX263" i="28"/>
  <c r="BD263" i="28" s="1"/>
  <c r="AX276" i="28"/>
  <c r="BD276" i="28" s="1"/>
  <c r="AX182" i="28"/>
  <c r="BD182" i="28" s="1"/>
  <c r="AX18" i="28"/>
  <c r="BD18" i="28" s="1"/>
  <c r="AX155" i="28"/>
  <c r="BD155" i="28" s="1"/>
  <c r="AX14" i="28"/>
  <c r="BD14" i="28" s="1"/>
  <c r="AX200" i="28"/>
  <c r="BD200" i="28" s="1"/>
  <c r="AX217" i="28"/>
  <c r="BD217" i="28" s="1"/>
  <c r="AX313" i="28"/>
  <c r="BD313" i="28" s="1"/>
  <c r="AX153" i="28"/>
  <c r="BD153" i="28" s="1"/>
  <c r="AX19" i="28"/>
  <c r="BD19" i="28" s="1"/>
  <c r="D349" i="28" s="1"/>
  <c r="AX130" i="28"/>
  <c r="BD130" i="28" s="1"/>
  <c r="AX315" i="28"/>
  <c r="BD315" i="28" s="1"/>
  <c r="AX15" i="28"/>
  <c r="BD15" i="28" s="1"/>
  <c r="AX282" i="28"/>
  <c r="BD282" i="28" s="1"/>
  <c r="AX327" i="28"/>
  <c r="BD327" i="28" s="1"/>
  <c r="AX267" i="28"/>
  <c r="BD267" i="28" s="1"/>
  <c r="AX286" i="28"/>
  <c r="BD286" i="28" s="1"/>
  <c r="AX190" i="28"/>
  <c r="BD190" i="28" s="1"/>
  <c r="AX229" i="28"/>
  <c r="BD229" i="28" s="1"/>
  <c r="AX218" i="28"/>
  <c r="BD218" i="28" s="1"/>
  <c r="AX146" i="28"/>
  <c r="BD146" i="28" s="1"/>
  <c r="AX289" i="28"/>
  <c r="BD289" i="28" s="1"/>
  <c r="AX134" i="28"/>
  <c r="BD134" i="28" s="1"/>
  <c r="AX193" i="28"/>
  <c r="BD193" i="28" s="1"/>
  <c r="AX11" i="28"/>
  <c r="BD11" i="28" s="1"/>
  <c r="AX152" i="28"/>
  <c r="BD152" i="28" s="1"/>
  <c r="AX196" i="28"/>
  <c r="BD196" i="28" s="1"/>
  <c r="AX312" i="28"/>
  <c r="BD312" i="28" s="1"/>
  <c r="AX128" i="28"/>
  <c r="BD128" i="28" s="1"/>
  <c r="AX272" i="28"/>
  <c r="BD272" i="28" s="1"/>
  <c r="AX136" i="28"/>
  <c r="BD136" i="28" s="1"/>
  <c r="AX244" i="28"/>
  <c r="BD244" i="28" s="1"/>
  <c r="AX314" i="28"/>
  <c r="BD314" i="28" s="1"/>
  <c r="AX106" i="28"/>
  <c r="BD106" i="28" s="1"/>
  <c r="AX45" i="28"/>
  <c r="BD45" i="28" s="1"/>
  <c r="AX255" i="28"/>
  <c r="BD255" i="28" s="1"/>
  <c r="AX120" i="28"/>
  <c r="BD120" i="28" s="1"/>
  <c r="AX184" i="28"/>
  <c r="BD184" i="28" s="1"/>
  <c r="AX270" i="28"/>
  <c r="BD270" i="28" s="1"/>
  <c r="AX126" i="28"/>
  <c r="BD126" i="28" s="1"/>
  <c r="AX44" i="28"/>
  <c r="BD44" i="28" s="1"/>
  <c r="AX122" i="28"/>
  <c r="BD122" i="28" s="1"/>
  <c r="AX179" i="28"/>
  <c r="BD179" i="28" s="1"/>
  <c r="AX297" i="28"/>
  <c r="BD297" i="28" s="1"/>
  <c r="AX144" i="28"/>
  <c r="BD144" i="28" s="1"/>
  <c r="AX251" i="28"/>
  <c r="BD251" i="28" s="1"/>
  <c r="AX202" i="28"/>
  <c r="BD202" i="28" s="1"/>
  <c r="AX16" i="28"/>
  <c r="BD16" i="28" s="1"/>
  <c r="AX333" i="28"/>
  <c r="BD333" i="28" s="1"/>
  <c r="AX116" i="28"/>
  <c r="BD116" i="28" s="1"/>
  <c r="AX308" i="28"/>
  <c r="BD308" i="28" s="1"/>
  <c r="AX278" i="28"/>
  <c r="BD278" i="28" s="1"/>
  <c r="AX309" i="28"/>
  <c r="BD309" i="28" s="1"/>
  <c r="AX310" i="28"/>
  <c r="BD310" i="28" s="1"/>
  <c r="AX125" i="28"/>
  <c r="BD125" i="28" s="1"/>
  <c r="D360" i="28" s="1"/>
  <c r="AX38" i="28"/>
  <c r="BD38" i="28" s="1"/>
  <c r="AX54" i="28"/>
  <c r="BD54" i="28" s="1"/>
  <c r="AX215" i="28"/>
  <c r="BD215" i="28" s="1"/>
  <c r="AX94" i="28"/>
  <c r="BD94" i="28" s="1"/>
  <c r="AX92" i="28"/>
  <c r="BD92" i="28" s="1"/>
  <c r="AX232" i="28"/>
  <c r="BD232" i="28" s="1"/>
  <c r="AX124" i="28"/>
  <c r="BD124" i="28" s="1"/>
  <c r="AX59" i="28"/>
  <c r="BD59" i="28" s="1"/>
  <c r="AX133" i="28"/>
  <c r="BD133" i="28" s="1"/>
  <c r="AX341" i="28"/>
  <c r="BD341" i="28" s="1"/>
  <c r="AX118" i="28"/>
  <c r="BD118" i="28" s="1"/>
  <c r="AX241" i="28"/>
  <c r="BD241" i="28" s="1"/>
  <c r="AX219" i="28"/>
  <c r="BD219" i="28" s="1"/>
  <c r="AX271" i="28"/>
  <c r="BD271" i="28" s="1"/>
  <c r="AX162" i="28"/>
  <c r="BD162" i="28" s="1"/>
  <c r="AX51" i="28"/>
  <c r="BD51" i="28" s="1"/>
  <c r="AX224" i="28"/>
  <c r="BD224" i="28" s="1"/>
  <c r="AX62" i="28"/>
  <c r="BD62" i="28" s="1"/>
  <c r="AX169" i="28"/>
  <c r="BD169" i="28" s="1"/>
  <c r="AX31" i="28"/>
  <c r="BD31" i="28" s="1"/>
  <c r="AX186" i="28"/>
  <c r="BD186" i="28" s="1"/>
  <c r="AX6" i="28"/>
  <c r="BD6" i="28" s="1"/>
  <c r="AX148" i="28"/>
  <c r="BD148" i="28" s="1"/>
  <c r="AX101" i="28"/>
  <c r="BD101" i="28" s="1"/>
  <c r="AX102" i="28"/>
  <c r="BD102" i="28" s="1"/>
  <c r="AX176" i="28"/>
  <c r="BD176" i="28" s="1"/>
  <c r="AX50" i="28"/>
  <c r="BD50" i="28" s="1"/>
  <c r="AX121" i="28"/>
  <c r="BD121" i="28" s="1"/>
  <c r="AX115" i="28"/>
  <c r="BD115" i="28" s="1"/>
  <c r="AX316" i="28"/>
  <c r="BD316" i="28" s="1"/>
  <c r="AX233" i="28"/>
  <c r="BD233" i="28" s="1"/>
  <c r="AX268" i="28"/>
  <c r="BD268" i="28" s="1"/>
  <c r="AX168" i="28"/>
  <c r="BD168" i="28" s="1"/>
  <c r="AX157" i="28"/>
  <c r="BD157" i="28" s="1"/>
  <c r="BD135" i="28"/>
  <c r="AX199" i="28"/>
  <c r="BD199" i="28" s="1"/>
  <c r="AX293" i="28"/>
  <c r="BD293" i="28" s="1"/>
  <c r="AX236" i="28"/>
  <c r="BD236" i="28" s="1"/>
  <c r="AX95" i="28"/>
  <c r="BD95" i="28" s="1"/>
  <c r="AX132" i="28"/>
  <c r="BD132" i="28" s="1"/>
  <c r="AX171" i="28"/>
  <c r="BD171" i="28" s="1"/>
  <c r="AX39" i="28"/>
  <c r="BD39" i="28" s="1"/>
  <c r="AX81" i="28"/>
  <c r="BD81" i="28" s="1"/>
  <c r="AX107" i="28"/>
  <c r="BD107" i="28" s="1"/>
  <c r="AX318" i="28"/>
  <c r="BD318" i="28" s="1"/>
  <c r="AX100" i="28"/>
  <c r="BD100" i="28" s="1"/>
  <c r="AX112" i="28"/>
  <c r="BD112" i="28" s="1"/>
  <c r="AX170" i="28"/>
  <c r="BD170" i="28" s="1"/>
  <c r="AX161" i="28"/>
  <c r="BD161" i="28" s="1"/>
  <c r="AX216" i="28"/>
  <c r="BD216" i="28" s="1"/>
  <c r="AX138" i="28"/>
  <c r="BD138" i="28" s="1"/>
  <c r="D363" i="28" s="1"/>
  <c r="AX76" i="28"/>
  <c r="BD76" i="28" s="1"/>
  <c r="AX151" i="28"/>
  <c r="BD151" i="28" s="1"/>
  <c r="AX181" i="28"/>
  <c r="BD181" i="28" s="1"/>
  <c r="AX266" i="28"/>
  <c r="BD266" i="28" s="1"/>
  <c r="AX48" i="28"/>
  <c r="BD48" i="28" s="1"/>
  <c r="AX332" i="28"/>
  <c r="BD332" i="28" s="1"/>
  <c r="AX82" i="28"/>
  <c r="BD82" i="28" s="1"/>
  <c r="AX109" i="28"/>
  <c r="BD109" i="28" s="1"/>
  <c r="AX143" i="28"/>
  <c r="BD143" i="28" s="1"/>
  <c r="AX158" i="28"/>
  <c r="BD158" i="28" s="1"/>
  <c r="AX156" i="28"/>
  <c r="BD156" i="28" s="1"/>
  <c r="AX93" i="28"/>
  <c r="BD93" i="28" s="1"/>
  <c r="AX249" i="28"/>
  <c r="BD249" i="28" s="1"/>
  <c r="AX141" i="28"/>
  <c r="BD141" i="28" s="1"/>
  <c r="AX60" i="28"/>
  <c r="BD60" i="28" s="1"/>
  <c r="AX245" i="28"/>
  <c r="BD245" i="28" s="1"/>
  <c r="AX250" i="28"/>
  <c r="BD250" i="28" s="1"/>
  <c r="AX265" i="28"/>
  <c r="BD265" i="28" s="1"/>
  <c r="BD5" i="28"/>
  <c r="AX97" i="28"/>
  <c r="BD97" i="28" s="1"/>
  <c r="AX187" i="28"/>
  <c r="BD187" i="28" s="1"/>
  <c r="AW304" i="28"/>
  <c r="AW305" i="28"/>
  <c r="AW163" i="28"/>
  <c r="AW174" i="28"/>
  <c r="AW205" i="28"/>
  <c r="AW64" i="28"/>
  <c r="D348" i="28" l="1"/>
  <c r="D366" i="28"/>
  <c r="D361" i="28"/>
  <c r="D359" i="28"/>
  <c r="D358" i="28"/>
  <c r="D355" i="28"/>
  <c r="D354" i="28"/>
  <c r="D353" i="28"/>
  <c r="D352" i="28"/>
  <c r="D350" i="28"/>
  <c r="D351" i="28"/>
  <c r="AX174" i="28"/>
  <c r="BD174" i="28" s="1"/>
  <c r="AX163" i="28"/>
  <c r="BD163" i="28" s="1"/>
  <c r="AX64" i="28"/>
  <c r="BD64" i="28" s="1"/>
  <c r="D357" i="28" s="1"/>
  <c r="AX205" i="28"/>
  <c r="BD205" i="28" s="1"/>
  <c r="AX305" i="28"/>
  <c r="BD305" i="28" s="1"/>
  <c r="AX304" i="28"/>
  <c r="BD304" i="28" s="1"/>
  <c r="D364" i="28" l="1"/>
  <c r="P112" i="10"/>
  <c r="Q112" i="10" s="1"/>
  <c r="Q111" i="10"/>
  <c r="P111" i="10"/>
  <c r="Q110" i="10"/>
  <c r="P110" i="10"/>
  <c r="P109" i="10"/>
  <c r="Q109" i="10" s="1"/>
  <c r="Q108" i="10" s="1"/>
  <c r="Q107" i="10" s="1"/>
  <c r="Q104" i="10" s="1"/>
  <c r="O108" i="10"/>
  <c r="M108" i="10"/>
  <c r="M107" i="10" s="1"/>
  <c r="O107" i="10"/>
  <c r="O104" i="10" s="1"/>
  <c r="M104" i="10"/>
  <c r="P101" i="10"/>
  <c r="Q101" i="10" s="1"/>
  <c r="P100" i="10"/>
  <c r="Q100" i="10" s="1"/>
  <c r="P99" i="10"/>
  <c r="Q99" i="10" s="1"/>
  <c r="Q98" i="10"/>
  <c r="P98" i="10"/>
  <c r="P97" i="10"/>
  <c r="P95" i="10" s="1"/>
  <c r="P94" i="10" s="1"/>
  <c r="P91" i="10" s="1"/>
  <c r="P96" i="10"/>
  <c r="Q96" i="10" s="1"/>
  <c r="O95" i="10"/>
  <c r="M95" i="10"/>
  <c r="M94" i="10" s="1"/>
  <c r="M91" i="10" s="1"/>
  <c r="O94" i="10"/>
  <c r="O91" i="10" s="1"/>
  <c r="Q87" i="10"/>
  <c r="Q86" i="10"/>
  <c r="Q85" i="10"/>
  <c r="Q84" i="10"/>
  <c r="Q83" i="10"/>
  <c r="Q82" i="10"/>
  <c r="Q81" i="10"/>
  <c r="Q80" i="10"/>
  <c r="Q79" i="10"/>
  <c r="Q76" i="10" s="1"/>
  <c r="Q78" i="10"/>
  <c r="Q77" i="10"/>
  <c r="P76" i="10"/>
  <c r="O76" i="10"/>
  <c r="O69" i="10" s="1"/>
  <c r="M76" i="10"/>
  <c r="Q75" i="10"/>
  <c r="Q74" i="10"/>
  <c r="Q73" i="10"/>
  <c r="Q72" i="10"/>
  <c r="Q71" i="10"/>
  <c r="Q70" i="10"/>
  <c r="P70" i="10"/>
  <c r="O70" i="10"/>
  <c r="M70" i="10"/>
  <c r="M69" i="10" s="1"/>
  <c r="P69" i="10"/>
  <c r="Q67" i="10"/>
  <c r="Q66" i="10"/>
  <c r="P66" i="10"/>
  <c r="Q65" i="10"/>
  <c r="P65" i="10"/>
  <c r="P64" i="10"/>
  <c r="Q64" i="10" s="1"/>
  <c r="Q62" i="10" s="1"/>
  <c r="O62" i="10"/>
  <c r="M62" i="10"/>
  <c r="Q61" i="10"/>
  <c r="Q60" i="10"/>
  <c r="Q59" i="10"/>
  <c r="P59" i="10"/>
  <c r="O59" i="10"/>
  <c r="M59" i="10"/>
  <c r="Q57" i="10"/>
  <c r="Q56" i="10"/>
  <c r="Q55" i="10"/>
  <c r="P55" i="10"/>
  <c r="O55" i="10"/>
  <c r="M55" i="10"/>
  <c r="O54" i="10"/>
  <c r="Q52" i="10"/>
  <c r="Q50" i="10"/>
  <c r="Q47" i="10" s="1"/>
  <c r="Q49" i="10"/>
  <c r="Q48" i="10"/>
  <c r="P47" i="10"/>
  <c r="O47" i="10"/>
  <c r="O20" i="10" s="1"/>
  <c r="M47" i="10"/>
  <c r="Q45" i="10"/>
  <c r="Q44" i="10"/>
  <c r="Q43" i="10"/>
  <c r="P43" i="10"/>
  <c r="O43" i="10"/>
  <c r="M43" i="10"/>
  <c r="Q40" i="10"/>
  <c r="Q39" i="10"/>
  <c r="Q38" i="10"/>
  <c r="Q37" i="10"/>
  <c r="Q36" i="10"/>
  <c r="Q35" i="10"/>
  <c r="Q34" i="10"/>
  <c r="Q33" i="10"/>
  <c r="Q32" i="10"/>
  <c r="Q31" i="10"/>
  <c r="Q30" i="10" s="1"/>
  <c r="P30" i="10"/>
  <c r="P20" i="10" s="1"/>
  <c r="O30" i="10"/>
  <c r="M30" i="10"/>
  <c r="Q28" i="10"/>
  <c r="Q27" i="10"/>
  <c r="Q26" i="10"/>
  <c r="P26" i="10"/>
  <c r="O26" i="10"/>
  <c r="M26" i="10"/>
  <c r="Q24" i="10"/>
  <c r="Q23" i="10"/>
  <c r="Q22" i="10"/>
  <c r="Q21" i="10"/>
  <c r="Q20" i="10" s="1"/>
  <c r="P21" i="10"/>
  <c r="O21" i="10"/>
  <c r="M21" i="10"/>
  <c r="D367" i="28" l="1"/>
  <c r="O19" i="10"/>
  <c r="O15" i="10" s="1"/>
  <c r="Q69" i="10"/>
  <c r="M54" i="10"/>
  <c r="Q97" i="10"/>
  <c r="Q95" i="10" s="1"/>
  <c r="Q94" i="10" s="1"/>
  <c r="Q91" i="10" s="1"/>
  <c r="Q89" i="10" s="1"/>
  <c r="P62" i="10"/>
  <c r="P54" i="10" s="1"/>
  <c r="P19" i="10" s="1"/>
  <c r="P15" i="10" s="1"/>
  <c r="P108" i="10"/>
  <c r="P107" i="10" s="1"/>
  <c r="P104" i="10" s="1"/>
  <c r="Q54" i="10"/>
  <c r="Q19" i="10" s="1"/>
  <c r="Q15" i="10" s="1"/>
  <c r="M20" i="10"/>
  <c r="M19" i="10" s="1"/>
  <c r="M15"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LINA MARCELA SILVA RAMIREZ</author>
    <author>Disan</author>
  </authors>
  <commentList>
    <comment ref="BA64" authorId="0" shapeId="0" xr:uid="{9DCE448C-C733-4DA3-AF0D-50A3DE7EC3A6}">
      <text>
        <r>
          <rPr>
            <b/>
            <sz val="9"/>
            <color indexed="81"/>
            <rFont val="Tahoma"/>
            <family val="2"/>
          </rPr>
          <t>DISAN - LINA MARCELA SILVA RAMIREZ:</t>
        </r>
        <r>
          <rPr>
            <sz val="9"/>
            <color indexed="81"/>
            <rFont val="Tahoma"/>
            <family val="2"/>
          </rPr>
          <t xml:space="preserve">
PIDIERON28 X 50---SE MULTIPLICA X 4</t>
        </r>
      </text>
    </comment>
    <comment ref="AT153" authorId="0" shapeId="0" xr:uid="{4848F188-432E-42FC-A751-BD404EF996F0}">
      <text>
        <r>
          <rPr>
            <b/>
            <sz val="9"/>
            <color indexed="81"/>
            <rFont val="Tahoma"/>
            <family val="2"/>
          </rPr>
          <t>DISAN - LINA MARCELA SILVA RAMIREZ:</t>
        </r>
        <r>
          <rPr>
            <sz val="9"/>
            <color indexed="81"/>
            <rFont val="Tahoma"/>
            <family val="2"/>
          </rPr>
          <t xml:space="preserve">
DICE NO ESTAR DISPONIBLE EN EL MERCADO</t>
        </r>
      </text>
    </comment>
    <comment ref="BA185" authorId="0" shapeId="0" xr:uid="{1A1CE519-A0FB-49E9-8F42-7D663F6DAFDE}">
      <text>
        <r>
          <rPr>
            <b/>
            <sz val="9"/>
            <color indexed="81"/>
            <rFont val="Tahoma"/>
            <family val="2"/>
          </rPr>
          <t>DISAN - LINA MARCELA SILVA RAMIREZ:</t>
        </r>
        <r>
          <rPr>
            <sz val="9"/>
            <color indexed="81"/>
            <rFont val="Tahoma"/>
            <family val="2"/>
          </rPr>
          <t xml:space="preserve">
LA NECESOTAN CON AGUJA 21</t>
        </r>
      </text>
    </comment>
    <comment ref="AZ196" authorId="1" shapeId="0" xr:uid="{DCF133F3-271C-4927-9A6F-263FDAB05A8B}">
      <text>
        <r>
          <rPr>
            <b/>
            <sz val="9"/>
            <color indexed="81"/>
            <rFont val="Tahoma"/>
            <family val="2"/>
          </rPr>
          <t>Disan:</t>
        </r>
        <r>
          <rPr>
            <sz val="9"/>
            <color indexed="81"/>
            <rFont val="Tahoma"/>
            <family val="2"/>
          </rPr>
          <t xml:space="preserve">
CON LO QUE TENEMOS EN EXISTENCIA ALCANZARIA PARA UN AÑO DE ACUERDO AL PROMEDIO DE CONSUMO MENSUAL</t>
        </r>
      </text>
    </comment>
  </commentList>
</comments>
</file>

<file path=xl/sharedStrings.xml><?xml version="1.0" encoding="utf-8"?>
<sst xmlns="http://schemas.openxmlformats.org/spreadsheetml/2006/main" count="13259" uniqueCount="1093">
  <si>
    <t>MEDICO GENERAL</t>
  </si>
  <si>
    <t>EJEMPLO</t>
  </si>
  <si>
    <t>PERIODO CONTRATACION</t>
  </si>
  <si>
    <t>PLAN DE COMPRAS VIGENCIA 2010</t>
  </si>
  <si>
    <t>COSTO VIGENCIA 2010</t>
  </si>
  <si>
    <t>VIGENCIA FUTURA CONTRATADA EN 2009 (10)</t>
  </si>
  <si>
    <t>VALOR VIGENCIA FUTURA CONTRATADA EN 2010</t>
  </si>
  <si>
    <t>ASIGANCION  TOTAL 2010  (12)=10+11-9</t>
  </si>
  <si>
    <t>SUTURA POLIPROPILENO MONOFILAMENTO 6/0 DS -12 CAJA CON 36 SOBRES</t>
  </si>
  <si>
    <t>PROGRAMA Q 
GASTOS PERSONAL ASISTENCIAL</t>
  </si>
  <si>
    <t>PROGRAMA G 
SISTEMA GESTION AMBIENTAL</t>
  </si>
  <si>
    <t>Técnologo ambiental</t>
  </si>
  <si>
    <t>Ingeniero ambiental</t>
  </si>
  <si>
    <t>PROGRAMA Q 
GASTOS PERSONAL ADMINISTRATIVO</t>
  </si>
  <si>
    <t>IMPERATIVO ESTRATEGICO :  Gestión Humana y Calidad de Vida  Óptima</t>
  </si>
  <si>
    <t>ESTRATEGIA :  Diseñar y Ejecutar un Plan para Fortalecer la Competitividad de los Servicios de Salud</t>
  </si>
  <si>
    <t xml:space="preserve">PASTA CONDUCTIVA PARA ELECTROENCEFALOGRAMA </t>
  </si>
  <si>
    <t xml:space="preserve">PILA GENERADORA TONOS </t>
  </si>
  <si>
    <t xml:space="preserve">PIN PLASTICO </t>
  </si>
  <si>
    <t>REPUESTOS</t>
  </si>
  <si>
    <t xml:space="preserve">SOLUCION DE RINGER BOLSA </t>
  </si>
  <si>
    <t xml:space="preserve">SODA PARA ANESTESIA </t>
  </si>
  <si>
    <t xml:space="preserve">SOLUCION PARA IRRIGACION UROLOGICA </t>
  </si>
  <si>
    <t>SOLUCION PARA LIMPIEZA INTESTINAL AMPOLLA RECTAL</t>
  </si>
  <si>
    <t xml:space="preserve">SOLUCION PARA VENDAJE </t>
  </si>
  <si>
    <t xml:space="preserve">SUTURA ACERO INOXIDABLE MONOFILAMENTO 2/0 DS -100 </t>
  </si>
  <si>
    <t>SONDA VESICAL NELATON No 10</t>
  </si>
  <si>
    <t>SONDA VESICAL NELATON No 12  10 UNIDADES</t>
  </si>
  <si>
    <t xml:space="preserve">SONDA VESICAL NELATON No 14 </t>
  </si>
  <si>
    <t xml:space="preserve">SONDA VESICAL NELATON No 16 </t>
  </si>
  <si>
    <t xml:space="preserve">SONDA VESICAL NELATON No 18 </t>
  </si>
  <si>
    <t xml:space="preserve">SONDA VESICAL NELATON No 20 </t>
  </si>
  <si>
    <t xml:space="preserve">SONDA VESICAL NELATON No 22 </t>
  </si>
  <si>
    <t xml:space="preserve">SONDA VESICAL NELATON No 6 </t>
  </si>
  <si>
    <t xml:space="preserve">SONDA VESICAL NELATON No 8 </t>
  </si>
  <si>
    <t xml:space="preserve">SUTURA ACERO INOXIDABLE MULTIFILAMENTO TRENZADO RECUBIERTO 2/0 DS -100 </t>
  </si>
  <si>
    <t xml:space="preserve">SUTURA ACIDO POLIGLICOLICO 1 / EP -4 </t>
  </si>
  <si>
    <t xml:space="preserve">SUTURA ACIDO POLIGLICOLICO TRENZADO 0 J346H </t>
  </si>
  <si>
    <t>SUTURA ACIDO POLIGLICOLICO TRENZADO 0 SH</t>
  </si>
  <si>
    <t xml:space="preserve">SUTURA ACIDO POLIGLICOLICO TRENZADO 0 SH J 340 </t>
  </si>
  <si>
    <t xml:space="preserve">SUTURA ACIDO POLIGLICOLICO TRENZADO 1 CT -I </t>
  </si>
  <si>
    <t xml:space="preserve">SUTURA ACIDO POLIGLICOLICO TRENZADO 1 J347H </t>
  </si>
  <si>
    <t xml:space="preserve">SUTURA ACIDO POLIGLICOLICO TRENZADO 2/0 CT-I </t>
  </si>
  <si>
    <t xml:space="preserve">SUTURA ACIDO POLIGLICOLICO TRENZADO 2/0 CT-I J 345 </t>
  </si>
  <si>
    <t xml:space="preserve">SUTURA ACIDO POLIGLICOLICO TRENZADO 2/0 J317H </t>
  </si>
  <si>
    <t xml:space="preserve">SUTURA ACIDO POLIGLICOLICO TRENZADO 2/0 J339H </t>
  </si>
  <si>
    <t xml:space="preserve">SUTURA ACIDO POLIGLICOLICO TRENZADO 2/0 SH </t>
  </si>
  <si>
    <t xml:space="preserve">SUTURA ACIDO POLIGLICOLICO TRENZADO 3/0 J311H </t>
  </si>
  <si>
    <t xml:space="preserve">SUTURA ACIDO POLIGLICOLICO TRENZADO 3/0 SC-20 </t>
  </si>
  <si>
    <t xml:space="preserve">SUTURA ACIDO POLIGLICOLICO TRENZADO 3/0 SH </t>
  </si>
  <si>
    <t xml:space="preserve">SUTURA ACIDO POLIGLICOLICO TRENZADO 4/0 J304H </t>
  </si>
  <si>
    <t xml:space="preserve">SUTURA ACIDO POLIGLICOLICO TRENZADO 4/0 RB -I </t>
  </si>
  <si>
    <t xml:space="preserve">SUTURA ACIDO POLIGLICOLICO TRENZADO 5/0 E -13 / P -3 </t>
  </si>
  <si>
    <t xml:space="preserve">SUTURA ACIDO POLIGLICOLICO TRENZADO 5/0 RB -I </t>
  </si>
  <si>
    <t xml:space="preserve">SUTURA ACIDO POLIGLICOLICO TRENZADO 6/0 E -13 / P -3 </t>
  </si>
  <si>
    <t xml:space="preserve">SUTURA ACIDO POLIGLICOLICO TRENZADO 6/0 S -14 </t>
  </si>
  <si>
    <t xml:space="preserve">SUTURA ACIDO POLIGLICOLICO TRENZADO 7/0 TG 140-8 </t>
  </si>
  <si>
    <t xml:space="preserve">SUTURA ACIDO POLIGLICOLICO TRENZADO DE 70 CENTIMETROS 0 CT-I </t>
  </si>
  <si>
    <t xml:space="preserve">SUTURA ACIDO POLIGLICOLICO TRENZADO DE 70 CENTIMETROS 1 CT -I </t>
  </si>
  <si>
    <t xml:space="preserve">SUTURA ACIDO POLIGLICOLICO TRENZADO DE 90 CENTIMETROS 0 CT-I </t>
  </si>
  <si>
    <t xml:space="preserve">SUTURA ACIDO POLIGLICOLICO TRENZADO DE 90 CENTIMETROS 1 CT -I </t>
  </si>
  <si>
    <t xml:space="preserve">SUTURA ACIDO POLIGLICOLICO TRENZADO DE 90 CENTIMETROS 2/0 CT-I </t>
  </si>
  <si>
    <t xml:space="preserve">SUTURA ACIDO POLIGLICOLICO TRENZADO HB-15 </t>
  </si>
  <si>
    <t xml:space="preserve">SUTURA CAPROFYL 0 CT -I </t>
  </si>
  <si>
    <t xml:space="preserve">SUTURA CAPROFYL 0 SH </t>
  </si>
  <si>
    <t xml:space="preserve">SUTURA CAPROFYL 2/0 CT -I </t>
  </si>
  <si>
    <t xml:space="preserve">SUTURA CAPROFYL 2/0 MH </t>
  </si>
  <si>
    <t>CAJA CON 24 UNIDADES</t>
  </si>
  <si>
    <t xml:space="preserve">SUTURA CAPROFYL 3/0 SH </t>
  </si>
  <si>
    <t xml:space="preserve">SUTURA CAPROFYL 4/0 RB -I </t>
  </si>
  <si>
    <t xml:space="preserve">SUTURA CAPROFYL 4/0 SH </t>
  </si>
  <si>
    <t xml:space="preserve">SUTURA DE POLIESTER DE DACRON TRENZADO 5/0 </t>
  </si>
  <si>
    <t xml:space="preserve">SUTURA MONONYLON 0 </t>
  </si>
  <si>
    <t xml:space="preserve">SUTURA MONONYLON 10/0 2 TG140 -S PLUS </t>
  </si>
  <si>
    <t xml:space="preserve">SUTURA MONONYLON 10/0 2TG 140 -8 PLUS </t>
  </si>
  <si>
    <t>SUTURA MONONYLON 10/0 G 140 - S PLUS</t>
  </si>
  <si>
    <t>SUTURA MONONYLON 2/0 SC -26</t>
  </si>
  <si>
    <t xml:space="preserve">SUTURA MONONYLON 3/0 </t>
  </si>
  <si>
    <t>SUTURA MONONYLON 3/0 SC -24</t>
  </si>
  <si>
    <t xml:space="preserve">SUTURA MONONYLON 4/0 </t>
  </si>
  <si>
    <t xml:space="preserve">SUTURA MONONYLON 4/0 SC -20 </t>
  </si>
  <si>
    <t xml:space="preserve">SUTURA MONONYLON 5/0 </t>
  </si>
  <si>
    <t xml:space="preserve">SUTURA MONONYLON 5/0 SC -20 </t>
  </si>
  <si>
    <t xml:space="preserve">SUTURA MONONYLON 9/0 BV 130-4 </t>
  </si>
  <si>
    <t xml:space="preserve">SUTURA MONONYLON OFTALMICO 10/0 7718 </t>
  </si>
  <si>
    <t xml:space="preserve">SUTURA MONONYLON OFTALMICO 9/0 TG 140-8 </t>
  </si>
  <si>
    <t>SUTURA POLIAMIDA MONOFILAMENTO 2/0 SC26</t>
  </si>
  <si>
    <t xml:space="preserve">SUTURA POLIAMIDA MONOFILAMENTO 3/0 2RB-I </t>
  </si>
  <si>
    <t xml:space="preserve">SUTURA POLIAMIDA MONOFILAMENTO 3/0 SC24 </t>
  </si>
  <si>
    <t xml:space="preserve">SUTURA POLIAMIDA MONOFILAMENTO 9/0 </t>
  </si>
  <si>
    <t xml:space="preserve">SUTURA POLIAMIDA TRENZADA 4/0 </t>
  </si>
  <si>
    <t xml:space="preserve">SUTURA POLIDIOXANONA 0 Z340 </t>
  </si>
  <si>
    <t xml:space="preserve">SUTURA POLIDIOXANONA 3/0 Z316 </t>
  </si>
  <si>
    <t xml:space="preserve">SUTURA POLIESTER DE DACRON 0 </t>
  </si>
  <si>
    <t xml:space="preserve">SUTURA POLIESTER DE DACRON 0 CT -2 </t>
  </si>
  <si>
    <t xml:space="preserve">SUTURA POLIESTER DE DACRON 0 CT -I </t>
  </si>
  <si>
    <t>SUTURA POLIESTER DE DACRON 0 CT -I 412</t>
  </si>
  <si>
    <t xml:space="preserve">SUTURA POLIESTER DE DACRON 2/0 CT -2 </t>
  </si>
  <si>
    <t xml:space="preserve">SUTURA POLIESTER DE DACRON 2/0 CT -I </t>
  </si>
  <si>
    <t xml:space="preserve">SUTURA POLIESTER DE DACRON 3/0 RB1-2 </t>
  </si>
  <si>
    <t xml:space="preserve">SUTURA POLIESTER MONOFILAMENTO 10/0 </t>
  </si>
  <si>
    <t xml:space="preserve">SUTURA POLIESTER MONOFILAMENTO 9/0 </t>
  </si>
  <si>
    <t>SUTURA POLIGLECOPRONE MONOFILAMENTO ABSORBIBLE 0 SH CT -6</t>
  </si>
  <si>
    <t xml:space="preserve">SUTURA POLIGLECOPRONE MONOFILAMENTO ABSORBIBLE 0 SH CT -7 </t>
  </si>
  <si>
    <t xml:space="preserve">SUTURA POLIGLECOPRONE MONOFILAMENTO ABSORBIBLE 0 SH CT -8 </t>
  </si>
  <si>
    <t xml:space="preserve">SUTURA POLIGLECOPRONE MONOFILAMENTO ABSORBIBLE 0 SH CT -I </t>
  </si>
  <si>
    <t>SUTURA POLIGLECOPRONE MONOFILAMENTO ABSORBIBLE 2/0 SH CT -I MM</t>
  </si>
  <si>
    <t xml:space="preserve">SUTURA POLIGLECOPRONE MONOFILAMENTO ABSORBIBLE 3/0 SH </t>
  </si>
  <si>
    <t xml:space="preserve">SUTURA POLIGLECOPRONE MONOFILAMENTO ABSORBIBLE 4/0 RBJ SH </t>
  </si>
  <si>
    <t xml:space="preserve">SUTURA POLIGLECOPRONE MONOFILAMENTO ABSORBIBLE 5/0 RB -I </t>
  </si>
  <si>
    <t xml:space="preserve">SUTURA POLIPROPILENO MONOFILAMENTO 0 8412T </t>
  </si>
  <si>
    <t xml:space="preserve">SUTURA POLIPROPILENO MONOFILAMENTO 0 8424T </t>
  </si>
  <si>
    <t xml:space="preserve">SUTURA POLIPROPILENO MONOFILAMENTO 0 CT -2 </t>
  </si>
  <si>
    <t xml:space="preserve">SUTURA POLIPROPILENO MONOFILAMENTO 0 CT -I </t>
  </si>
  <si>
    <t xml:space="preserve">SUTURA POLIPROPILENO MONOFILAMENTO 1 8425H </t>
  </si>
  <si>
    <t xml:space="preserve">SUTURA POLIPROPILENO MONOFILAMENTO 1 HR37 o CT -1 </t>
  </si>
  <si>
    <t xml:space="preserve">SUTURA POLIPROPILENO MONOFILAMENTO 2/0 8623H </t>
  </si>
  <si>
    <t xml:space="preserve">SUTURA POLIPROPILENO MONOFILAMENTO 2/0 CT -2 </t>
  </si>
  <si>
    <t xml:space="preserve">SUTURA POLIPROPILENO MONOFILAMENTO 3/0 8622 </t>
  </si>
  <si>
    <t xml:space="preserve">SUTURA POLIPROPILENO MONOFILAMENTO 3/0 HR -17 </t>
  </si>
  <si>
    <t xml:space="preserve">SUTURA POLIPROPILENO MONOFILAMENTO 3/0 KS </t>
  </si>
  <si>
    <t xml:space="preserve">SUTURA POLIPROPILENO MONOFILAMENTO 3/0 P8663T </t>
  </si>
  <si>
    <t xml:space="preserve">SUTURA POLIPROPILENO MONOFILAMENTO 3/0 PS -1 </t>
  </si>
  <si>
    <t xml:space="preserve">SUTURA POLIPROPILENO MONOFILAMENTO 3/0 SC -26 </t>
  </si>
  <si>
    <t xml:space="preserve">SUTURA POLIPROPILENO MONOFILAMENTO 3/0 SH -2 </t>
  </si>
  <si>
    <t xml:space="preserve">SUTURA POLIPROPILENO MONOFILAMENTO 4/0 2RB1 </t>
  </si>
  <si>
    <t xml:space="preserve">SUTURA POLIPROPILENO MONOFILAMENTO 4/0 P8682T </t>
  </si>
  <si>
    <t xml:space="preserve">SUTURA POLIPROPILENO MONOFILAMENTO 4/0 RB -I </t>
  </si>
  <si>
    <t xml:space="preserve">SUTURA POLIPROPILENO MONOFILAMENTO 4/0 RB1 </t>
  </si>
  <si>
    <t xml:space="preserve">SUTURA POLIPROPILENO MONOFILAMENTO 4/0 RB1-2 </t>
  </si>
  <si>
    <t xml:space="preserve">SUTURA POLIPROPILENO MONOFILAMENTO 4/0 SC -16 </t>
  </si>
  <si>
    <t xml:space="preserve">SUTURA POLIPROPILENO MONOFILAMENTO 4/0 SC -20 </t>
  </si>
  <si>
    <t xml:space="preserve">SUTURA POLIPROPILENO MONOFILAMENTO 5/0 2RB1 </t>
  </si>
  <si>
    <t xml:space="preserve">SUTURA POLIPROPILENO MONOFILAMENTO 5/0 DA CV-337 </t>
  </si>
  <si>
    <t xml:space="preserve">SUTURA POLIPROPILENO MONOFILAMENTO 5/0 DS -12 </t>
  </si>
  <si>
    <t xml:space="preserve">SUTURA POLIPROPILENO MONOFILAMENTO 5/0 P8686T </t>
  </si>
  <si>
    <t xml:space="preserve">SUTURA POLIPROPILENO MONOFILAMENTO 5/0 RB -I </t>
  </si>
  <si>
    <t xml:space="preserve">SUTURA POLIPROPILENO MONOFILAMENTO 5/0 RB1 </t>
  </si>
  <si>
    <t xml:space="preserve">SUTURA POLIPROPILENO MONOFILAMENTO 5/0 RB1-2 </t>
  </si>
  <si>
    <t xml:space="preserve">SUTURA POLIPROPILENO MONOFILAMENTO 5/0 SC -16 </t>
  </si>
  <si>
    <t xml:space="preserve">SUTURA POLIPROPILENO MONOFILAMENTO 5/0 SC -20 </t>
  </si>
  <si>
    <t xml:space="preserve">SUTURA POLIPROPILENO MONOFILAMENTO 6/0 CT-I </t>
  </si>
  <si>
    <t>TAPON HEPARINIZADO</t>
  </si>
  <si>
    <t xml:space="preserve">TETRA ESTERIL </t>
  </si>
  <si>
    <t>THERABAND COLOR AMARILLO</t>
  </si>
  <si>
    <t>THERABAND COLOR AZUL</t>
  </si>
  <si>
    <t>THERABAND COLOR DORADO</t>
  </si>
  <si>
    <t>THERABAND COLOR GRIS</t>
  </si>
  <si>
    <t>THERABAND COLOR NEGRO</t>
  </si>
  <si>
    <t xml:space="preserve">THERABAND COLOR ROJO                                                   </t>
  </si>
  <si>
    <t xml:space="preserve">THERABAND COLOR VERDE                                                  </t>
  </si>
  <si>
    <t xml:space="preserve">TINTURA BENJUI </t>
  </si>
  <si>
    <t xml:space="preserve">TRAMPA DE AGUA D-PED </t>
  </si>
  <si>
    <t>TROCAR DESECHABLE VERSAPORT V2 REF 179094 UNIDAD DE 5 MILIMETROS</t>
  </si>
  <si>
    <t>TROCAR DESECHABLE VERSAPORT V2REF 179095 UNIDAD DE 10 MILIMETROS</t>
  </si>
  <si>
    <t>TUBO DE TORAX No 14</t>
  </si>
  <si>
    <t xml:space="preserve">TUBO DE TORAX No 17 </t>
  </si>
  <si>
    <t>TUBO DE TORAX No 18</t>
  </si>
  <si>
    <t xml:space="preserve">TUBO DE TORAX No 19 </t>
  </si>
  <si>
    <t xml:space="preserve">TUBO DE TORAX No 20 </t>
  </si>
  <si>
    <t xml:space="preserve">TUBO DE TORAX No 22 </t>
  </si>
  <si>
    <t xml:space="preserve">TUBO DE TORAX No 24 </t>
  </si>
  <si>
    <t xml:space="preserve">TUBO DE TORAX No 26 </t>
  </si>
  <si>
    <t>TUBO DE TORAX No 28</t>
  </si>
  <si>
    <t xml:space="preserve">TUBO DE TORAX No 32 </t>
  </si>
  <si>
    <t xml:space="preserve">TUBO DE TORAX No 34 </t>
  </si>
  <si>
    <t xml:space="preserve">UNI-CAPSETTE PARA PARAFINADO REF 9996420 </t>
  </si>
  <si>
    <t xml:space="preserve">VENDA ADHESIVA IMPERMEABLE </t>
  </si>
  <si>
    <t>VENDA ADHESIVA IMPERMEABLE REDONDA</t>
  </si>
  <si>
    <t>VENDA DE ALGODON LAMINADO DE 7,62 X 457,2 CENTIMETROS</t>
  </si>
  <si>
    <t>VENDA DE ALGODON LAMINADO  DE 10,16 X 457,2 CENTIMETROS</t>
  </si>
  <si>
    <t>VENDA DE ALGODON LAMINADO DE 12,7 X 457,2 CENTIMETROS</t>
  </si>
  <si>
    <t>VENDA DE ALGODON LAMINADO DE 15,24 X 457,2 CENTIMETROS</t>
  </si>
  <si>
    <t>VENDA DE TELA  DE 7,62 X 209,7 CENTIMETROS</t>
  </si>
  <si>
    <t>VENDA DE TELADE 10,16 X 209,7 CENTIMETROS</t>
  </si>
  <si>
    <t>VENDA DE TELA DE 12,7 X 209,7 CENTIMETROS</t>
  </si>
  <si>
    <t>VENDA DE TELA  DE 15,24 X 209,7 CENTIMETROS</t>
  </si>
  <si>
    <t>VENDA DE YESO  DE 7,62 X 457,2 CENTIMETROS</t>
  </si>
  <si>
    <t>VENDA DE YESO  DE 10,16 X 457,2 CENTIMETROS</t>
  </si>
  <si>
    <t>CAJA CON 12 UNIDADES DE 12,7 X 457,2 CENTIMETROS</t>
  </si>
  <si>
    <t>VENDA DE YESO DE 15,24 X 457,2 CENTIMETROS</t>
  </si>
  <si>
    <t>VENDA ELASTICA  DE 7,62 X 457,2 CENTIMETROS</t>
  </si>
  <si>
    <t>VENDA ELASTICA  DE 10,16 X 457,2 CENTIMETROS</t>
  </si>
  <si>
    <t>VENDA ELASTICA  DE 12,7 X 457,2 CENTIMETROS</t>
  </si>
  <si>
    <t>VENDA ELASTICA DE 15,24 X 457,2 CENTIMETROS</t>
  </si>
  <si>
    <t xml:space="preserve">YODOPOLIVIDONA ESPUMA </t>
  </si>
  <si>
    <t xml:space="preserve">YODOPOLIVIDONA SOLUCION </t>
  </si>
  <si>
    <t xml:space="preserve">YODOPOVIDONA AL 11 % </t>
  </si>
  <si>
    <t>ACETATO PARA IMPRESION DE IMAGEN RADIOGRAFICA REF DI-HL BLUE BASE SAFELIGTH GLASS Nª 4  DE 35 X 43 CENTIMETROS (14 X 17 PULGADAS)</t>
  </si>
  <si>
    <t>ACETATO PARA IMPRESION DE IMAGEN RADIOGRAFICAREF DI-HL BLUE BASE SAFELIGTH GLASS Nº 4  DE 20,3 X 25,4 CENTIMETROS (8 X 10 PULGADAS)</t>
  </si>
  <si>
    <t>ACETATO PARA IMPRESION IMAGEN RADIOGRAFICA REF DRYSTAR DT 2 B DE 35 X 43 CENTIMETROS (14 X 17 PULGADAS)</t>
  </si>
  <si>
    <t>DESCRIPCION  Y/O ESPECIALIDAD  (4)</t>
  </si>
  <si>
    <t>No DE HORAS  (5)</t>
  </si>
  <si>
    <t>No DE PROFESIONALES (6)</t>
  </si>
  <si>
    <t>DESTINACION      (14)</t>
  </si>
  <si>
    <t>AUTORIZO AREA TECNICA:</t>
  </si>
  <si>
    <t>IDENTIFICACION PPTAL (1)</t>
  </si>
  <si>
    <t>CONCEPTO (2)</t>
  </si>
  <si>
    <t>CODIGO CUBS       (3)</t>
  </si>
  <si>
    <t>IMPUTACION PRESUPUESTAL</t>
  </si>
  <si>
    <t xml:space="preserve">TOTAL PRESUPUESTO </t>
  </si>
  <si>
    <t>GASTOS GENERALES</t>
  </si>
  <si>
    <t>DIRECCION DE SANIDAD</t>
  </si>
  <si>
    <t>GASTOS DE PERSONAL</t>
  </si>
  <si>
    <t>SERVICIOS PERSONALES ASOCIADOS A NOMINA</t>
  </si>
  <si>
    <t>Sueldos de Personal de Nomina</t>
  </si>
  <si>
    <t>1</t>
  </si>
  <si>
    <t>Sueldos</t>
  </si>
  <si>
    <t>2</t>
  </si>
  <si>
    <t>Otros Gastos Personales (Distribucion Previo Concepto DGPPN)</t>
  </si>
  <si>
    <t>Gastos de Personal</t>
  </si>
  <si>
    <t>Horas Extras Dias Festivos e Indemnizacion por Vacaciones</t>
  </si>
  <si>
    <t xml:space="preserve">Horas Extras </t>
  </si>
  <si>
    <t>Recargos Nocturnos y Festivos</t>
  </si>
  <si>
    <t>3</t>
  </si>
  <si>
    <t>Indemnizacion por Vacaciones</t>
  </si>
  <si>
    <t>Pago Pasivos Exigibles Vigencias Expiradas</t>
  </si>
  <si>
    <t>SERVICIOS PERSONALES INDIRECTOS</t>
  </si>
  <si>
    <t>Gastos de Personal Supernumerario</t>
  </si>
  <si>
    <t>Honorarios</t>
  </si>
  <si>
    <t>Remuneracion Servicios Tecnicos</t>
  </si>
  <si>
    <t>CONTRIBUCIONES INHERENTES A LA NOMINA SECTOR PRIVADO Y PUBLICO</t>
  </si>
  <si>
    <t>Administradas por el Sector Privado</t>
  </si>
  <si>
    <t>Cajas de Compensacion Privadas</t>
  </si>
  <si>
    <t>Fondos Administradores de Cesantias Privados</t>
  </si>
  <si>
    <t>Fondos Administradores de Pensiones Privados</t>
  </si>
  <si>
    <t>4</t>
  </si>
  <si>
    <t>Empresas Privadas Promotoras de salud</t>
  </si>
  <si>
    <t>Administradoras Privadas de Aportes para Accidentes de Trabajo y Enfermedades Profesionales</t>
  </si>
  <si>
    <t>Administradas por el Sector Publico</t>
  </si>
  <si>
    <t>Cajas de Compensacion Publicas</t>
  </si>
  <si>
    <t>OTROS GASTOS  POR ADQUISICION DE SERVICIOS</t>
  </si>
  <si>
    <t>POLICIA NACIONAL</t>
  </si>
  <si>
    <t>ELABORO:</t>
  </si>
  <si>
    <t>REVISO:</t>
  </si>
  <si>
    <t>FIRMA</t>
  </si>
  <si>
    <t>JEFE AREA :</t>
  </si>
  <si>
    <t>ASIGANCION INTERNA Y NOMBRE DE LA UNIDAD :</t>
  </si>
  <si>
    <t>Sueldos de Vacaciones</t>
  </si>
  <si>
    <t>Prima Tecnica</t>
  </si>
  <si>
    <t>Prima Tecnica Salarial</t>
  </si>
  <si>
    <t>Otros</t>
  </si>
  <si>
    <t>Bonificacion por servicios Prestados</t>
  </si>
  <si>
    <t>5</t>
  </si>
  <si>
    <t>Bonificacion Especial de Recreacion</t>
  </si>
  <si>
    <t>12</t>
  </si>
  <si>
    <t>Subsidio de Alimentacion</t>
  </si>
  <si>
    <t>13</t>
  </si>
  <si>
    <t>Auxilio de Transporte</t>
  </si>
  <si>
    <t>14</t>
  </si>
  <si>
    <t>Prima de Servicio</t>
  </si>
  <si>
    <t>15</t>
  </si>
  <si>
    <t>Prima de Vacaciones</t>
  </si>
  <si>
    <t>16</t>
  </si>
  <si>
    <t>Prima de Navidad</t>
  </si>
  <si>
    <t>68</t>
  </si>
  <si>
    <t>Rurales</t>
  </si>
  <si>
    <t>74</t>
  </si>
  <si>
    <t>Bonificacion por Seguro de Vida Colectivo</t>
  </si>
  <si>
    <t>PERIODO DE CONTRATACION (7)</t>
  </si>
  <si>
    <t>HONORARIO
MENSUAL           (8)</t>
  </si>
  <si>
    <t>RESERVA PRESUPUESTAL (9)</t>
  </si>
  <si>
    <t>VALOR VIGENCIA  (11)</t>
  </si>
  <si>
    <t>MODALIDAD DE CONTRATO (13)</t>
  </si>
  <si>
    <t>SUTURA ACIDO POLIGLICOLICO TRENZADO 3/0 SH</t>
  </si>
  <si>
    <t>SUTURA ACIDO POLIGLICOLICO TRENZADO 4/0</t>
  </si>
  <si>
    <r>
      <t xml:space="preserve">Servicios Medicos Y Hospitarios </t>
    </r>
    <r>
      <rPr>
        <b/>
        <sz val="10"/>
        <rFont val="Arial"/>
        <family val="2"/>
      </rPr>
      <t>(TABLA DE HONORARIOS)</t>
    </r>
  </si>
  <si>
    <t>SUTURA ACIDO POLIGLICOLICO TRENZADO 0 CT-I</t>
  </si>
  <si>
    <t xml:space="preserve">    FORMATO No 1 GASTOS DE PERSONAL DE NOMINA Y CONTRATOS DE PRESTACION DE SERVICIOS</t>
  </si>
  <si>
    <t>TAPON NASAL EN POLIVINIL ACETAL 8.0 CM CON BALON  UND</t>
  </si>
  <si>
    <t xml:space="preserve"> </t>
  </si>
  <si>
    <t xml:space="preserve">  </t>
  </si>
  <si>
    <t>MES PROYECTADO DE LA CONTRATACION (14)</t>
  </si>
  <si>
    <t>Fondo Nacional del Ahorro</t>
  </si>
  <si>
    <t>Fondos Administradores de Pensiones Publicos</t>
  </si>
  <si>
    <t>Caja Promotora de Vivienda Militar</t>
  </si>
  <si>
    <t>Otros Fondos Administradores de Cesantias Publicos</t>
  </si>
  <si>
    <t>6</t>
  </si>
  <si>
    <t>Empresas Publicas Promotoras de salud</t>
  </si>
  <si>
    <t>7</t>
  </si>
  <si>
    <t>Administradoras Publicas de Aportes para Accidentes de Trabajo y Enfermedades Profesionales</t>
  </si>
  <si>
    <t>Aportes al ICBF</t>
  </si>
  <si>
    <t>Aportes al SENA</t>
  </si>
  <si>
    <t>Aportes al ESAP</t>
  </si>
  <si>
    <t>Aportes a Escuelas Industriales e Institutos Tecnicos</t>
  </si>
  <si>
    <t>Nota: Favor leer las instrucciones antes de diligenciar el formato</t>
  </si>
  <si>
    <t>UNIDAD</t>
  </si>
  <si>
    <t>JABON QUIRÚRGICO A BASE DE CLORHEXIDINA CON TAPA DISPENSADORA</t>
  </si>
  <si>
    <t>CAJA X 100 UNIDADES</t>
  </si>
  <si>
    <t>RESINA NANOHIBRIDA PARA EL SECTOR ANTERIOR COLOR A1</t>
  </si>
  <si>
    <t>RESINA NANOHIBRIDA PARA EL SECTOR ANTERIOR COLOR A2</t>
  </si>
  <si>
    <t>RESINA NANOHIBRIDA PARA EL SECTOR ANTERIOR COLOR A3</t>
  </si>
  <si>
    <t>RESINA NANOHIBRIDA PARA EL SECTOR ANTERIOR COLOR A3.5</t>
  </si>
  <si>
    <t>SELLANTE</t>
  </si>
  <si>
    <t>HOJA PARA BISTURI No. 11</t>
  </si>
  <si>
    <t>AGUJA HIPODERMICA N° 20 GA X 1 1/2 IN</t>
  </si>
  <si>
    <t>SONDA VESICAL FOLEY 2 VIAS No. 16</t>
  </si>
  <si>
    <t>TOALLA INDIVIDUAL DE USO EXTERNO IMPREGNADA DE ALCOHOL ISOPROPILICO AL 70%</t>
  </si>
  <si>
    <t>SUTURA SEDA QUIRURGICA NEGRA TRENZADA 2/0 DE 45CM CON AGUJA ( 3/8 CIRCULO CORTANTE 26MM)</t>
  </si>
  <si>
    <t>CAJA X 50 UNIDADES</t>
  </si>
  <si>
    <t>PAQUETE X 10 UNIDADES</t>
  </si>
  <si>
    <t>PAQUETE X 50 UNIDADES</t>
  </si>
  <si>
    <t>PAQUETE X 5 UNIDADES</t>
  </si>
  <si>
    <t>ROLLO X 100 METROS</t>
  </si>
  <si>
    <t>PAQUETE X 100 UNIDADES</t>
  </si>
  <si>
    <t>CAJA X 36 UNIDADES</t>
  </si>
  <si>
    <t>CAJA X 24 UNIDADES</t>
  </si>
  <si>
    <t>ALCOHOL GLICERINADO</t>
  </si>
  <si>
    <t>APLICADOR DE MADERA CON PUNTA DE ALGODON</t>
  </si>
  <si>
    <t>GUANTES DESECHABLES TALLA S</t>
  </si>
  <si>
    <t>SONDA HIDROFILICA 100% GENTLECATH GLIDE CAL. 14 FR</t>
  </si>
  <si>
    <t>GALLETAS PARA COLOSTOMÍA NUMERO 45 MM TIPO ACORDION</t>
  </si>
  <si>
    <t>GUANTES ESTERILES 7</t>
  </si>
  <si>
    <t>INHALOCAMARA ADULTO</t>
  </si>
  <si>
    <t>INHALOCAMARA PEDIATRICA</t>
  </si>
  <si>
    <t>MICRONEBULIZADOR PEDIATRICO</t>
  </si>
  <si>
    <t>MICRONEBULIZADOR ADULTO</t>
  </si>
  <si>
    <t>CIRCUITO PARA ANESTESIA ADULTO CON BALON</t>
  </si>
  <si>
    <t>TURBINA DESECHABLE PARA ESPIROMETRO</t>
  </si>
  <si>
    <t>MASCARA DE VENTURY ADULTO</t>
  </si>
  <si>
    <t>MASCARA DE NO REINHALACION ADULTO</t>
  </si>
  <si>
    <t>HOJA PARA BISTURI No. 10</t>
  </si>
  <si>
    <t>HOJA PARA BISTURI No. 20</t>
  </si>
  <si>
    <t>AGUJA HIPODERMICA No. 18 GA X 1 IN</t>
  </si>
  <si>
    <t>AGUJA HIPODERMICA N° 21 GA X 1 1/2 IN</t>
  </si>
  <si>
    <t>AGUJA HIPODERMICA N°25 G X 5/8</t>
  </si>
  <si>
    <t>JERINGA DESECHABLE DE 1CC CUBICO CON AGUJA N°27</t>
  </si>
  <si>
    <t>JERINGA DESECHABLE DE 20 MLCUBICOS CON AGUJA No.21GX 1 ½”</t>
  </si>
  <si>
    <t>JERINGA DESECHABLE DE 50 ML CUBICOS CON AGUJA No. 21 GX 1 ½”</t>
  </si>
  <si>
    <t>JERINGA DE 60CC PUNTA CATETER</t>
  </si>
  <si>
    <t>AGUJA ESPINAL No.27G</t>
  </si>
  <si>
    <t>AGUJA ENDODONTICA PUNTA DELGADA Y FLEXIBLE CALIBRE 27 G O 27 GA. X 25 MM.</t>
  </si>
  <si>
    <t>CINTAS O MATRIZ DE MYLLAR O MYLAR</t>
  </si>
  <si>
    <t>CONO DE PAPEL PRIMERA SERIE ESTÁNDAR</t>
  </si>
  <si>
    <t>CONOS DE GUTAPERCHA No. 15</t>
  </si>
  <si>
    <t>CONOS DE GUTAPERCHA No .20</t>
  </si>
  <si>
    <t>CONOS DE GUTAPERCHA No . 25</t>
  </si>
  <si>
    <t>CONOS DE GUTAPERCHA No. 30</t>
  </si>
  <si>
    <t>CONOS DE GUTAPERCHA No. 35</t>
  </si>
  <si>
    <t>CONOS DE GUTAPERCHA No. 40</t>
  </si>
  <si>
    <t>CUÑAS DE MADERA</t>
  </si>
  <si>
    <t>FRESA ZECRYA DE CARBURO DE11MM</t>
  </si>
  <si>
    <t>LIMAS No. 06 DE 25 MM (PRESERIE) MANUAL DE ACERO INOXIDABLE</t>
  </si>
  <si>
    <t>LIMA No. 08 DE 25 MM (PRESERIE) MANUAL DE ACERO INOXIDABLE</t>
  </si>
  <si>
    <t>LIMA No. 10 DE 25 MM (PRESERIE) MANUAL DE ACERO INOXIDABLE</t>
  </si>
  <si>
    <t>LIMA No. 20 DE 25 MM MANUAL DE ACERO INOXIDABLE PRIMERA SERIE</t>
  </si>
  <si>
    <t>LIMA No. 25 DE 25 MM MANUAL DE ACERO INOXIDABLE PRIMERA SERIE</t>
  </si>
  <si>
    <t>LIMA No. 30 DE 25 MM MANUAL DE ACERO INOXIDABLE PRIMERA SERIE</t>
  </si>
  <si>
    <t>LIMA No. 35 DE 25 MM MANUAL DE ACERO INOXIDABLE PRIMERA SERIE</t>
  </si>
  <si>
    <t>LIMA No. 40 DE 25 MM MANUAL DE ACERO INOXIDABLE PRIMERA SERIE</t>
  </si>
  <si>
    <t>LIMA No. 45 DE 25 MM MANUAL DE ACERO INOXIDABLE SEGUNDA SERIE</t>
  </si>
  <si>
    <t>LIMA No. 50 DE 25 MM MANUAL DE ACERO INOXIDABLE SEGUNDA SERIE</t>
  </si>
  <si>
    <t>LIMA No. 55 DE 25 MM MANUAL DE ACERO INOXIDABLE SEGUNDA SERIE</t>
  </si>
  <si>
    <t>LIMA No. 60 DE 25 MM MANUAL DE ACERO INOXIDABLE SEGUNDA SERIE</t>
  </si>
  <si>
    <t>LIMA No. 80 DE 25 MM MANUAL DE ACERO INOXIDABLE SEGUNDA SERIE</t>
  </si>
  <si>
    <t>LIMA No. 30 DE 31 MM MANUAL DE ACERO INOXIDABLE</t>
  </si>
  <si>
    <t>LIMA No. 35 DE 31 MM MANUAL DE ACERO INOXIDABLE</t>
  </si>
  <si>
    <t>LIMA No. 40 DE 31 MM MANUAL DE ACERO INOXIDABLE</t>
  </si>
  <si>
    <t>LIMA No. 45 DE 31 MM MANUAL DE ACERO INOXIDABLE SEGUNDA SERIE</t>
  </si>
  <si>
    <t>LIMA No. 50 DE 31 MM MANUAL DE ACERO INOXIDABLE SEGUNDA SERIE</t>
  </si>
  <si>
    <t>LIMA No. 55 DE 31 MM MANUAL DE ACERO INOXIDABLE SEGUNDA SERIE</t>
  </si>
  <si>
    <t>LIMA No. 60 DE 31 MM MANUAL DE ACERO INOXIDABLE SEGUNDA SERIE</t>
  </si>
  <si>
    <t>CONO DE PAPEL SEGUNDA SERIE</t>
  </si>
  <si>
    <t>SEPARADOR DE LENGUA</t>
  </si>
  <si>
    <t>BANDA MATRIZ O BANDA PARA PORTAMATRIZ EN ACERO INOXIDABLE EN CAJA DISPENSADORA ESPESOR DE 5 MM A 0.05 MM X 3.0 MTS. 1/4 ( BANDA ANGOSTA)</t>
  </si>
  <si>
    <t>AGUJA ODONTOLOGICA PARA JERINGA CARPULE 30G-03X11 MM</t>
  </si>
  <si>
    <t>EYECTOR DE SALIVA</t>
  </si>
  <si>
    <t>PROTECTOR REVESTIMIENTO DE PULPA DE SILICATO DE CALCIO</t>
  </si>
  <si>
    <t>MTA CAPSULA</t>
  </si>
  <si>
    <t>PLACA DE FOSTORO PARA VISTASCAN MINI DURR 2+</t>
  </si>
  <si>
    <t>TAPON VENOSO</t>
  </si>
  <si>
    <t>EQUIPO DE EXTENSION PARA ANESTESIA</t>
  </si>
  <si>
    <t>CABLES DE ECOG</t>
  </si>
  <si>
    <t>MASCARA DE VENTURY PEDIATRICO</t>
  </si>
  <si>
    <t>ADHESIVO UNIVERSAL AUTO-GRAVABLE</t>
  </si>
  <si>
    <t>FUNDAS DE PLASTICO PARA PLACA DE FOSFORO # 2.</t>
  </si>
  <si>
    <t>FUNDAS DE PLASTICO PARA PLACA DE FOSFORO # 0</t>
  </si>
  <si>
    <t>EQUIPO DE MACROGOTEO</t>
  </si>
  <si>
    <t>SONDA VESICAL FOLEY 2 VIAS NO 20</t>
  </si>
  <si>
    <t>SONDA VESICAL FOLEY 2 VIAS NO 22</t>
  </si>
  <si>
    <t>SONDA NELATON # 12</t>
  </si>
  <si>
    <t>SONDA NELATON # 14</t>
  </si>
  <si>
    <t>ESPECULOS ADULTO PARA OTOSCOPIA</t>
  </si>
  <si>
    <t>ESPECULOS PEDIATRICOS PARA OTOSCOPIA</t>
  </si>
  <si>
    <t>LAPIZ DE ELECTROBISTURI</t>
  </si>
  <si>
    <t>PLACA DE ELECTROCAUTERIO ADULTO</t>
  </si>
  <si>
    <t>ESPECULOS DESECHABLES VAGINALES</t>
  </si>
  <si>
    <t>VENDA ELÁSTICA DE 4X5</t>
  </si>
  <si>
    <t>VENDA ELÁSTICA DE 5X5</t>
  </si>
  <si>
    <t>VENDA ELÁSTICA DE 6X5</t>
  </si>
  <si>
    <t>VENDA DE ALGODÓN LAMINADO DE 6X5</t>
  </si>
  <si>
    <t>PARCHES DE DEA PARA DESFIBRILADOR</t>
  </si>
  <si>
    <t>ELECTRODO PUNTA PALETA LARGA PARA ELECTROBISTURI</t>
  </si>
  <si>
    <t>ELECTRODO PUNTA FINA PEDIATRICA CORTA PARA ELECTROBISTURI</t>
  </si>
  <si>
    <t>ELECTRODO AUTOADHESIVO REDONDO ADULTO</t>
  </si>
  <si>
    <t>ELECTRODO AUTOADHESIVO REDONDO PEDIATRICO</t>
  </si>
  <si>
    <t>LAPIZ ELECTRO-BISTURI SUCCION 8FR</t>
  </si>
  <si>
    <t>FERULA NASAL INTERNA (SPLINT NASAL) - DOYLE</t>
  </si>
  <si>
    <t>42141602</t>
  </si>
  <si>
    <t>41116126</t>
  </si>
  <si>
    <t>AGUJA PERICRANEAL N° 23</t>
  </si>
  <si>
    <t>JERINGA DE GASOMETRIA</t>
  </si>
  <si>
    <t>SUTURA ACIDO POLIGLICOLICO,TRENZADO SINTETICA, ABSORBIBLE, 3/0 (3/8 CIRCULO CORTANTE 24MM)</t>
  </si>
  <si>
    <t>SUTURA SEDA QUIRURGICA NEGRA TRENZADA 3/0 DE 45 CM CON AGUJA RECTA (3/8 RECTA CORTANTE 25-27MM)</t>
  </si>
  <si>
    <t>SONDA NASOGASTRICA N°10</t>
  </si>
  <si>
    <t>VENDA DE YESO 3"</t>
  </si>
  <si>
    <t>VENDA DE YESO 4"</t>
  </si>
  <si>
    <t>VENDA DE YESO 5"</t>
  </si>
  <si>
    <t>VENDA DE YESO 6"</t>
  </si>
  <si>
    <t>SONDA LUBRICADA SPEEDICATH 8 FR PEDIATRICA</t>
  </si>
  <si>
    <t>PAQUETE CALIENTE CERVICAL</t>
  </si>
  <si>
    <t>MASCARILLA DE OXIGENO ADULTO</t>
  </si>
  <si>
    <t>MASCARILLA DE OXIGENO PEDIATRICO</t>
  </si>
  <si>
    <t>TUBO OROTRAQUEAL 5.0</t>
  </si>
  <si>
    <t>TUBO OROTRAQUEAL 5.5</t>
  </si>
  <si>
    <t>TUBO OROTRAQUEAL 6.0</t>
  </si>
  <si>
    <t>TUBO OROTRAQUEAL 6.5</t>
  </si>
  <si>
    <t>TUBO OROTRAQUEAL 7.0</t>
  </si>
  <si>
    <t>TUBO OROTRAQUEAL 7.5</t>
  </si>
  <si>
    <t>TUBO OROTRAQUEAL 8.0</t>
  </si>
  <si>
    <t>TUBO OROTRAQUEAL 8.5</t>
  </si>
  <si>
    <t>TUBO OROTRAQUEAL 9.0</t>
  </si>
  <si>
    <t>MECHERO DE ALCOHOL EN LATON PARA LABORATORIO</t>
  </si>
  <si>
    <t>PLACA PARA SEROLOGIA, PLACA EN VIDIO CON CAVIDADES O EXCAVADA O CON ANILLOS PARA REACCION</t>
  </si>
  <si>
    <t>AGUJA ODONTOLOGICA CORTA PARA JERINGA CARPULE 30G- ENTRE 21 MM Y 25 MM</t>
  </si>
  <si>
    <t>BANDA MATRIZ O BANDA PARA PORTAMATRIZ EN ACERO INOXIDABLE BANDA ANCHA</t>
  </si>
  <si>
    <t>ESPEJOS N°5</t>
  </si>
  <si>
    <t>DISCOS DE PULIDO GRANO GRUESO</t>
  </si>
  <si>
    <t>DISCOS DE PULIDO GRANO MEDIANO</t>
  </si>
  <si>
    <t>LIMAS N°20 DE 21 MM</t>
  </si>
  <si>
    <t>LIMAS N°20 DE 31 MM</t>
  </si>
  <si>
    <t>TIRAS O LIJAS METALICAS ABRASIVAS EN ACERO</t>
  </si>
  <si>
    <t>FRESA SURTIDA CON GRANOS DE DIAMANTE PARA PULIR RESINA HALO AMARILLO GRANO EXTRAFINO</t>
  </si>
  <si>
    <t>CEPILLO PARA PULIR RESINA</t>
  </si>
  <si>
    <t>CAJA x 100 UNIDADES</t>
  </si>
  <si>
    <t>CAJA X 25 UNIDADES</t>
  </si>
  <si>
    <t>CAJA X 50 CARPULAS</t>
  </si>
  <si>
    <t>POLVO Y LIQUIDO KIT X 2 FRASCOS</t>
  </si>
  <si>
    <t>KIT TUBO BASE X 12 GRS TUBO CATALIZADOR X 18 GRS</t>
  </si>
  <si>
    <t>BLISTER X 6 UNIDADES</t>
  </si>
  <si>
    <t>FRASCO X 15 ML</t>
  </si>
  <si>
    <t>PAQUETE X 2 CAPSULAS</t>
  </si>
  <si>
    <t>CAJA X 120 UND + MANDRIL</t>
  </si>
  <si>
    <t>FRASCO GOTERO X 15ML</t>
  </si>
  <si>
    <t>TUBO X 4 GR</t>
  </si>
  <si>
    <t>CAJA X 6 TUBOS</t>
  </si>
  <si>
    <t>SOBRE O CAJA X 12 UNIDADES</t>
  </si>
  <si>
    <t>FRASCO X 2000 ML</t>
  </si>
  <si>
    <t>CAJA X 100 MONODOSIS</t>
  </si>
  <si>
    <t>JERINGA X 2 GRS</t>
  </si>
  <si>
    <t>PAQUETE X 100</t>
  </si>
  <si>
    <t>JERINGA X 1GR</t>
  </si>
  <si>
    <t>JERINGA X 4GRS</t>
  </si>
  <si>
    <t>PAQUETE X 200</t>
  </si>
  <si>
    <t>CAJA X 12 UNIDADES</t>
  </si>
  <si>
    <t>TUBO  3GRS</t>
  </si>
  <si>
    <t xml:space="preserve">PAQUETEX 25 UNIDADES </t>
  </si>
  <si>
    <t>PAQUETE X 25 UNIDADES</t>
  </si>
  <si>
    <t>CAJA X 10 UNIDADES</t>
  </si>
  <si>
    <t>FRASCO X 500 ML</t>
  </si>
  <si>
    <t>PAQUETE X 12 UNIDADES</t>
  </si>
  <si>
    <t>FRASCO X 453 GR</t>
  </si>
  <si>
    <t>ROLLO</t>
  </si>
  <si>
    <t>CAJA X 200 UNIDADES</t>
  </si>
  <si>
    <t>15 CM X 60 CM</t>
  </si>
  <si>
    <t>25 CM X 45 CM</t>
  </si>
  <si>
    <t>PAQUETE POR 4 UNIDADES</t>
  </si>
  <si>
    <t>ROLLO X 3 MTRS</t>
  </si>
  <si>
    <t>BOLSA O PAQUETE X 30 UNIDADES</t>
  </si>
  <si>
    <t>BLISTER O CAJA X 6 UNIDADES</t>
  </si>
  <si>
    <t>TARRO X 100 UNIDADES</t>
  </si>
  <si>
    <t>KIT X 10 UNIDADES</t>
  </si>
  <si>
    <t>CINTA INDICADOR QUIMICO EXTERNO PARA ESTERILIZAR A VAPOR</t>
  </si>
  <si>
    <t>CINTA OBSTETRICA</t>
  </si>
  <si>
    <t>CINTA METRICA</t>
  </si>
  <si>
    <t>ACEITE LUBRICANTE EN SPRAY</t>
  </si>
  <si>
    <t>LUBRICANTE PARA INSTRUMENTAL</t>
  </si>
  <si>
    <t>EUGENOL LIQUIDO</t>
  </si>
  <si>
    <t>ALGODÓN ODONTOLOGICOS</t>
  </si>
  <si>
    <t>GASAS ODONTOLOGICAS</t>
  </si>
  <si>
    <t>MEPIVACAINA 3% CARPULA SIN VASOCONSTRICTOR</t>
  </si>
  <si>
    <t>LIDOCAINA CLORHIDRATO 36 MG, CON EPINEFRINA 22,5 MG AL 2% CARPULAS DE 1,8 ML.</t>
  </si>
  <si>
    <t>HEMOSTÁTICO SULFATO FERRICO 15.5%</t>
  </si>
  <si>
    <t>ÁCIDO HIALURÓNICO</t>
  </si>
  <si>
    <t>CAJA X 12 CUADERNILLOS CADA UNO CON 12 HOJAS</t>
  </si>
  <si>
    <t>BOLSA X 34 UNIDADES</t>
  </si>
  <si>
    <t>SEDA DENTAL CON CERA</t>
  </si>
  <si>
    <t>CEMENTO DE OXIFOSFATO DE ZINC POLVO</t>
  </si>
  <si>
    <t>CEMENTO PARA OBTURAR CONDUCTO A BASE DE HIDROXIDO DECALCIO, SELLADOR DE CONDUCTOS RADICULARES.</t>
  </si>
  <si>
    <t>CLORHEXIDINA GLUCONATO</t>
  </si>
  <si>
    <t>FRASCO X 5 ML</t>
  </si>
  <si>
    <t>PAPEL ECOGRAFO DE IMPRESIÓN TECNICA DE ALTA CALIDAD</t>
  </si>
  <si>
    <t>PAPEL DE ARTICULAR.</t>
  </si>
  <si>
    <t>PAPEL DE MONITOREO FETAL</t>
  </si>
  <si>
    <t>ROLLO EN PAPEL GRADO MEDICO PLANO DE 5 CM X 200 MT PARA ESTERILIZACIÓN A VAPOR.</t>
  </si>
  <si>
    <t>ROLLO EN PAPEL GRADO MEDICO PLANO DE 10 CM X 200 MT PARA ESTERILIZACIÓN A VAPOR.</t>
  </si>
  <si>
    <t>ROLLO EN PAPEL GRADO MEDICO PLANO DE 15 CM X 200 MT PARA ESTERILIZACIÓN A VAPOR.</t>
  </si>
  <si>
    <t>ROLLO EN PAPEL GRADO MEDICO PLANO DE 30 CM X 200 MT PARA ESTERILIZACIÓN A VAPOR.</t>
  </si>
  <si>
    <t>ROLLO EN PAPEL GRADO MEDICO PLANO DE 35 CM X 200 MT PARA ESTERILIZACIÓN A VAPOR.</t>
  </si>
  <si>
    <t>CINTA INDICADOR QUIMICO DE PEROXIDO DE HIDROGENO</t>
  </si>
  <si>
    <t>PAPEL CREPADO</t>
  </si>
  <si>
    <t>TELA DE CAUCHO PARA AISLAMIENTO</t>
  </si>
  <si>
    <t>GUANTES ESTERILES N° 6.0</t>
  </si>
  <si>
    <t>GUANTES ESTERILES N° 8.0</t>
  </si>
  <si>
    <t>GUANTES ESTERILES N° 8 1/2</t>
  </si>
  <si>
    <t>PIEDRAS BLANCAS ABRASIVAS</t>
  </si>
  <si>
    <t>HIDROXIDO DE CALCIO EN POLVO</t>
  </si>
  <si>
    <t>HIDROXIDO DE CALCIO LECHADA</t>
  </si>
  <si>
    <t>DISOLVENTE DE GUTAPERCHA.</t>
  </si>
  <si>
    <t>SILICATO DE CALCIO</t>
  </si>
  <si>
    <t>RESINA FLUIDA DE NANOTECNOLOGIA COLOR A2</t>
  </si>
  <si>
    <t>RESINA FLUIDA DE NANOTECNOLOGIA COLOR A3</t>
  </si>
  <si>
    <t>RESINA MICROHIBRIDA FOTOCURADO PARA RESTAURACIONES EN EL SECTOR POSTERIOR COLOR A3</t>
  </si>
  <si>
    <t>RESINA NANOHIBRIDA PARA EL SECTOR ANTERIOR COLOR C2</t>
  </si>
  <si>
    <t>HIPOCLORITO AL 5%</t>
  </si>
  <si>
    <t>FRASCO X 10 GRS</t>
  </si>
  <si>
    <t xml:space="preserve">POTE O TUBO  X 50 GRS, </t>
  </si>
  <si>
    <t>ALCOHOL ANTISEPTICO AL 70%</t>
  </si>
  <si>
    <t>FORMOL AL 10%</t>
  </si>
  <si>
    <t>LUGOL PARA COLPOSCOPIA</t>
  </si>
  <si>
    <t>AGENTE ESTERILIZANTE DE PEROXIDO DE HIDROGENO BOTELLA COMPATIBLE CON AUTOCLAVE TUTTNAVER</t>
  </si>
  <si>
    <t>DESINFECTANTE DE ALTO NIVEL EN POLVO</t>
  </si>
  <si>
    <t>DESINFECTANTE DE QUINTA GENERACION</t>
  </si>
  <si>
    <t>PASTA PROFILACTICA</t>
  </si>
  <si>
    <t>BARNIZ DE FLUORURO DE SODIO ( NA) AL 5%</t>
  </si>
  <si>
    <t>CAJA X 500 O SU EQUIVALENTE EN CANTIDAD</t>
  </si>
  <si>
    <t>CAMPOS PARA CAMILLA INDIVIDUALES</t>
  </si>
  <si>
    <t>MASCARILLA DESECHABLE N95</t>
  </si>
  <si>
    <t>FUNDA PARA ALMOHADA DESECHABLE 50X70 CM</t>
  </si>
  <si>
    <t>ROLLO PARA CAMILLA PRECORTADO</t>
  </si>
  <si>
    <t>PAQUETE DE ROPA QUIRURGICA</t>
  </si>
  <si>
    <t>BAJALENGUA</t>
  </si>
  <si>
    <t>ESPUMAS PARA AURICULARES DE INSERCIÓN</t>
  </si>
  <si>
    <t>VASELINA</t>
  </si>
  <si>
    <t>CAMPO DE OJO</t>
  </si>
  <si>
    <t>CAMPO OPERATORIO</t>
  </si>
  <si>
    <t>BATA QUIRURGICA</t>
  </si>
  <si>
    <t>PIJAMAS QUIRÚRGICA</t>
  </si>
  <si>
    <t>TOALLA</t>
  </si>
  <si>
    <t>CORTINA</t>
  </si>
  <si>
    <t>PAPEL DESFIBRILADOR NIHON KOHDEN</t>
  </si>
  <si>
    <t>PAPEL DESFIBRILADOR INNOMED</t>
  </si>
  <si>
    <t>ALCOHOL INDUSTRIAL 96%</t>
  </si>
  <si>
    <t>FORMOCRESOL MOMIFICANTE PULPAR</t>
  </si>
  <si>
    <t>GALON X 3.8 LTS</t>
  </si>
  <si>
    <t>FRASCO X 1 LITRO</t>
  </si>
  <si>
    <t>ACIDO FOSFÓRICO DESMINERALIZANTE AL 37%</t>
  </si>
  <si>
    <t>JERINGA X 5 GRS</t>
  </si>
  <si>
    <t>CAJA X 5 UNIDADES</t>
  </si>
  <si>
    <t>CAJA X 100 PLIEGOS</t>
  </si>
  <si>
    <t>GALON</t>
  </si>
  <si>
    <t>FRASCO X 750ML</t>
  </si>
  <si>
    <t>FRASCO X 1000 ML</t>
  </si>
  <si>
    <t>FRASCO X 162 GRAMOS</t>
  </si>
  <si>
    <t>FRASCO X 750 ML</t>
  </si>
  <si>
    <t>BOTELLA X 150 ML</t>
  </si>
  <si>
    <t xml:space="preserve">AMPOLLA O JERINGA PRELLENADA </t>
  </si>
  <si>
    <t>ROLLO ≥ 400 MTS</t>
  </si>
  <si>
    <t>CAJA  x 100 UNIDADES</t>
  </si>
  <si>
    <t xml:space="preserve"> CAJA X 25 UNIDADES </t>
  </si>
  <si>
    <t>CAJA 20 UNIDADES</t>
  </si>
  <si>
    <t xml:space="preserve"> PAQUETE O CAJA X 50 UNIDADES </t>
  </si>
  <si>
    <t xml:space="preserve"> CAJA 200 UNIDADES </t>
  </si>
  <si>
    <t>PAQUETE X 40 UNIDADES</t>
  </si>
  <si>
    <t>ROLLO  3 MTS</t>
  </si>
  <si>
    <t>BOLSA X 250 UNIDADES</t>
  </si>
  <si>
    <t>PAQUETE X 2 UNIDADES</t>
  </si>
  <si>
    <t>TAPABOCAS DESECHABLES.</t>
  </si>
  <si>
    <t>BATA DESECHABLE MANGA CORTA PARA PACIENTE</t>
  </si>
  <si>
    <t>BABERO DESECHABLE</t>
  </si>
  <si>
    <t>BOLSA X 10 UNIDADES</t>
  </si>
  <si>
    <t>ROLLO X 80 UNID.</t>
  </si>
  <si>
    <t>CAMPO DE PIEL O DE PRIMERA</t>
  </si>
  <si>
    <t>FRASCO X 60 ML</t>
  </si>
  <si>
    <t>INDICADOR BIOLOGICO DE LECTURA RAPIDA PARA ESTERILIZACIÓN A VAPOR</t>
  </si>
  <si>
    <t>CLICKER DE 10 GRS</t>
  </si>
  <si>
    <t>IONÓMERO DE VIDRIO FOTOPOLIMERIZABLE</t>
  </si>
  <si>
    <t>CLICKER DE 12 GRS Y PRIMER 6ML</t>
  </si>
  <si>
    <t>NANOIONOMERO DE VIDRIO RESTAURADOR POLIMERIZABLE</t>
  </si>
  <si>
    <t>GLUTARALDEHIDO AL 2%</t>
  </si>
  <si>
    <t>PAQUETE X 12 BOLSAS DE 20 GRAMOS</t>
  </si>
  <si>
    <t>DETERGENTE ENZIMATICO</t>
  </si>
  <si>
    <t>BOTELLA DE 14,5 OZ/410G</t>
  </si>
  <si>
    <t>ESPUMA MULTIENZIMATICA PARA INSTRUMENTAL</t>
  </si>
  <si>
    <t>SUTURA ACIDO POLIGLICOLICO,TRENZADO SINTETICA, , ABSORBIBLE, 1 (1/2 CIRCULO REDONDA G 35-38MM)</t>
  </si>
  <si>
    <t>SUTURA ACIDO POLIGLICOLICO,TRENZADO SINTETICA, , ABSORBIBLE, 2/0 (1/2 CIRCULO REDONDA 25-27MM)</t>
  </si>
  <si>
    <t>SUTURA ACIDO POLIGLICOLICO,TRENZADO SINTETICA, , ABSORBIBLE, 2/0 (1/2 CIRCULO REDONDA G 35-38MM)</t>
  </si>
  <si>
    <t>SUTURA POLIPROPILENO MONOFILAMENTO 1 CON AGUJA (1/2 CIRCULO REDONDA G 35-38MM)</t>
  </si>
  <si>
    <t>SUTURA POLIPROPILENO MONOFILAMENTO 0 CON AGUJA (1/2 CIRCULO REDONDA G 26MM)</t>
  </si>
  <si>
    <t>SUTURA POLIPROPILENO MONOFILAMENTO 3/0 (3/8 CIRCULO CORTANTE 24-26MM)</t>
  </si>
  <si>
    <t>SUTURA POLIPROPILENO MONOFILAMENTO 5/0 (1/2 CIRCULO CORTANTE 24-26MM)</t>
  </si>
  <si>
    <t>SUTURA SEDA QUIRURGICA NEGRA TRENZADA 0 SIN AGUJA DE 75CM SIN AGUJA</t>
  </si>
  <si>
    <t>SUTURA SEDA QUIRURGICA NEGRA TRENZADA 2/0 SIN AGUJA DE 75CM SIN AGUJA</t>
  </si>
  <si>
    <t>MALLA DE POLIPROPILENO</t>
  </si>
  <si>
    <t>FRASCO X 120ML</t>
  </si>
  <si>
    <t>YODOPOVIDONA SOLUCIÓN</t>
  </si>
  <si>
    <t>FRASCO X 250ML</t>
  </si>
  <si>
    <t>GEL CONDUCTOR PARA ULTRASONIDO</t>
  </si>
  <si>
    <t xml:space="preserve">CAJA X 3 UNIDADES </t>
  </si>
  <si>
    <t>GEL PREPARADOR PARA LA PIEL</t>
  </si>
  <si>
    <t>BOLSA X 500 GR</t>
  </si>
  <si>
    <t>ALGODÓN EN POMOS</t>
  </si>
  <si>
    <t>CAJA X 20 UNIDADES</t>
  </si>
  <si>
    <t>APOSITO OCULAR</t>
  </si>
  <si>
    <t>BOTELLA X 500 ML</t>
  </si>
  <si>
    <t>TUBO X 5 UNIDADES</t>
  </si>
  <si>
    <t>SOLUCION ANTISEPTICA DE USO EXTERNO GLUCONATO DE CLORHEXIDINA AL 2% Y ALCOHOL ISOPROPILICO 70%</t>
  </si>
  <si>
    <t>DESOXIDANTE PARA INSTRUMENTAL</t>
  </si>
  <si>
    <t xml:space="preserve">FRASCO X 50 UNIDADES </t>
  </si>
  <si>
    <t>ESPONJA GELATINOSA HEMOSTÁTICA ABSORBIBLE</t>
  </si>
  <si>
    <t>CERA OSEA</t>
  </si>
  <si>
    <t>CEPILLOS PARA PROFILAXIS</t>
  </si>
  <si>
    <t>TUBO X 4 GRS</t>
  </si>
  <si>
    <t>RESINA MICROHIBRIDA FOTOCURADO PARA RESTAURACIONES EN EL SECTOR POSTERIOR COLOR B2</t>
  </si>
  <si>
    <t>HOJA PARA BISTURI No. 15</t>
  </si>
  <si>
    <t>TUBO OROTRAQUEAL 4.0</t>
  </si>
  <si>
    <t>TUBO OROTRAQUEAL 4.5</t>
  </si>
  <si>
    <t>LIBRA</t>
  </si>
  <si>
    <t>DETERGENTE MONO ENZIMÁTICO X 550 ML EN SPRAY CON ENZIMAS PROTEOLÍTICAS PARA 1000 APLICACIONES.</t>
  </si>
  <si>
    <t>DETERGENTE PARA LAVADO DE INSTRUMENTAL</t>
  </si>
  <si>
    <t>APOSITO DE ESPUMA DE POLIURETANO LAMINADO 8 x 8 CM</t>
  </si>
  <si>
    <t>APOSITO PARA HERIDAS HYDROFIBER 15 X 15CM</t>
  </si>
  <si>
    <t>BORDE DE APÓSITO DE ESPUMA DE SILICONA</t>
  </si>
  <si>
    <t>APÓSITO ADHESIVO 5 X 7.2 CM</t>
  </si>
  <si>
    <t>TEGADERM ROLL 15 CM X 10 M</t>
  </si>
  <si>
    <t>COMPRESAS DE 6 A 8 CAPAS DE 45 X 45</t>
  </si>
  <si>
    <t>GEL HIDRATANTE Y ABSORBENTE DE 85 GRAMOS 30 ONZ DE 15,5CM X 15CM X 19,5CM</t>
  </si>
  <si>
    <t>FRASCO X 80 A 83 ML</t>
  </si>
  <si>
    <t>TUBO X 30 GR</t>
  </si>
  <si>
    <t>TUBO X 85 GR</t>
  </si>
  <si>
    <t>PASTA ALVEOLAR ALVEODONT</t>
  </si>
  <si>
    <t>CEMENTO TEMPORAL SIN EUGENOL</t>
  </si>
  <si>
    <t>SOLUCION DE PLACA REVELADORA</t>
  </si>
  <si>
    <t>OXIDO DE ZINC, POLVO UTILIZADO PARA LA PREPARACION DEL EUGENOLATO CUNADO SE COMBINA CON EL EUGENOL</t>
  </si>
  <si>
    <t>SPRAY REFRIGERANTE PARA TEST DE VITALIDAD DENTAL</t>
  </si>
  <si>
    <t>COMPOMERO FOTOPOLIMERIZABLE PARA BASES CAVITARIAS</t>
  </si>
  <si>
    <t>FRASCO O POTE  X 10 GRS.</t>
  </si>
  <si>
    <t>FRASCO X 10ML</t>
  </si>
  <si>
    <t>FRASCO X 175 GRS</t>
  </si>
  <si>
    <t>SPRAY X 200 ML</t>
  </si>
  <si>
    <t>CAJA CON 20 JERINGAS UNIDOSIS DE 0.33 G C/U</t>
  </si>
  <si>
    <t>FRASCO X 6 ML</t>
  </si>
  <si>
    <t>PUNTAS PARA CAVITRON</t>
  </si>
  <si>
    <t>CARETA PROTECTORA VISOR CON REPUESTO</t>
  </si>
  <si>
    <t>PINCEL PARA PORTA PINCEL</t>
  </si>
  <si>
    <t>PAQUETE DE 50 A 60 UNIDADES</t>
  </si>
  <si>
    <t>UPRES RISARALDA</t>
  </si>
  <si>
    <t>PAPEL CRISTAFLEX ROLLO</t>
  </si>
  <si>
    <t>APOSITO DE PLATA</t>
  </si>
  <si>
    <t>APOSITO SÚPERABSORBENTE NO ADHESIVO 20 X 40CM</t>
  </si>
  <si>
    <t>APOSITO SÚPERABSORBENTE NO ADHESIVO 10 X 20CM</t>
  </si>
  <si>
    <t>APOSITO SÚPERABSORBENTE NO ADHESIVO 7.5 X 7.5 CM</t>
  </si>
  <si>
    <t>CINTA QUIRURGICA TELA NO TEJIDA HECHA DE POLIÉSTER 10 CM X 5 M</t>
  </si>
  <si>
    <t>APOSITO TRANSPARENTE</t>
  </si>
  <si>
    <t>GEL ESTÉRIL COMPUESTO DE HIDROCOLOIDES NATURALES</t>
  </si>
  <si>
    <t>DETERGENTE DESINFECTANTE CON DOBLE AMONIO CUATERNARIO SIN ALCOHOL EN SPRAY X 750 ML PARA DISPOSITIVOS MÉDICOS Y EQUIPOS BIOMÉDICOS, RINDE 1000 APLICACIONES.</t>
  </si>
  <si>
    <t>INDICADOR BIOLOGICO PARA PEROXIDO DE HIDROGENO</t>
  </si>
  <si>
    <t>GUANTES ESTERILES 6,5</t>
  </si>
  <si>
    <t>GUANTES DESECHABLES TALLA L</t>
  </si>
  <si>
    <t>GUANTES DESECHABLES TALLA M</t>
  </si>
  <si>
    <t>GUANTES ESTERILES 7.5</t>
  </si>
  <si>
    <t>MICRO APLICADOR PARA APLICACIÓN DE ADHESIVO</t>
  </si>
  <si>
    <t>SONDA DE SUCCION N° 10</t>
  </si>
  <si>
    <t>SONDA DE SUCCION N° 12</t>
  </si>
  <si>
    <t>SONDA DE SUCCION N° 16</t>
  </si>
  <si>
    <t>SONDA DE SUCCION N° 8</t>
  </si>
  <si>
    <t>SONDA NELATON NRO. 10</t>
  </si>
  <si>
    <t>SONDA NELATON NRO. 16</t>
  </si>
  <si>
    <t>SONDA NELATON NRO. 18</t>
  </si>
  <si>
    <t>SONDA NELATON NRO. 8</t>
  </si>
  <si>
    <t>SONDA VESICAL FOLEY 2 VIAS No. 14</t>
  </si>
  <si>
    <t>SONDA DE SUCCION N° 14</t>
  </si>
  <si>
    <t>SONDAS HIDROFÍLICA TECNOLOGIA FEEDCLEAN GENTLE NR. 12</t>
  </si>
  <si>
    <t>BARRERA DE COLOSTOMIA N°70 MM</t>
  </si>
  <si>
    <t>BARRERA DE COLOSTOMIA NO 57</t>
  </si>
  <si>
    <t>BOLSA DE ALIMENTACION</t>
  </si>
  <si>
    <t>BOLSA DE RECOLECCION URINARIA CYSTOFLO</t>
  </si>
  <si>
    <t>BOLSA PARA COLOSTOMIA N°70 MM</t>
  </si>
  <si>
    <t>BOLSA PARA COLOSTOMIA Nro 45</t>
  </si>
  <si>
    <t>BOLSAS PARA UROSTOMIA 57</t>
  </si>
  <si>
    <t>MANGO PORTA PINCEL</t>
  </si>
  <si>
    <t>DISCOS DE PULIDO CODIFICADOS POR COLORES CAJA X 120 UND + MANDRIL</t>
  </si>
  <si>
    <t>MASCARA DE NO REINHALACION PEDIATRICO</t>
  </si>
  <si>
    <t>AGUJA HIPODERMICA N°23 G X 1 1/2</t>
  </si>
  <si>
    <t>LIMA No. 15 DE 25 MM MANUAL DE ACERO INOXIDABLE PRIMERA SERIE</t>
  </si>
  <si>
    <t>INTEGRADOR QUIMICO A VAPOR</t>
  </si>
  <si>
    <t>CATETER VENOSO CENTRAL</t>
  </si>
  <si>
    <t>TAPON LIBRE DE AGUJA</t>
  </si>
  <si>
    <t>SUTURA POLIPROPILENO MONOFILAMENTO 4/0 CON AGUJA CORTANTE</t>
  </si>
  <si>
    <t>PAQUETE CALIENTE LUMBAR</t>
  </si>
  <si>
    <t>CANULA NASAL PARA OXIGENO ADULTO</t>
  </si>
  <si>
    <t>CANULA NASAL PARA OXIGENO PEDIATRICO</t>
  </si>
  <si>
    <t>RESUCITADOR MANUAL ADULTO</t>
  </si>
  <si>
    <t>RESUCITADOR MANUAL PEDIATRICO</t>
  </si>
  <si>
    <t>RIÑONERA</t>
  </si>
  <si>
    <t>PATO COPROSCOPICO</t>
  </si>
  <si>
    <t>PATOS DE HOMBRE</t>
  </si>
  <si>
    <t>AGUJA ODONTOLOGICA CORTA PARA JERINGA CARPULE 27G- 30MM</t>
  </si>
  <si>
    <t>FRESA CON GRANOS DE DIAMANTE MULTICAPA EN ACERO INOXIDABLE REDONDA DE PUNTO</t>
  </si>
  <si>
    <t>FRESA CON GRANOS DE DIAMANTE MULTICAPA EN ACERO INOXIDABLE PEQUEÑA</t>
  </si>
  <si>
    <t>FRESA CON GRANOS DE DIAMANTE MULTICAPA EN ACERO INOXIDABLE MEDIANA</t>
  </si>
  <si>
    <t>FRESA CON GRANOS DE DIAMANTE MULTICAPA EN ACERO INOXIDABLE GRANDE</t>
  </si>
  <si>
    <t>FRESA DE CARBURO PARA FISURA REDONDA DE 1/4 PARA PIEZA DE ALTA VELOCIDAD</t>
  </si>
  <si>
    <t>FRESA DE CARBURO REDONDA #18 PARA PIEZA DE ALTA VELOCIDAD</t>
  </si>
  <si>
    <t>CAJA X 500UNIDADES</t>
  </si>
  <si>
    <t>CAJA X 6 UNIDADES</t>
  </si>
  <si>
    <t>ELABORADOS EN MATERIAL DE UN SOLO USO, COLOR AZUL MEDIDAS :50X50CM UTILIZADAS PARA TOMAS DE MUESTRAS GINECOLOGICAS</t>
  </si>
  <si>
    <t>CORTINA CORREDIZA EN TELA ANTIFLUIDO, PARA DIVISION ENTRE PACIENTES, MEDIDAS: LARGO 2.10 METROS, ANCHO: 5.30 METROS</t>
  </si>
  <si>
    <t>DISPOSITIVO MEDICO NO ESTERIL, DISEÑADO PARA FACILITAR LA APLICACION DE MEDICAMENTOS TOPICOS Y/O EXPLORACION FISICA DE ORGANOS EXTERNOS.</t>
  </si>
  <si>
    <t>PAPEL CON ESPESOR Y CON COLOR PARA MARCAR LOS CONTACTOS DENTALES</t>
  </si>
  <si>
    <t>PAPEL EN Z PARA MONITOREO FETAL COMEN 150MMX90MM - EQUIPO COMEN C21</t>
  </si>
  <si>
    <t>PAPEL PARA ESTERILIZACIÓN EN VAPOR DE 15 CM X 200 METROS, PARA ESTERILIZACION A VAPOR</t>
  </si>
  <si>
    <t>PAPEL PARA ESTERILIZACIÓN EN VAPOR DE 35 CM X 200 METROS, CON INDICADOR EN UNA DE SUS CARAS PARA VAPOR.</t>
  </si>
  <si>
    <t>PAPEL CREPADO IDEAL PARA PROCESOS DE ESTERILIZACIÓN A VAPOR, ÓXIDO DE ETILENO Y RADIACIÓN, EN PLIEGO DE 120 CMS DE ANCHO POR 120 CMS DE LARGO.</t>
  </si>
  <si>
    <t>PAPEL PARA REMISIÓN DE MUESTRAS ROLLO 30CM X600MT CALIBRE 0.6</t>
  </si>
  <si>
    <t>PAPEL DE REGISTRO TIPO MÉDICO DE 50MM X MÍNIMO 30M PARA DESFIBRILADOR MARCA NIHON KOHDEN MODELO TEC-5631</t>
  </si>
  <si>
    <t>CONO DE PAPEL PRIMERA SERIE. ESTADANDARIZADAS. CÓDIGO DE COLOR DE ACUERDO A SU NÚMERO. SUFICIENTEMENTE RIGIDAS. ABSORBENTES. ESTERILIZADOS EN PAQUETES INDIVIDUALES. CAJA 200 UNIDADES</t>
  </si>
  <si>
    <t>ANTISEPTICO DE USO EXTERNO, PARA LAVADO EN SECO Y DESINFECCIÓN DE MANOS DEL PERSONAL MEDICO Y DE ENFERMERIA</t>
  </si>
  <si>
    <t>ES UN COMPUESTO QUIMICO ORGANICO MUY INFLAMABLE, INCOLORO, VOLATIL, USADO EN EL AREA DE LA SALUD O APLICACION INDUSTRIAL</t>
  </si>
  <si>
    <t>LIQUIDO DE OLOR FUERTE, SE EMPLEA EN LA CONSERVACION DE CUERPOS ORGANICOS MUERTOS PARA IMPEDIR SU DESCOMPOSICION.</t>
  </si>
  <si>
    <t>SUSTANCIA ES DE USO GINECOLOGICO. SOLUCIÓN DE YODURO DE POTASIO YODADO O LUGOL.</t>
  </si>
  <si>
    <t>ÁCIDO FOSFÓRICO DEL 35 AL 37% - GEL AGENTE GRABADOR PARA ESMALTE Y DENTINA DE VISCOSIDAD MEDIA DE COLOR AZUL.</t>
  </si>
  <si>
    <t>HIDROXIDO DE CALCIO LIQUIDO AL 0,3%</t>
  </si>
  <si>
    <t>XILOL DISOLVENTE DE GUTAPERCHA.</t>
  </si>
  <si>
    <t>SILICATO DE CALCIO MODIFICADO PARA TRATAR DENTINA EXPUESTA EN DIENTES TEMPORALES, LIBERA CALCIO</t>
  </si>
  <si>
    <t>HIPOCLORITO DE SODIO 5%</t>
  </si>
  <si>
    <t>ESTERILIZANTE EN FRIO PARA 10 MINUTOS DE ALTO NIVEL PARA INSTRUMENTAL MEDICO</t>
  </si>
  <si>
    <t>DESINFECTANTE Y ESTERILIZANTE EN FRIO PARA INSTRUMENTAL TERMOSENSIBLE DESPROTEINIZANTE DE RÁPIDA ACCIÓN DE ALTO NIVEL</t>
  </si>
  <si>
    <t>SOLUCIÓN DESINFECTANTE DE CLORURO DE AMONIO CUATERNARIO DE QUINTA GENERACIÓN, INDICADO PARA LA LIMPIEZA Y DESINFECCIÓN DE DISPOSITIVOS MEDICOS Y SUPERFICIES</t>
  </si>
  <si>
    <t>EUGENOL LIQUIDO USADO PARA PREPARAR CEMENTOS DE OBTURACIÓN</t>
  </si>
  <si>
    <t>RESINA FLUIDA DE NANOTECNOLOGIA JERINGA X 2 GRS COLOR A2. COMPUESTA POR MONÓ­MEROS DE RESINA DE METACRILATO BIS-GMA, TEGDMA Y BIS-EMA. NANORRELLENO DE SÍLICE NO AGLOMERADO/NO CONGLOMERADO CON UN DIÁMETRO DE 75 NM. LA CARGA DE RELLENO INORGÁNICO ES DE APROXIMADAMENTE 65% POR PESO (55% POR VOLUMEN).</t>
  </si>
  <si>
    <t>RESINA FLUIDA DE NANOTECNOLOGIA JERINGA X 2 GRS COLOR A3. COMPUESTA POR MONÓ­MEROS DE RESINA DE METACRILATO BIS-GMA, TEGDMA Y BIS-EMA. NANORRELLENO DE SÍLICE NO AGLOMERADO/NO CONGLOMERADO CON UN DIÁMETRO DE 75 NM. LA CARGA DE RELLENO INORGÁNICO ES DE APROXIMADAMENTE 65% POR PESO (55% POR VOLUMEN).</t>
  </si>
  <si>
    <t>RESINA NANOHIBRIDA PARA EL SECTOR ANTERIOR COLOR A1.  RELLENO ZIRCONIO / SÍLICE TAMAÑO DE PARTÍCULA DE APROXIMADAMENTE 3 MICRONES O MENOS.</t>
  </si>
  <si>
    <t>RESINA NANOHIBRIDA PARA EL SECTOR ANTERIOR COLOR A2.  RELLENO ZIRCONIO / SÍLICE TAMAÑO DE PARTÍCULA DE APROXIMADAMENTE 3 MICRONES O MENOS.</t>
  </si>
  <si>
    <t>RESINA NANOHIBRIDA PARA EL SECTOR ANTERIOR COLOR A3.  RELLENO ZIRCONIO / SÍLICE TAMAÑO DE PARTÍCULA DE APROXIMADAMENTE 3 MICRONES O MENOS.</t>
  </si>
  <si>
    <t>RESINA NANOHIBRIDA PARA EL SECTOR ANTERIOR COLOR A3.5   RELLENO ZIRCONIO / SÍLICE TAMAÑO DE PARTÍCULA DE APROXIMADAMENTE 3 MICRONES O MENOS.</t>
  </si>
  <si>
    <t>RESINA NANOHIBRIDA PARA EL SECTOR ANTERIOR COLOR C2   RELLENO ZIRCONIO / SÍLICE TAMAÑO DE PARTÍCULA DE APROXIMADAMENTE 3 MICRONES O MENOS.</t>
  </si>
  <si>
    <t>GASA SIN TEJER, NO ESTÉRIL, ABSORBENTE, CORTADA EN PEQUEÑOS CUADROS PARA TODO USO, EN ESPECIAL PARA LIMPIAR EXCESOS DE FLUIDOS DURANTE INTERVENCIONES DENTALES O EN LA APLICACIÓN DE MEDICAMENTO</t>
  </si>
  <si>
    <t>MEPIVACAINA 3% CARPULE SIN VASOCONSTRICTOR</t>
  </si>
  <si>
    <t>ANESTESICO LIDOCAINA CLORHIDRATO 36 MG, CON EPINEFRINA 22,5 MG (1:80.000) AL 2% CARPULAS DE 1,8 ML.</t>
  </si>
  <si>
    <t>TOALLA INDIVIDUAL DE USO EXTERNO IMPREGNADA DE ALCOHOL ISOPROPILICO AL 70%. SE UTILIZA PARA LIMPIEZA Y ANTISEPSIA DE LA PIEL.</t>
  </si>
  <si>
    <t>SEDA DENTAL CON CERA CON DISPENSADOR</t>
  </si>
  <si>
    <t>ES UN JABÓN QUIRÚRGICO, DE AMPLIO ESPECTRO. COMPOSICIÓN CLORHEXIDINA GLUCONATO AL 4%, TAMBIÉN CONOCIDO COMO DIGLUCONATO DE CLORHEXIDINA COMO PRINCIPIO ACTIVO. CON TAPA DISPENSADORA.</t>
  </si>
  <si>
    <t>CEMENTO DE OXIFOSFATO DE ZINC POLVO 32 GRS. ÓXIDO DE ZINC, ÓXIDO DE MAGNESIO, SÍLICE, TRIÓXIDO DE ZINC, TRIÓXIDO DE MAGNESIO.  Y LIQUIDO  15CC, ÁCIDO FOSFÓRICO (55-65%), AGUA.</t>
  </si>
  <si>
    <t>INDICADOR BIOLOGICO PARA PEROXIDO DE HIDROGENO - PLASMA LECTURA ULTRA RÁPIDA 20 MINUTOS</t>
  </si>
  <si>
    <t>FUNDA PEDIATRICA PARA AURICULARES DE INCERCIÓN DE 9,7 MM</t>
  </si>
  <si>
    <t>GUANTES DESECHABLES PARA EXAMINACION, FABRICADO EN LATEX L</t>
  </si>
  <si>
    <t>GUANTES DESECHABLES PARA EXAMINACION, FABRICADO EN LATEX M</t>
  </si>
  <si>
    <t>GUANTES DESECHABLES PARA EXAMINACION, FABRICADO EN LATEX S</t>
  </si>
  <si>
    <t>MICRO APLICADOR PARA APLICACIÓN DE ADHESIVO TAMAÑO REGULAR.</t>
  </si>
  <si>
    <t>INSTRUMENTO EN FORMA DE CUCHILLA, EN ACERO INOXIDABLE, QUE SE UTILIZA PARA PROCEDIMIENTOS DE CIRUGIA.</t>
  </si>
  <si>
    <t>AGUJA HIPODERMICA No. 20 GA X 1 IN</t>
  </si>
  <si>
    <t>ELEMENTO QUE PERMITE LA ADMINISTRACION POR VIA INTRAVENOSA DE FLUIDOS. CON MECANISMO DE SEGURIDAD PASIVA QUE SE ACTIVA AUTOMATICAMENTE CUANDO SE RETIRA LA AGUJA, CON EL FIN DE REDUCIR EFIZCAMENTE EL RIESGO DELESIONES POR PINCHAZO.</t>
  </si>
  <si>
    <t>DISPOSITIVO MEDICO QUE SE UTILIZA PARA REALIZAR ASPIRACION DE LAS SECRECIONES DE UN PACIENTE.</t>
  </si>
  <si>
    <t>CIRCUITO RESPIRATORIO QUE PERMITE LA CONDUCCION DE GASES Y/O VAPORES ANESTESICOS AL PACIENTE Y DESDE EL PACIENTE. SIENDO AL MISMO TIEMPO EL MEDIO A TRAVES DEL CUAL SE ESTABLECE EL INTERCAMBIO DE GASES RESPIRATORIOS CON EL EXTERIOR, CON BALON.</t>
  </si>
  <si>
    <t>TURBINA DESECHABLE CON BOQUILLA DE CARTÓN PARA USO EXCLUSIVO DE ESPIRÓMETRO SPIROBANK II.</t>
  </si>
  <si>
    <t>MASCARA CON BOLSA O RESERVORIO CON UNA MEMBRANA DE CONTROL DE ESPIRACION, DIAFRAGMA DE CONTROL DE BAJA RESISTENCIA QUE PERMITE LA SALIDA DE AIRE EXHALADO, PREVINIENDO LA NO RE-INHALACION.</t>
  </si>
  <si>
    <t>AGUJA HIPODERMICA No. 21 GA X 1 IN</t>
  </si>
  <si>
    <t>AGUJA HIPODERMICA No. 23 GA X 1 IN</t>
  </si>
  <si>
    <t>AGUJA HIPODERMICA No. 25 GA X 1 IN</t>
  </si>
  <si>
    <t>ELEMENTO DESECHABLE QUE SE UTILIZA PARA ASPIRAR O INYECTAR CANTIDADES DE LIQUIDOS A PACIENTES O PARA TOMAR MUESTRAS.</t>
  </si>
  <si>
    <t>AGUJA DE PEQUEÑO CALIBRE LA CUAL ES UTILIZADA PARA LA INYECCIÓN DE UN ANESTESICO</t>
  </si>
  <si>
    <t>CINTAS O MATRIZ DE MYLLAR O MYLAR TRANSPARENTES PARA USO ODOTOLÓGICO</t>
  </si>
  <si>
    <t>CONOS DE GUTAPERCHA No. 15 ADAPTADAS SEGÚN LA CONICIDA Y EL TAMAÑO ISO, SEGÚN LAS LIMAS (ESTANDARIZADAS) 120 PCS. BIOCOMPATIBLES. CONOS DEL MISMO COLOR DE LA LIMA CORRESPONDIENTE. RADIOPACO. TUBOS INDIVIDUALES. CAJA X 6 TUBOS.</t>
  </si>
  <si>
    <t>CONOS DE GUTAPERCHA No. 20 ADAPTADAS SEGÚN LA CONICIDA Y EL TAMAÑO ISO, SEGÚN LAS LIMAS (ESTANDARIZADAS) 120 PCS. BIOCOMPATIBLES. CONOS DEL MISMO COLOR DE LA LIMA CORRESPONDIENTE. RADIOPACO. TUBOS INDIVIDUALES. CAJA X 6 TUBOS.</t>
  </si>
  <si>
    <t>CONOS DE GUTAPERCHA No. 30 ADAPTADAS SEGÚN LA CONICIDA Y EL TAMAÑO ISO, SEGÚN LAS LIMAS (ESTANDARIZADAS) 120 PCS. BIOCOMPATIBLES. CONOS DEL MISMO COLOR DE LA LIMA CORRESPONDIENTE. RADIOPACO. TUBOS INDIVIDUALES. CAJA X 6 TUBOS.</t>
  </si>
  <si>
    <t>CONOS DE GUTAPERCHA No. 35 ADAPTADAS SEGÚN LA CONICIDA Y EL TAMAÑO ISO, SEGÚN LAS LIMAS (ESTANDARIZADAS) 120 PCS. BIOCOMPATIBLES. CONOS DEL MISMO COLOR DE LA LIMA CORRESPONDIENTE. RADIOPACO. TUBOS INDIVIDUALES. CAJA X 6 TUBOS.</t>
  </si>
  <si>
    <t>CONOS DE GUTAPERCHA No. 40 ADAPTADAS SEGÚN LA CONICIDA Y EL TAMAÑO ISO, SEGÚN LAS LIMAS (ESTANDARIZADAS) 120 PCS. BIOCOMPATIBLES. CONOS DEL MISMO COLOR DE LA LIMA CORRESPONDIENTE. RADIOPACO. TUBOS INDIVIDUALES. CAJA X 6 TUBOS.</t>
  </si>
  <si>
    <t>CUÑAS DE MADERA PARA USO INTERDENTAL. SURTIDAS (EN TAMAÑOS FINO, EXTRAFINO Y MEDIO)</t>
  </si>
  <si>
    <t>CONO DE PAPEL SEGUNDA SERIE. ESTADANDARIZADAS. CÓDIGO DE COLOR DE ACUERDO A SU NÚMERO. SUFICIENTEMENTE RIGIDAS. ABSORBENTES. ESTERILIZADOS EN PAQUETES INDIVIDUALES. CAJA 200 UNIDADES</t>
  </si>
  <si>
    <t>SEPARADOR DE LENGUA PAQUETE X 40 UND</t>
  </si>
  <si>
    <t>AGUJA ODONTOLOGICA PARA JERINGA CARPULE 30G- 03X 11 MM</t>
  </si>
  <si>
    <t>PROTECTOR REVESTIMIENTO DE PULPA DE SILICATO DE CALCIO QUE SIRVE DE BARRERA Y PROTECTOR DENTINI-PULPAR</t>
  </si>
  <si>
    <t>CEMENTO REPARADOR BIOCERÁMICO DE ALTA PLASTICIDAD, CON TUNGSTATO DE CALCIO Y PLASTIFICANTE ORGÁNICO, MATERIAL BIOACTIVO QUE INDUCE LA CURA DE LAS LESIONES PERIAPICALES, ESTIMULA LA FORMACIÓN DEL CEMENTO, HUESO E, INDIRECTAMENTE, LIGAMENTO PERIODONTAL.</t>
  </si>
  <si>
    <t>DISPOSITIVO MÉDICO DE USO ÚNICO, EL CUAL SE CONECTA AL EQUIPO DE ADMINISTRACION CON EL FIN DE PROPORCIONAR MAYOR LONGITUD A LA LINEA INTRAVENOSA</t>
  </si>
  <si>
    <t>CONNECTION CABLE TIP TRODE, 2PCS, 500MM (CABLES DE ECOG COMPATIBLE CON EQUIPO ECLIPSE)</t>
  </si>
  <si>
    <t>INTEGRADOR QUIMICO A VAPOR CLASE 5</t>
  </si>
  <si>
    <t>FUNDAS DE PLASTICO PROTECTORAS TRANSPARENTES PARA PLACAS RADIOGRAFICAS #0.</t>
  </si>
  <si>
    <t>DISPOSITIVOS QUE PONEN EN CONTACTO AL PACIENTE CON EL ELECTROCARDIOGRÁFO. A TRAVÉS DE ELLOS SE OBTIENE LA INFORMACIÓN ELÉCTRICA PARA LA IMPRESIÓN Y EL ANÁLISIS DEL ELECTROCARDIOGRAMA.</t>
  </si>
  <si>
    <t>AGUJA MÚLTIPLE ESTÉRIL, CALIBRE 21G, LONGITUD 1½ PULGADA (38 MM), PARA EXTRACCIÓN DE MUESTRAS SANGUÍNEAS MEDIANTE SISTEMA VACUTAINER.NUMERO DE LOTE DE FABRICACION, CODIGO DE BARRAS Y FECHA DE VENCIMIENTO NO MENOR A 2 AÑOS. EMBALAJE: DEBE ASEGURAR LA INTEGRIDAD, ORDEN, CONSERVACION, TRANPORTE Y ADECUADO ALMACENAMIENTO DEL PRODUCTO.</t>
  </si>
  <si>
    <t>TUBO LARGO, FLEXIBLE Y SUAVE, GENERALMENTE DE SILICONA O POLIURETANO, DISEÑADO PARA INFUSIÓN PROLONGADA, NUTRICIÓN O MONITOREO HEMODINÁMICO.</t>
  </si>
  <si>
    <t>EMBALAJE: DEBE ASEGURAR LA INTEGRIDAD, ORDEN, CONSERVACION, TRANPORTE Y ADECUADO ALMACENAMIENTO DEL PRODUCTO.</t>
  </si>
  <si>
    <t>SPEEDCATH ES LA SONDA LISTA PARA USAR DE MANERA INMEDIATA, INTUITIVA Y SENCILLA. NO ES NECESARIO UTILIZAR AGUA NI LUBRICACIÓN ADICIONAL, NI TAMPOCO HAY QUE ESPERAR PARA QUE EL LUBRICANTE SE ACTIVE. MÁS RÁPIDO Y SENCILLO IMPOSIBLE</t>
  </si>
  <si>
    <t>DISPOSITIVO DE ASISTENCIA RESPIRATORIA MANUAL PORTÁTIL, TAMBIÉN CONOCIDO COMO "RESUCITADOR MANUAL" O "BOLSA-AUTOINFLABLE". ES UTILIZADO PARA PROPORCIONAR VENTILACIÓN CON PRESIÓN POSITIVA A PACIENTES QUE NO RESPIRAN O QUE LO HACEN INSUFICIENTEMENTE CONSTA DE: UNA BOLSA AUTOINFLABLE: SE COMPRIME PARA FORZAR EL AIRE HACIA LOS PULMONES DEL PACIENTE. UNA MASCARILLA: SE ADAPTA A LA CARA DEL PACIENTE PARA CREAR UN SELLO HERMÉTICO.UNA VÁLVULA DE UNA VÍA: PERMITE QUE EL AIRE ENTRE AL PACIENTE DURANTE LA INSPIRACIÓN Y SE CIERRE PARA EVITAR QUE SE ESCAPE DURANTE LA ESPIRACIÓN</t>
  </si>
  <si>
    <t>MATERIAL: SE FABRICA EN ACERO QUIRÚRGICO INOXIDABLE DE ALTA CALIDAD, COMO EL TIPO AISI 304-2B, QUE LE DA UN ACABADO SATINADO O MATE.ESTERILIZACIÓN: PUEDE LIMPIARSE Y ESTERILIZARSE EN AUTOCLAVE, YA QUE SU SUPERFICIE LISA Y SIN POROS EVITA LA ACUMULACIÓN DE BACTERIAS E INFECCIONES.MEDIANA: APROXIMADAMENTE 22 X 13 CM, CON CAPACIDAD DE 350 ML</t>
  </si>
  <si>
    <t>MATERIAL: PRINCIPALMENTE ACERO INOXIDABLE, QUE ES RESISTENTE, FÁCIL DE LIMPIAR Y DURADERO. USO: EVACUACIÓN DE HECES U ORINA EN LA CAMA POR PARTE DE ENFERMOS ENCAMADOS O CON POCA MOVILIDAD. HIGIENE: DISEÑADO PARA EVITAR DERRAMES Y FACILITAR LA RECOLECCIÓN DE MUESTRAS SIN CONTAMINARLAS CON ORINA O AGUA DEL INODORO.</t>
  </si>
  <si>
    <t>ACERO INOXIDABLE: SUELE ESTAR FABRICADO EN ACERO INOXIDABLE DE GRADO 304, QUE GARANTIZA RESISTENCIA A LA CORROSIÓN Y FACILITA LA ESTERILIZACIÓN. ACABADO: GENERALMENTE TIENE UN ACABADO PULIDO BRILLANTE, LO QUE MEJORA SU HIGIENE Y FACILITA LA LIMPIEZA. TIPO DE ORINAL: DISEÑADO COMO ORINAL MASCULINO PARA LA RECOLECCIÓN DE ORINA. PACIENTES: IDEAL PARA PACIENTES CON MOVILIDAD REDUCIDA QUE PERMANECEN EN CAMA. FORMA: TIENE UNA FORMA DE PATO O PISINGO CON UN PICO Y UN ASA PARA UN MEJOR CONTROL Y AGARRE. ASA: INCLUYE UNA ASA DE FÁCIL AGARRE PARA FACILITAR EL TRANSPORTE Y EL VACIADO DEL CONTENIDO. DISEÑO INCLINADO: EL DISEÑO INCLINADO FACILITA EL USO POR PARTE DEL PACIENTE.  CAPACIDAD: LA CAPACIDAD SUELE ESTAR EN UN RANGO DE 100 A 900 CC, AUNQUE ESTO PUEDE VARIAR. MEDIDOR: LA CARACTERÍSTICA DE MEDIDOR SE DEBE A QUE A MENUDO CUENTA CON MARCAS DE GRADUACIÓN EN LA SUPERFICIE PARA MEDIR EL VOLUMEN DE ORINA, LO CUAL ES ÚTIL PARA EL MONITOREO CLÍNICO. SIN EMBARGO, NO TODOS LOS MODELOS EN ACERO INOXIDABLE NECESARIAMENTE CUENTAN CON ESTAS MARCAS, A DIFERENCIA DE LOS MODELOS DE PLÁSTICO</t>
  </si>
  <si>
    <t>MECHERO DE ALCOHOL METÁLICO LABSCIENT: ESTE MECHERO METÁLICO DE LA MARCA LABSCIENT SE OFRECE EN LA TIENDA EN LÍNEA ONELAB. LÁMPARA O MECHERO DE ALCOHOL METÁLICO KRAMER: CON UNA CAPACIDAD DE 120 ML, ESTE MODELO METÁLICO DE KRAMER SE PUEDE ENCONTRAR EN INSTRUMENTALIA. CON TAPA METÁLICA. ESPECIALMENTE DISEÑADO PARA REMPLAZAR SU MECHERO DE VIDRIO, QUE PUEDE SER PELIGROSO POR ROTURAS EN EL LABORATORIO CUANDO SE ESTA UTILIZANDO.</t>
  </si>
  <si>
    <t>LÁMINA PARA SEROLOGÍA EXCAVADA DE 12 CAVIDADES FABRICADAS EN VIDRIO PRENSADO SÓDICO, CÁLCICO, CON ESQUINAS REDONDEADAS CON SUPERFICIE MATE. EL TAMAÑO DE LAS CAVIDADES ES APROXIMADAMENTE 16 MM DE DIÁMETRO Y 2 MM DE PROFUNDIDAD. EL TAMAÑO DE LA PLACA ES 79 X 63 X 4 MM.</t>
  </si>
  <si>
    <t>DISCOS ABRASIVOS REVERSIBLES PARA PULIR IMPREGNADOS DE OXIDO DE ALUMINIO, PAPEL, REFUERZO DE URETANO CURADO GRANO GRUESO, CON ARO METALICO EN EL CENTRO PARA MANDRIL.</t>
  </si>
  <si>
    <t>DISCOS ABRASIVOS REVERSIBLES PARA PULIR IMPREGNADOS DE OXIDO DE ALUMINIO, PAPEL, REFUERZO DE URETANO CURADO GRANO MEDIO, CON ARO METALICO EN EL CENTRO PARA MANDRIL.</t>
  </si>
  <si>
    <t>TIRAS O LIJAS METALICAS ABRASIVAS EN ACERO PARA PULIR EN INTERPROXIMAL</t>
  </si>
  <si>
    <t>FRESA TRIPLECAPA CON GRANOS DE DIAMANTE EN ACERO INOXIDABLE CORTA REDONDA DE PUNTO</t>
  </si>
  <si>
    <t>FRESA TRIPLECAPA CON GRANOS DE DIAMANTE EN ACERO INOXIDABLE CORTA REDONDA PEQUEÑA</t>
  </si>
  <si>
    <t>FRESA TRIPLECAPA CON GRANOS DE DIAMANTE EN ACERO INOXIDABLE CORTA REDONDA MEDIANA</t>
  </si>
  <si>
    <t>FRESA TRIPLECAPA CON GRANOS DE DIAMANTE EN ACERO INOXIDABLE CORTA REDONDA GRANDE</t>
  </si>
  <si>
    <t>CEPILLO CON ABRASIVO DIAMANTADO PARA PULIR RESINA</t>
  </si>
  <si>
    <t>CINTA METRICA PARA MEDIR LA ALTURA UTERINA DURANTE EL EMBARAZO, CON DIVISIONES DE MEDIO CM</t>
  </si>
  <si>
    <t>CINTA METRICA PARA ADULTOS (MUJERES/HOMBRES) DE 2 METROS</t>
  </si>
  <si>
    <t>PASTA PROFILACTICA POTE O TUBO X 50 GRS</t>
  </si>
  <si>
    <t>DISPOSITIVO MEDICO DESECHABLE UTILIZADOS POR EL PERSONAL HOSPITALARIO, CON EFICIENCIA EN LA FILTRACION BACTERIANA, CON BANDA ELASTICA.</t>
  </si>
  <si>
    <t>BABERO DESECHABLE X ROLLO X 80 UNIDADES.</t>
  </si>
  <si>
    <t>CAMPOS EN TELA DURADERA LAVABLE Y RESISTENTE DE COLOR VERDE E 90 X 80 CM</t>
  </si>
  <si>
    <t>NANOIONOMERO DE VIDRIO RESTAURADOR POLIMERIZABLE CON RESINA PASTA /PASTA CON NANOTECNOLOGIA, CON LIBERACION ACUMULATIVA DE FLUOR.SISTEMA PASTA CLICKER DE 12 GRS COLOR A2 Y PRIMER X 6ML</t>
  </si>
  <si>
    <t>DESOXIDANTE DE INSTRUMENTAL QUIRURGICO; SOLUCIÓN RÁPIDA, SEGURA Y EFICAZ QUE EVITA LA OXIDACIÓN, REMUEVE LA CORROSIÓN Y MANCHAS Y REVITALIZANDO EL INSTRUMENTAL QUIRÚRGICO DE ACERO INOXIDABLE</t>
  </si>
  <si>
    <t>DISPOSITIVO MEDICO, INDICADO PARA EFECTIVA PROTECCION OCULAR QUE SE ADHIERE A LA PIEL.</t>
  </si>
  <si>
    <t>GEL FORMULADO ESPECIALMENTE PARA USO MÉDICO COMO TRANSDUCTOR DE ULTRASONIDO.</t>
  </si>
  <si>
    <t>GEL ABRASIVO PARA PREPARAR LA PIEL ANTES DE REALIZAR UNA MEDICIÓN DE EEG</t>
  </si>
  <si>
    <t>SOLUCIÓN ANTISEPTICA (YODOPOVIDONA SOLUCIÓN) ES UN MICROBICIDA DE ACCIÓN INMEDIATA Y PROLONGADA.</t>
  </si>
  <si>
    <t>ESPONJAS DE GELATINA ABSORBIBLES, ESTÉRILES, COMPUESTAS DE GELATINA Y PLATA COLOIDAL, UTILIZADA PARA REALIZAR HEMOSTASIA EN LOS ALVEOLOS DESPUÉS DE EXTRACCIONES DENTALES.</t>
  </si>
  <si>
    <t>PASTA SUAVE, REABSORBIBLE, INDICADA EN EL TRATAMIENTO PREVENTIVO Y CURATIVO DE LA ALVEOLITIS, DESPUÉS DE LA EXODONCIA. COMPUESTA POR YODOPOVIDONA Y EUGENOL</t>
  </si>
  <si>
    <t>CINTA INDICADORA DE CONTROL QUÍMICO EXTERNO PARA ESTERILIZACIÓN A VAPOR.</t>
  </si>
  <si>
    <t>DISPOSITIVO MEDICO QUE SE UTILIZA PARA EL DRENAJE URINARIO. UTILIZADA PARA SONDAJES POR UNA SOLA VEZ O INTERMITENTES.</t>
  </si>
  <si>
    <t>MALLA DE POLIPROPILENO, NO ABSORBIBLE PARA HERNIAS DE 15 X 15.</t>
  </si>
  <si>
    <t>CEPILLO DESECHABLE VÁSTAGO METÁLICO DE EMPATE UNIVERSAL PARA CONTRÁNGULO CON PARTE ACTIVA CONFORMADA POR CERDAS SUAVES Y HOMOGÉNEAS.</t>
  </si>
  <si>
    <t>ALGODÓN EN TORUNDAS (POMOS), ABSORVENTE, LIMPIA Y DESINFECTA Y ES USADA PARA FINES HOSPITALARIO.</t>
  </si>
  <si>
    <t>MEDICO QX</t>
  </si>
  <si>
    <t>ESTERILIZACION</t>
  </si>
  <si>
    <t>ODONTOLOGIA</t>
  </si>
  <si>
    <t>ITEM</t>
  </si>
  <si>
    <t>CODIGO UNSPSC</t>
  </si>
  <si>
    <t>ELEMENTO</t>
  </si>
  <si>
    <t>UNIDAD DE MEDIDA</t>
  </si>
  <si>
    <t>DESCRPCION TECNICA</t>
  </si>
  <si>
    <t>MASCARILLA N95, RESPIRADOR FILTRADOR DE PARTÍCULAS, QUE PURIFICADOR DE AIRE PARA PROTECCION DE VIAS RESPIRATORIAS DEL PERSONAL HOSPITALARIO.</t>
  </si>
  <si>
    <t>ROLLO PARA CAMILLA X 100 METROS C/U, AZUL PRECORTADO CADA 50 CM, ANCHO</t>
  </si>
  <si>
    <t>PAQUETE DE ROPA QUIRURGICA (CAMISA, PANTALON, POLAINAS, GORRO)</t>
  </si>
  <si>
    <t>UNIFORME DE TELA ANTIFLUIDO, EN DIFERENTES TALLAS, TALLA XS, TALLA S, TALLA M, TALLA L, TALLA XL, TALLA XXL (BLUSA) 1 BOLSILLO ESTAMPADO EN TORAX IZQUIERDO Y 2 BOLSILLOS EN LA PARTE INFERIOR (PANTALON) DOS BOLSILLOS LATERALES. (BLUSA) 1 BOLSILLO ESTAMPADO EN TORAX IZQUIERDO Y 2 BOLSILLOS EN LA PARTE INFERIOR (PANTALON) DOS BOLSILLOS LATERALES.</t>
  </si>
  <si>
    <t>BATA PARA PACIENTE AZUL DESECHABLE, INCLUYE TIRA DE AMARRE EN EL CUELLO Y LA CINTURA</t>
  </si>
  <si>
    <t>INSTRUMENTO MEDICO PARA EXÁMENES DE LA BOCA Y LA GARGANTA, GENERALMENTE DE MADERA SIENDO ASI DESECHABLE O DE USO UNICO.</t>
  </si>
  <si>
    <t>PAPEL TECNICO TIPO 1 (NORMAL) UPP-110S 110MM X 20MTS</t>
  </si>
  <si>
    <t>ROLLO EN PAPEL GRADO MEDICO PLANO DE 300 MM X 200 MT PARA ESTERILIZACIÓN A VAPOR.</t>
  </si>
  <si>
    <t>PAPEL DE REGISTRO TIPO MÉDICO DE 58MM X MÍNIMO 20M SIN GRILLA PARA DESFIBRILADOR MARCA INNOMED MODELO CARDIO-AID 200B</t>
  </si>
  <si>
    <t>ACEITE LUBRICANTE SPRAY. FABICADO EN ACEITE MINERAL DE BAJA VISCOS IDA D GRADO U.S.P. 16 ATÓXICO, SILICONA PROPELENTE, ACEITE MINERAL SIN OLOR, SIN SABOR, COLOR TRANSPARENTE. PARA LUBRICAR INSTRUMENTOS DE BAJA Y ALTA ROTACION, COMO PIEZAS DE MANO, MICROMOTORES, CONTRA ANGULOS, SCALER Y CUALQUIER OTRO INSTRUMENTO DE TIPO NEUMATICO QUE REQUIERA LUBRICACION.</t>
  </si>
  <si>
    <t>LUBRICANTE DE ACEITE MINERAL NO TOXICO, SOLUBLE EN AGUA PARA INSTRUMENTAL</t>
  </si>
  <si>
    <t>CREMA TRASPARENTE, INCOLORO, PURIFICADA QUE SE UTILIZA PARA HUMECTAR LA PIEL</t>
  </si>
  <si>
    <t>CERA EN FORMA DE BASTÓN QUE SE MOLDEA Y SE APLICA MANUALMENTE. PROVEE DE HEMOSTASIA ÓSEA DURANTE PROCEDIMIENTOS QUIRÚRGICOS Y DE UN CONTROL DEL SANGRADO EN SUPERFICIES ÓSEAS, ACTUANDO COMO UNA BARRERA MECÁNICA AL RELLENAR LOS ESPACIOS DEJADOS EN EL HUESO CAUSADOS POR SU CORTE, ELIMINANDO LA HEMORRAGIA.</t>
  </si>
  <si>
    <t>CERA DE PARAFINA TERAPEUTICA</t>
  </si>
  <si>
    <t>PARAFINA TERAPEUTICA</t>
  </si>
  <si>
    <t>ALCOHOL ANTISEPTICO AL 70% DE USO EXTERNO, UTILIZADO PARA LA DESINFECCION DE LA PIEL</t>
  </si>
  <si>
    <t>GOTERO X 7 ML</t>
  </si>
  <si>
    <t>DESIFECTANTE DE ALTO NIVEL DE GLUTARALDEHIDO AL 2% CON ACTIVADOR UN AGENTE INHIBIDOR DE LA CORROSION, INDICADO PARA ELEMENTOS DE REPROCESAMIENTO Y EQUIPOS TERMOSENSIBLES POR INMERSION - 5 LITROS</t>
  </si>
  <si>
    <t>INDICADORES BIOLÓGICOS AUTOCONTENIDOS DE LECTURA RÁPIDA DE TERCERA GENERACIÓN, QUE PERMITE MONITOREAR LA EFECTIVIDAD DE LA ESTERILIZACIÓN CON VAPOR Y REALIZAR EL CONTROL DE LA CARGA.</t>
  </si>
  <si>
    <t>BASE CAVITARIA DE IONOMERO DE VIDRIO TIPO 3 PLUS FOTOPOLIMERIZABLE</t>
  </si>
  <si>
    <t>CINTA ADHESIVA MICROPOROSA, HIPOALERGÉNICA UTILIZADA PARA RECUBRIMIENTO DE HERIDAS</t>
  </si>
  <si>
    <t>CINTA ADEHESIVA MICROPOROSA 1" X 10 YARDAS</t>
  </si>
  <si>
    <t>CINTA ADEHESIVA MICROPOROSA 2" X 10 YARDAS</t>
  </si>
  <si>
    <t>ANESTÉSICO LOCAL EN ATOMIZADOR A BASE DE LIDOCAÍNA, ROXICAINA 2% SPRAY FRASCO X 80 A 83 ML</t>
  </si>
  <si>
    <t>ANESTESICO LOCAL EN ATOMIZADOR A BASE DE LIDOCAINA EMPLEADO COMO TRATAMIENTO PALEATIVO DE TRANSTORNOS DE CAVIDAD ORAL</t>
  </si>
  <si>
    <t>APOSITO DE ESPUMA DE POLIURETANO LAMINADO 10 X 10 CM</t>
  </si>
  <si>
    <t>APOSITO DE ESPUMA DE POLIURETANO LAMINADO 15 X 15 CM</t>
  </si>
  <si>
    <t>APOSITO DE ESPUMA DE POLIURETANO LAMINADO 5.5 X 12 CM</t>
  </si>
  <si>
    <t>EL APÓSITO SÚPERABSORBENTE NO ADHESIVO ES UN APÓSITO ESTÉRIL PARA HERIDAS CON EXUDADO ABUNDANTE, CONSISTENTE EN UNA CAPA NO TEJIDA PERMEABLE AL AIRE E IMPERMEABLE AL AGUA CON UNA CAPA DE ALMOHADILLA. SUPERABSORBENTE. LA ESTRUCTURA EN TRES CAPAS FACILITA EL MANEJO DE FLUIDO PARA PROPORCIONAR EL AMBIENTE DE CURA HÚMEDO ÓPTIMO QUE PROMUEVE UN CIERRE DE LA HERIDA MÁS RÁPIDO. LA ALMOHADILLA ABSORBENTE PROPORCIONA UNA ABSORCIÓN SUPERIOR Y BLOQUEA EL EXUDADO. ELLO MINIMIZA EL RIESGO DE MACERACIÓN Y DE DAÑOS EN LA PIEL PERILESIONAL. LA ESTRUCTURA EN TRES CAPAS FACILITA EL MANEJO DE FLUIDO PARA PROPORCIONAR EL AMBIENTE DE CURA HÚMEDO ÓPTIMO QUE PROMUEVE UN CIERRE DE LA HERIDA MÁS RÁPIDO.  LA ALMOHADILLA ABSORBENTE PROPORCIONA UNA ABSORCIÓN SUPERIOR Y BLOQUEA EL EXUDADO.  CAPA PROTECTORA AZUL DE RESPALDO POLIPROPILENO NÚCLEO SUPER ABSORBENTE CAPAS DE CELULOSA NO TEJIDA CON POLIACRILATO DE SODIO EN POLVO CAPA ABSORBENTE CONFORMABLE POLIPROPILEN CAPA DE CONTACTO DE SILICONA PARA HERIDAS (SOLO VERSIÓN ADHESIVA) PELÍCULA DE POLIURETANO RECUBIERTA DE GEL DE SILICONA. REVESTIMIENTO DE LIBERACIÓN POLIETILENO DE BAJA DENSIDAD (LDPE)</t>
  </si>
  <si>
    <t>LA PELÍCULA IMPERMEABLE Y TRANSPARENTE PERMITE UN INTERCAMBIO EFECTIVO DE VAPOR DE OXÍGENO Y AYUDA A PROTEGER CONTRA CONTAMINANTES EXTERNOS. LAS PRUEBAS IN VITRO MUESTRAN QUE LA PELÍCULA TRANSPARENTE PROPORCIONA UNA BARRERA VIRAL CONTRA VIRUS DE 27 NM DE DIÁMETRO O MÁS MIENTRAS EL APÓSITO PERMANECE INTACTO SIN FUGAS. EL ROLLO MIDE 6 PULGADAS X 11 YARDAS Y SE PUEDE CORTAR FÁCILMENTE A LA FORMA O TAMAÑO DESEADO. SE ADAPTA AL CONTORNO DEL CUERPO Y SE FLEXIONA CON EL MOVIMIENTO DEL PACIENTE SIN TENSIÓN EN LA PIEL PARA MEJORAR LA COMODIDAD DEL PACIENTE. SE PUEDE USAR PARA PROTEGER LA PIEL EN RIESGO DE LA FRICCIÓN Y LOS FLUIDOS CORPORALES, COMO FIJACIÓN IMPERMEABLE DE APÓSITOS PRIMARIOS Y PARA LA FIJACIÓN DE DISPOSITIVOS MÉDICOS O TUBOS DE INFUSIÓN. ROLLO DE PELÍCULA TRANSPARENTE DE 6 PULGADAS X 11 YARDAS (15 CM X 10 M</t>
  </si>
  <si>
    <t>ES UN ROLLO QUE CONSISTE EN UNA TELA NO TEJIDA HECHA DE POLIÉSTER RECUBIERTA DE UN PRIMER ADHESIVO ACRÍLICO Y DE SILICONA AUTOADHESIVA (NO ESTÉRIL) PARA UNA FIJACIÓN SUAVE PERO CONFIABLE EN ÁREAS AMPLIAS. ADECUADO PARA PIEL DIABÉTICA MUY SENSIBLE, DELICADA, AGRIETADA, FRÁGIL, ANCIANA, NEONATAL, DAÑADA POR CORTISONA / MEDICAMENTOS. PARA USAR EN TODAS LAS PARTES DEL CUERPO, INCLUIDAS LAS PARTES DEL CUERPO QUE SE MUEVEN CON FRECUENCIA O QUE ESTÁN MUY CONTORNEADAS.)</t>
  </si>
  <si>
    <t>APOSITO TRANSPARENTE ESTERIL PARA EL CUIDADO DE LA PIEL Y LA FIJACION DE LAS VIAS INTRAVENOSAS DE FORMA SEGURA, CONSTITUIDO POR UNA PELICULA TRANSPARENTE, CUBIERTA POR UN ADHESIVO HIPOALERGENICO. MEDIDAS 10 X 12 CM. EL EMPAQUE INDIVIDUAL Y PLEGADIZA, DEBE INDICAR EL NOMBRE DEL PRODUCTO, EL FABRICANTE, EL NO. DE REGISTRO SANITARIO, EL IMPORTADOR, LA COMPOSICIÓN, INDICACIONES Y USOS, ADVERTENCIAS Y PRECAUCIONES, ALMACENAMIENTO, MÉTODO DE DESECHO Y UTILIZAR UNA SOLA VEZ; EL NO. DE LOTE, PRESENTACIÓN COMERCIAL, FECHA DE VENCIMIENTO MAYOR A 2 AÑOS.</t>
  </si>
  <si>
    <t>COMPRESA ESTÉRIL DE USO QUIRÚRGICO A COLOR BLANCO EN PAQUETES INDIVIDUALES CON HILO DE CONTRASTE RADIOPACO ENTRETEJIDO Y A TRAUMÁTICO, QUE NO SE ADHIERA A LA HERIDA, DEBE CARECER DE BLANQUEADOR ÓPTICO.SUAVE, ADAPTABLE, NO DEFORMABLE Y CON CAPACIDAD DE ABSORCIÓN DE LÍQUIDOS Y FLUIDOS QUE PERMITA LA ADECUADA LIMPIEZA DE LAS HERIDAS. EL EMPAQUE INDIVIDUAL Y PLEGADIZA, DEBE INDICAR EL NOMBRE DEL PRODUCTO, EL FABRICANTE, EL NO. DE REGISTRO SANITARIO, EL IMPORTADOR, LA COMPOSICIÓN, INDICACIONES Y USOS, ADVERTENCIAS Y PRECAUCIONES, ALMACENAMIENTO, MÉTODO DE DESECHO Y UTILIZAR UNA SOLA VEZ; EL NO. DE LOTE, PRESENTACIÓN COMERCIAL, FECHA DE VENCIMIENTO MAYOR A 3 AÑOS</t>
  </si>
  <si>
    <t>GEL ES UN GEL ESTÉRIL COMPUESTO DE HIDROCOLOIDES NATURALES (PECTINA, CARBOXIMETILCELULOSA SÓDICA) EN UN VEHÍCULO VISCOSO TRANSPARENTE. EL GEL FORMA UN AMBIENTE HÚMEDO PARA LA LESIÓN, QUE FOMENTA EL PROCESO DE CICATRIZACIÓN AYUDANDO AL DESBRIDAMIENTO AUTOLÍTICO Y PERMITIENDO EL RETIRO NO TRAUMÁTICO DE LOS APÓSITOS SECUNDARIOS SIN DAÑAR EL TEJIDO RECIENTEMENTE FORMADO.  SUSTANCIAS HIDROCOLOIDES: AGUA PURIFICADA 81.5%, PROPILENGLICOL 15%, PECTINA 0,1%, CARBOXIMETILCELULOSA DE SODIO 3,4%</t>
  </si>
  <si>
    <t>GEL HIDRATANTE Y ABSORBENTE, NO ESTÉRIL, TRANSPARENTE Y VISCOSO. TIENE LA CAPACIDAD DE HUMECTAR LAS HERIDAS SECAS Y TAMBIÉN ABSORBER EL EXUDADO DE LAS HERIDAS. HIDRATACIÓN DEL TEJIDO SECO: PENETRANDO EN EL LECHO DE LA HERIDA E HIDRATÁNDOLO PARA FAVORECER EL DESBRIDAMIENTO AUTOLÍTICO: REMOCIÓN DEL TEJIDO NECRÓTICO DE FORMA NATURAL Y SELECTIVA.  MEDIO AMBIENTE HÚMEDO: PROPICIO PARA FAVORECER LA PROMOCIÓN Y FORMACIÓN DEL TEJIDO DE GRANULACIÓN Y EPITELIZACIÓN.  MANTIENE EL PH LIGERAMENTE ACIDO (5,0 – 6,0): REDUCE LOS RIESGOS DE INFECCIÓN, POR MAYOR ACTIVIDAD DE LOS MACRÓFAGOS EN EL CONTROL DEL CRECIMIENTO BACTERIANO.  GEL HIDRATANTE DE ALTA COHESIVIDAD: FÁCIL DE APLICAR Y PERMITE SU CUBRIMIENTO CON GASA. ABSORCIÓN DE EXUDADO MODERADO: ESTA PROPIEDAD SE LA DA LA CARBOXIMETILCELULOSA Y EL ALGINATO DE SODIO/CALCIO AGUA PURIFICADA, PROPILENGLICOL USP, CARBOMERO 940 NF, TRIETANOLAMINA, ÁCIDO BÓRICO NF, ALGINATO DE SODIO/CALCIO, SORBATO DE POTASIO NF, DMDM HIDANTOÍN, CARBOXIMETILCELULOSA USP/DMDM HIDANTOÍNA. ÁCIDO BÓRICO, HIDANTOÍNA DMDM, ALGINATO DE CALCIO Y SODIO, TRIETANOLAMINA Y PROPILENGLICOL.  LO CUAL PERMITE SU ESTABILIDAD UNA VEZ ABIERTO MEDIO AMBIENTE HÚMEDO: FAVORECE LA PROMOCIÓN Y FORMACIÓN DEL TEJIDO DE GRANULACIÓN Y EPITELIZACIÓN. NO CITOTÓXICO: TIENE UN PERFIL SUPERIOR DE SEGURIDAD CITOTÓXICA</t>
  </si>
  <si>
    <t>ESPADRADAPO DE TELA ROLLO DE 12 PULG X 10 YARDAS</t>
  </si>
  <si>
    <t>TUBO DE ESPARADRAPOS SURTIDO TIRA DE TELA QUE POSEE UNA CARA ADHESIVA Y ES UTILIZADA PARA ASEGURAR O FIJAR GASAS, APOSITOS, ETC.</t>
  </si>
  <si>
    <t>JERINGA PRELLENADA ESTERAL SOLUCION INYETABLE 25MG/2,5ML EQ. A 10MG/ML INTRA ARTICULAR UTILIZADO EN PROCEDIMIENTOS ORTOPEDICOS.</t>
  </si>
  <si>
    <t>DETERGENTE ENZIMÁTICO MULTIUSOS CON PODER DESINFECTANTE (BACTERICIDA, FUNGICIDA, VIRUCIDA).</t>
  </si>
  <si>
    <t>ESPUMA MULTIENZIMATICA CON ATOMIZADOR. GRADUALMENTE DESINTEGRA LA CARGA ORGÁNICA AL SER APLICADA INMEDIATAMENTE DESPUÉS DE LA CIRUGIA.</t>
  </si>
  <si>
    <t>DETERGENTE LÍQUIDO/DESINFECTANTE FORMULADO PARA EL LAVADO MANUAL O AUTOMATIZADO DE INSTRUMENTAL MÉDICO, ODONTOLÓGICO Y QUIRÚRGICO. SU COMPOSICIÓN COMBINA AGENTES TENSIOACTIVOS, SOLVENTES HIDROSOLUBLES Y ADITIVOS HUMECTANTES QUE FACILITAN LA REMOCIÓN EFICIENTE DE MATERIA ORGÁNICA, RESIDUOS PROTEICOS, GRASAS, BIOPELÍCULAS Y SUCIEDAD ADHERIDA, PROTEGIENDO A LA VEZ LA INTEGRIDAD DEL INSTRUMENTAL.</t>
  </si>
  <si>
    <t>DETERGENTE DESINFECTANTE CON DOBLE AMONIO CUATERNARIO SIN ALCOHOL EN SPRAY X 750 ML PARA DISPOSITIVOS MÉDICOS Y EQUIPOS BIOMÉDICOS, RINDE 1000 APLICACIONES. AMPLI ASPECTRO DE LA ACTIVIDAD MICROBIOLOGICA. NO CORROCION.</t>
  </si>
  <si>
    <t>CEMENTO PARA OBTURAR CONDUCTO A BASE DE HIDROXIDO DECALCIO, SELLADOR DE CONDUCTOS RADICULARES. COMPUESTO POR:  OXIDO DE CALCIO 24%, SULFATO DE BARIO 20%, ÓXIDO DE ZINC 7%, PARTÍCULAS DE SÍLICE 4% DIÓXIDO DE TITANIO 2%, ESTEREATO DE ZINC 1%, *MEZCLA 42% *SULFONAMIDA DE ETILO TOLUENO, POLIRRESINA, SALICILATO DE ISOBUTILO Y UN PIGMENTO. INGREDIENTES ACTIVOS: OXIDO DE CALCIO Y POLIRESINA.</t>
  </si>
  <si>
    <t>TUBO X 40 GRS</t>
  </si>
  <si>
    <t>MATERIAL DE OBTURACION TEMPORAL PROFESIONAL SIN EUGENOL RADIOPACO QUE NO AFECTA LA OBTURACION FINAL COLOR BLANCO. COMPUESTO POR ACETATO DE POLIVINILO, ÓXIDO DE ZINC, SULFATO DE ZINC Y ETANOL</t>
  </si>
  <si>
    <t>LIQUIDO REVELADOR DE PLACA BACTERIANA X 10ML</t>
  </si>
  <si>
    <t>OXIDO DE ZINC. POLVO CEMENTANTE PROVISIONAL O TEMPORAL.</t>
  </si>
  <si>
    <t>SPRAY REFRIGERANTE PARA TEST Y/O DIAGNÓSTICO DE VITALIDAD PULPAR</t>
  </si>
  <si>
    <t>BASE CLINER DE FOTOPOLIMERIZACION CON EXPASION CONTROLADA</t>
  </si>
  <si>
    <t>SELLANTE BLANCO DE FOTOCURADO POLIMERIZACION EN 20 SEG, ALTA FUERZA DE ADHESION AL ESMALTE, FRASCO X 6 ML.</t>
  </si>
  <si>
    <t>RESINA MICROHIBRIDA FOTOCURADO PARA RESTAURACIONES EN EL SECTOR POSTERIOR COLOR B2 COMPUESTA POR UDMA (URETANO DIMETACRILATO) Y BIS-EMA (6)1 (BISFENOL A POLIETILEN GLICOL DIETER DIMETACRILATO).</t>
  </si>
  <si>
    <t>RESINA MICROHIBRIDA FOTOCURADO PARA RESTAURACIONES EN EL SECTOR POSTERIOR COLOR A3 COMPUESTA POR UDMA (URETANO DIMETACRILATO) Y BIS-EMA (6)1 (BISFENOL A POLIETILEN GLICOL DIETER DIMETACRILATO).</t>
  </si>
  <si>
    <t>GUANTE QUIRURGICO ESTERIL, EMPAQUE INDIVIDUAL, DE UN SOLO USO.</t>
  </si>
  <si>
    <t>PIEDRAS BLANCAS ABRASIVAS PARA ACABADO Y PULIDO DE RESINA PARA PIEZA DE ALTA VELOCIDAD EN FORMA DE LLAMA O PERA</t>
  </si>
  <si>
    <t>PERMITE UN DRENAJE CONTINUO DE LA ORINA. SONDA VESICAL DE DOS VIAS, UNA QUE PERMITE EL DRENAJE DE LA ORINA Y LA OTRA QUE CUENTA CON UN BALON INFLABLE QUE PERMITE MANTENERLA FIJA AL INTERIOR DE LA VEJIGA. PERMITE UN DRENAJE CONTINUO DE LA ORINA.</t>
  </si>
  <si>
    <t>SONDA VESICAL FOLEY 2 VIAS No. 18</t>
  </si>
  <si>
    <t>BARRERAS PLANAS CONSTITUIDAS POR UN ANILLO DE SOPORTE PLANO Y DELGADO, EL CUAL ES ADHERIDO A UN DISCO ADHESIVO</t>
  </si>
  <si>
    <t xml:space="preserve"> EQUIPO ESTÉRIL Y DESECHABLE DISEÑADO PARA LA ADMINISTRACIÓN DE NUTRICIÓN ENTERAL POR GRAVEDAD, CON UNA BOLSA DE 1500 CC Y SISTEMA DE CONEXIONES ENFIT. IDEAL PARA ALIMENTACIÓN ENTERAL INTERMITENTE O CONTINUA EN PACIENTES CON SONDAS NASOGÁSTRICAS, GASTROSTOMÍAS O YEYUNOSTOMÍAS.</t>
  </si>
  <si>
    <t>SISTEMA PARA DRENAJE URINARIO CON ESCALA DE 2000 ML</t>
  </si>
  <si>
    <t>DISPOSITIVO MÉDICO ESTÉRIL Y DESECHABLE DISEÑADO PARA LA RECOLECCIÓN SEGURA DE EFLUENTES INTESTINALES PROVENIENTES DE UN ESTOMA COLÓNICA. FABRICADO CON MATERIALES HIPOALERGÉNICOS Y BARRERA A OLORES, GARANTIZA UNA FIJACIÓN ADECUADA, PROTECCIÓN CUTÁNEA PERIESTOMAL Y COMODIDAD PARA EL USUARIO.</t>
  </si>
  <si>
    <t>DISPOSITIVO MÉDICO ADHESIVO DE USO EXTERNO DISEÑADO PARA PROTEGER LA PIEL PERIESTOMAL Y PROPORCIONAR UN PUNTO DE FIJACIÓN SEGURO PARA EL SISTEMA COLECTOR DE COLOSTOMÍA. ESTÁ FABRICADO CON MATERIAL HIDROCOLOIDE HIPOALERGÉNICO (O FORMULACIÓN EQUIVALENTE) QUE OFRECE SELLADO, ABSORCIÓN DE HUMEDAD Y RESISTENCIA A EFLUENTES, REDUCIENDO EL RIESGO DE FUGAS, MACERACIÓN E IRRITACIÓN CUTÁNEA</t>
  </si>
  <si>
    <t>JERINGA DESECHABLE DE 10 ML CUBICOS CON AGUJA No. 21 X 1 1/2</t>
  </si>
  <si>
    <t>DISPOSITIVO QUE SE UTILIZA JUNTO CON UN INHALADOR DE DOSIS MEDIDA (IDM) PARA FACILITAR LA ADMINISTRACIÓN DEL MEDICAMENTO Y MEJORAR SU ENTREGA A LOS PULMONES. LA INHALOCÁMARA ACTÚA COMO UN ESPACIADOR, SEPARANDO LA ACCIÓN DEL INHALADOR DE LA INHALACIÓN, LO QUE PERMITE QUE EL MEDICAMENTO SE DISPERSE MEJOR Y SEA MÁS FÁCIL DE INHALAR.</t>
  </si>
  <si>
    <t>MASCARALLA PEDIATRICA DE AEROSOL CON FORMA ANATOMICA, MANGUERA DE OXIGENO Y MICRONEBULIZADOR DE 6 A 8 CC</t>
  </si>
  <si>
    <t>MASCARALLA ADULTO DE AEROSOL CON FORMA ANATOMICA, MANGUERA DE OXIGENO Y MICRONEBULIZADOR DE 6 CC</t>
  </si>
  <si>
    <t>PUNTA DE CAVITRON ESTANDARIZADA 25K COMPATIBLE CON EQUIPO DENTSPLY</t>
  </si>
  <si>
    <t>CARETA PLASTICA MAS REPUESTOS (VISOR) TRANSPARENTE</t>
  </si>
  <si>
    <t>DISCOS DE PULIDO SOF-LEX CODIFICADOS POR COLORES PARA LA FÁCIL IDENTIFICACIÓN DE LA SECUENCIA DEL GROSOR DE LOS GRANOS. SURTIDOS CON REPUESTO. X 120 + MANDRIL KIT DE 120 DISCOS (EXTRADELGADOS 1/2" (30 DISCOS SÚPER FINOS, 30 FINOS, 30 MEDIOS, 30 GRUESO) + MANDRIL.</t>
  </si>
  <si>
    <t>JERINGA DESECHABLE DE 3 CENTIMETROS CUBICOS CON AGUJA NO 21 X 1 1/2</t>
  </si>
  <si>
    <t>JERINGA DESECHABLE DE 3 ML CUBICOS CON AGUJA No. 23G X 1 1/2</t>
  </si>
  <si>
    <t>JERINGA DESECHABLE DE 5 ML CUBICOS CON AGUJA No. 21G X 1 1/2</t>
  </si>
  <si>
    <t>AGUJA ENDODONTICA PUNTA PARA IRRIGAR CONDUCTOS, DELGADA Y FLEXIBLE O.  CALIBRE 27 G O 27 GA. X 25 MM, CON PUNTA INACTIVA</t>
  </si>
  <si>
    <t>CONOS DE GUTAPERCHA No. 25 ADAPTADAS SEGÚN LA CONICIDA Y EL TAMAÑO ISO, SEGÚN LAS LIMAS (ESTANDARIZADAS) 120 PCS. BIOCOMPATIBLES. CONOS DEL MISMO COLOR DE LA LIMA CORRESPONDIENTE. RADIOPACO. TUBOS INDIVIDUALES. CAJA X 6 TUBOS.</t>
  </si>
  <si>
    <t>FRESA ZECRYA DE CARBURO, MANDRIL EN ACERO INOXIDABLE, CÓNICA ALARGADA, FILOS HELICOIDALES, PUNTA ACTIVA DE CARBURO TUNGSTENO Y PARTE ACTIVA DE 11MM</t>
  </si>
  <si>
    <t>LIMA No. 06 DE 25 MM (PRESERIE).  LIMA MANUAL DE ACERO INOXIDABLE, FLEXIBLE, ELECTRO-PULIDO, ESTA DISEÑADA CON ALAMBRE CUADRADO PUNTA ACTIVA CORTANTE, CADA LIMA CUENTA CON UN MANGO PLASTICO ERGONOMICO Y TOPE DE SILICONA, MEDIDAS ISO, ESTANDARIZADA.</t>
  </si>
  <si>
    <t>LIMA No. 08 DE 25 MM (PRESERIE).  LIMA MANUAL DE ACERO INOXIDABLE, FLEXIBLE, ELECTRO-PULIDO, ESTA DISEÑADA CON ALAMBRE CUADRADO PUNTA ACTIVA CORTANTE, CADA LIMA CUENTA CON UN MANGO PLASTICO ERGONOMICO Y TOPE DE SILICONA, MEDIDAS ISO, ESTANDARIZADA.</t>
  </si>
  <si>
    <t>LIMA No. 10 DE 25 MM (PRESERIE). LIMA MANUAL DE ACERO INOXIDABLE DIN 1.4310, ELECTRO-PULIDO, PERTENECIENTE A LA CLASIFICACIÓN AISI 302 (CON 17% DE CROMO Y 8% DE NÍQUEL, APROX.), FABRICADA POR TORSIÓN, SECCIÓN TRANSVERSAL EN FORMA TRIANGULAR, PUNTA NO ACTIVA, CORTA ENTRANDO Y SALIENDO ALTA FLEXIBILIDAD.</t>
  </si>
  <si>
    <t>LIMA No. 15 DE 25 MM.  LIMA MANUAL DE ACERO INOXIDABLE, FLEXIBLE, ELECTRO-PULIDO, ESTA DISEÑADA CON ALAMBRE CUADRADO PUNTA ACTIVA CORTANTE, CADA LIMA CUENTA CON UN MANGO PLASTICO ERGONOMICO Y TOPE DE SILICONA, MEDIDAS ISO, ESTANDARIZADA,</t>
  </si>
  <si>
    <t>LIMA No. 20 DE 25 MM.  LIMA MANUAL DE ACERO INOXIDABLE, FLEXIBLE, ELECTRO-PULIDO, ESTA DISEÑADA CON ALAMBRE CUADRADO PUNTA ACTIVA CORTANTE, CADA LIMA CUENTA CON UN MANGO PLASTICO ERGONOMICO Y TOPE DE SILICONA, MEDIDAS ISO, ESTANDARIZADA,</t>
  </si>
  <si>
    <t>LIMA No. 25 DE 25 MM.  LIMA MANUAL DE ACERO INOXIDABLE, FLEXIBLE, ELECTRO-PULIDO, ESTA DISEÑADA CON ALAMBRE CUADRADO PUNTA ACTIVA CORTANTE, CADA LIMA CUENTA CON UN MANGO PLASTICO ERGONOMICO Y TOPE DE SILICONA, MEDIDAS ISO, ESTANDARIZADA,</t>
  </si>
  <si>
    <t>LIMA No. 30 DE 25 MM.  LIMA MANUAL DE ACERO INOXIDABLE, FLEXIBLE, ELECTRO-PULIDO, ESTA DISEÑADA CON ALAMBRE CUADRADO PUNTA ACTIVA CORTANTE, CADA LIMA CUENTA CON UN MANGO PLASTICO ERGONOMICO Y TOPE DE SILICONA, MEDIDAS ISO, ESTANDARIZADA,</t>
  </si>
  <si>
    <t>LIMA No. 35 DE 25 MM.  LIMA MANUAL DE ACERO INOXIDABLE, FLEXIBLE, ELECTRO-PULIDO, ESTA DISEÑADA CON ALAMBRE CUADRADO PUNTA ACTIVA CORTANTE, CADA LIMA CUENTA CON UN MANGO PLASTICO ERGONOMICO Y TOPE DE SILICONA, MEDIDAS ISO, ESTANDARIZADA,</t>
  </si>
  <si>
    <t>LIMA No. 40 DE 25 MM.  LIMA MANUAL DE ACERO INOXIDABLE, FLEXIBLE, ELECTRO-PULIDO, ESTA DISEÑADA CON ALAMBRE CUADRADO PUNTA ACTIVA CORTANTE, CADA LIMA CUENTA CON UN MANGO PLASTICO ERGONOMICO Y TOPE DE SILICONA, MEDIDAS ISO, ESTANDARIZADA,</t>
  </si>
  <si>
    <t>LIMA No. 45 DE 25 MM.  LIMA MANUAL DE ACERO INOXIDABLE, FLEXIBLE, ELECTRO-PULIDO, ESTA DISEÑADA CON ALAMBRE CUADRADO PUNTA ACTIVA CORTANTE, CADA LIMA CUENTA CON UN MANGO PLASTICO ERGONOMICO Y TOPE DE SILICONA, MEDIDAS ISO, ESTANDARIZADA,</t>
  </si>
  <si>
    <t>LIMA No. 50 DE 25 MM.  LIMA MANUAL DE ACERO INOXIDABLE, FLEXIBLE, ELECTRO-PULIDO, ESTA DISEÑADA CON ALAMBRE CUADRADO PUNTA ACTIVA CORTANTE, CADA LIMA CUENTA CON UN MANGO PLASTICO ERGONOMICO Y TOPE DE SILICONA, MEDIDAS ISO, ESTANDARIZADA,</t>
  </si>
  <si>
    <t>LIMA No. 55 DE 25 MM.  LIMA MANUAL DE ACERO INOXIDABLE, FLEXIBLE, ELECTRO-PULIDO, ESTA DISEÑADA CON ALAMBRE CUADRADO PUNTA ACTIVA CORTANTE, CADA LIMA CUENTA CON UN MANGO PLASTICO ERGONOMICO Y TOPE DE SILICONA, MEDIDAS ISO, ESTANDARIZADA,</t>
  </si>
  <si>
    <t>LIMA No. 60 DE 25 MM.  LIMA MANUAL DE ACERO INOXIDABLE, FLEXIBLE, ELECTRO-PULIDO, ESTA DISEÑADA CON ALAMBRE CUADRADO PUNTA ACTIVA CORTANTE, CADA LIMA CUENTA CON UN MANGO PLASTICO ERGONOMICO Y TOPE DE SILICONA, MEDIDAS ISO, ESTANDARIZADA,</t>
  </si>
  <si>
    <t>LIMA NO. 70 DE 25 MM MANUAL DE ACERO INOXIDABLE SEGUNDA SERIE</t>
  </si>
  <si>
    <t>LIMA No. 70 DE 25 MM.  LIMA MANUAL DE ACERO INOXIDABLE, FLEXIBLE, ELECTRO-PULIDO, ESTA DISEÑADA CON ALAMBRE CUADRADO PUNTA ACTIVA CORTANTE, CADA LIMA CUENTA CON UN MANGO PLASTICO ERGONOMICO Y TOPE DE SILICONA, MEDIDAS ISO, ESTANDARIZADA,</t>
  </si>
  <si>
    <t>LIMA No. 80 DE 25 MM.  LIMA MANUAL DE ACERO INOXIDABLE, FLEXIBLE, ELECTRO-PULIDO, ESTA DISEÑADA CON ALAMBRE CUADRADO PUNTA ACTIVA CORTANTE, CADA LIMA CUENTA CON UN MANGO PLASTICO ERGONOMICO Y TOPE DE SILICONA, MEDIDAS ISO, ESTANDARIZADA,</t>
  </si>
  <si>
    <t>LIMA No. 30 DE 31 MM.  LIMA MANUAL DE ACERO INOXIDABLE, FLEXIBLE, ELECTRO-PULIDO, ESTA DISEÑADA CON ALAMBRE CUADRADO PUNTA ACTIVA CORTANTE, CADA LIMA CUENTA CON UN MANGO PLASTICO ERGONOMICO Y TOPE DE SILICONA, MEDIDAS ISO, ESTANDARIZADA,</t>
  </si>
  <si>
    <t>LIMA No. 35 DE 31 MM.  LIMA MANUAL DE ACERO INOXIDABLE, FLEXIBLE, ELECTRO-PULIDO, ESTA DISEÑADA CON ALAMBRE CUADRADO PUNTA ACTIVA CORTANTE, CADA LIMA CUENTA CON UN MANGO PLASTICO ERGONOMICO Y TOPE DE SILICONA, MEDIDAS ISO, ESTANDARIZADA,</t>
  </si>
  <si>
    <t>LIMA No. 40 DE 31 MM.  LIMA MANUAL DE ACERO INOXIDABLE, FLEXIBLE, ELECTRO-PULIDO, ESTA DISEÑADA CON ALAMBRE CUADRADO PUNTA ACTIVA CORTANTE, CADA LIMA CUENTA CON UN MANGO PLASTICO ERGONOMICO Y TOPE DE SILICONA, MEDIDAS ISO, ESTANDARIZADA,</t>
  </si>
  <si>
    <t>LIMA No. 45 DE 31 MM.  LIMA MANUAL DE ACERO INOXIDABLE, FLEXIBLE, ELECTRO-PULIDO, ESTA DISEÑADA CON ALAMBRE CUADRADO PUNTA ACTIVA CORTANTE, CADA LIMA CUENTA CON UN MANGO PLASTICO ERGONOMICO Y TOPE DE SILICONA, MEDIDAS ISO, ESTANDARIZADA,</t>
  </si>
  <si>
    <t>LIMA No. 50 DE 31 MM.  LIMA MANUAL DE ACERO INOXIDABLE, FLEXIBLE, ELECTRO-PULIDO, ESTA DISEÑADA CON ALAMBRE CUADRADO PUNTA ACTIVA CORTANTE, CADA LIMA CUENTA CON UN MANGO PLASTICO ERGONOMICO Y TOPE DE SILICONA, MEDIDAS ISO, ESTANDARIZADA,</t>
  </si>
  <si>
    <t>LIMA No. 55 DE 31 MM.  LIMA MANUAL DE ACERO INOXIDABLE, FLEXIBLE, ELECTRO-PULIDO, ESTA DISEÑADA CON ALAMBRE CUADRADO PUNTA ACTIVA CORTANTE, CADA LIMA CUENTA CON UN MANGO PLASTICO ERGONOMICO Y TOPE DE SILICONA, MEDIDAS ISO, ESTANDARIZADA,</t>
  </si>
  <si>
    <t>LIMA No. 60 DE 31 MM.  LIMA MANUAL DE ACERO INOXIDABLE, FLEXIBLE, ELECTRO-PULIDO, ESTA DISEÑADA CON ALAMBRE CUADRADO PUNTA ACTIVA CORTANTE, CADA LIMA CUENTA CON UN MANGO PLASTICO ERGONOMICO Y TOPE DE SILICONA, MEDIDAS ISO, ESTANDARIZADA,</t>
  </si>
  <si>
    <t>BANDA MATRIZ O BANDA PARA PORTAMATRIZ EN ACERO INOXIDABLE EN CAJA DISPENSADORA ESPESOR DE 5 MM A 0.05 MM X 3.0 MTS. 1/4 (BANDA ANGOSTA)</t>
  </si>
  <si>
    <t>DISPOSITIVO DE OXIGENOTERAPIA DE ALTO FLUJO DISEÑADO PARA NIÑOS, FABRICADO EN VINILO TRANSPARENTE Y SUAVE, LIBRE DE LÁTEX. PERMITE ADMINISTRAR CONCENTRACIONES DE OXÍGENO (\(FIO_{2}\)) PRECISAS Y ESTABLES (GENERALMENTE DEL 24% AL 50%) MEDIANTE DILUIDORES CODIFICADOS POR COLORES, INCLUYENDO MASCARILLA, TUBULADURA DE 1.8-2.1M Y, USUALMENTE, 6 O 7 VÁLVULAS INTERCAMBIABLES.</t>
  </si>
  <si>
    <t>ADHESIVO UNIVERSAL AUTO-GRAVABLE, COMPUESTO POR DIMETACRILATO ETER DE DIGLICIDIL, BISFENOL (BISGMA), METACRILATO DE 2-HIDROXIETILO, SILANO DE SILICA TRATADA, AGUA, ETANOL, DIMETRACRILATO DECAMETILENO -DECANODIOL FOSFATOS 1 - 10 METACRILADOS, COPOLÍMERO DE ACRÍLICO Y ÁCIDO ITACÓNICO, CAMFORQUINONA (DIMETILAMINO) ETIL METACRILATO N, NDIMETILBENZOCAINA 10287-53-3 &lt; 2 METIL ETIL CETONA</t>
  </si>
  <si>
    <t>DISPOSITIVO ESTERIL, CON PUERTO EN Y, UTILIZADO PARA ADMINISTRAR SOLUCIONES A UN PACIENTE A TRAVES DE UN ACCESO VENOSO</t>
  </si>
  <si>
    <t>LAPIZ ELECTROCIRUGIA DESECHABLE</t>
  </si>
  <si>
    <t>PLACA DESECHABLE BILOBULADA PARA ELECTROBISTURI CON CABLE</t>
  </si>
  <si>
    <t>ESPÉCULOS VAGINALES DE UN SOLO USO TALLA S Y M</t>
  </si>
  <si>
    <t>VENDA DE ALGODÓN LAMINADO DE 3 X 5</t>
  </si>
  <si>
    <t>VENDA DE ALGODÓN LAMINADO DE 4 X 5</t>
  </si>
  <si>
    <t>VENDA DE ALGODÓN LAMINADO DE 5 X 5</t>
  </si>
  <si>
    <t>PARCHES DE DEA PARA DESFIBRILADOR MARCA INNOMED MEDICAL, MODELO CARDIO - AID 200-B</t>
  </si>
  <si>
    <t>BANDAS ADHESIVAS PARA PRIMEROS AUXILIOS, INDICADAS PARA HERIDAS MENORES DE LA PIEL Y CUBRIR LA PIEL PARA PROTEGERLA Y EVITA QUE LA ALMOHADILLA ABSORBENTE SE ADHIERA AL ÁREA AFECTADA AYUDANDO A LA CICATRIZACIÓN</t>
  </si>
  <si>
    <t>PUNTA DE ELECTROBISTURI, RECUBIERTA PARA CIRUGIA</t>
  </si>
  <si>
    <t>FERULA NASAL INTERNA DE SILICONA, CANULADA CON LAS VIAS RESPIRATORIAS INTEGRAL PARA PROPORCIONAR SOPORTE SEPTAL MATERIAL: SILICONA DE GRADO MEDICO 100% PARA LA FACILIDAD DE INSERCION Y EXTRACCION, ESTERIL</t>
  </si>
  <si>
    <t>AGUJA PARA TOMA DE MUESTRAS 21G X 11/2</t>
  </si>
  <si>
    <t>JERINGA DESECHABLE DE 1 CENTIMETRO CUBICOS CON AGUJA No. 21G X 1 1/2</t>
  </si>
  <si>
    <t>CONECTOR LIBRE DE AGUJA DE DESPLAZAMIIENTO POSITIVO, PRESIÓN MÁXIMA, USO CON INYECTORES DE ALTA PRESIÓN HASTA 325 PSI, UN MÁXIMO DE VELOCIDAD DE FLUJO DE 10 ML/SG, PRESENTA UN DOBLE SELLO DE SEGURIDAD QUE REDUCE LA EXPOSICIÓN EN EL</t>
  </si>
  <si>
    <t>AGUJA PERICRANEAL CALIBRE 23 DE LONGITUD ESTÉRIL, DESECHABLE, CON ALETAS ADHERIBLES A LA AGUJA, CON PUNTA DE LANCETA DE CORTE INCISIVO RECUBIERTA CON SILICONA TUBO DE EXTENSIÓN DE 30 CM EMPAQUE INDIVIDUAL.ESTERIL.  DEBE LLEVAR IMPRESO LA REFERENCIA DEL PRODUCTO, NUMERO DE LOTE DE FABRICACION Y FECHA DE VENCIMIENTO NO MENOR A 2 AÑOS</t>
  </si>
  <si>
    <t>SUTURA ACIDO POLIGLICOLICO, TRENZADO SINTETICA, ABSORBIBLE, 3/0 (3/8 CIRCULO CORTANTE 24MM)</t>
  </si>
  <si>
    <t>SUTURA SEDA QUIRURGICA NEGRA TRENZADA 2/0 DE 45CM CON AGUJA (3/8 CIRCULO CORTANTE 26MM)</t>
  </si>
  <si>
    <t>SUTURA ACIDO POLIGLICOLICO, TRENZADO SINTETICA, ABSORBIBLE, 1 (1/2 CIRCULO REDONDA G 35-38MM)</t>
  </si>
  <si>
    <t>SUTURA ACIDO POLIGLICOLICO, TRENZADO SINTETICA, ABSORBIBLE, 2/0 (1/2 CIRCULO REDONDA 25-27MM)</t>
  </si>
  <si>
    <t>SUTURA ACIDO POLIGLICOLICO, TRENZADO SINTETICA, ABSORBIBLE, 2/0 (1/2 CIRCULO REDONDA G 35-38MM)</t>
  </si>
  <si>
    <t>CAJA X 144 UNIDADES</t>
  </si>
  <si>
    <t>CATETER QUE SE INSERTA A TRAVES DE LA BOCA (OROTRAQUEAL) O LA NARIZ (NASOTRAQUEAL) HASTA LLEGAR A LA TRAQUEA, CON EL PROPOSITO DE ESTABLECER Y MANTENER UNA VIA AEREA PERMABLES ASEGURANDO EL ADECUADO INTERCAMBIO DE OXIGENO Y DIOXIDO DE CARBONO</t>
  </si>
  <si>
    <t>ESTERIL DESECHABLE EMPAQUE INDIVIDUAL DOS ORIFICIOS EN EL EXTREMO DISTAL MATERIAL PLÁSTICO ATOXICO TRANSPARENTE CONECTOR UNIVERSAL TAMAÑO 10.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3 AÑOS</t>
  </si>
  <si>
    <t>VENDA DE YESO 3" (PULGADAS/YARDAS), EMPAQUE INDIVIDUAL,100%ALGODON IMPREGNADO CON YESO COLOIDAL EMBALAJE: DEBE ASEGURAR LA INTEGRIDAD, ORDEN, CONSERVACION, TRANSPORTE Y ADECUADO ALMACENAMIENTO DEL PRODUCTO.</t>
  </si>
  <si>
    <t>EMPAQUE INDIVIDUAL, NO ESTERIL YESO ACRILICO MEDIDAS: 5" (PULGADAS//YARDAS)) ROTULO DEL EMPAQUE DEBE INDICAR NO DE LOTE, REGISTRO SANITARIO E INDICADOR DE MEDIDA DE LA VENDA. EMBALAJE: DEBE ASEGURAR LA INTEGRIDAD, ORDEN, CONSERVACION, TRANSPORTE Y ADECUADO ALMACENAMIENTO DEL PRODUCT</t>
  </si>
  <si>
    <t>EMPAQUE INDIVIDUAL, NO ESTERIL YESO ACRILICO MEDIDAS: 6" (PULGADAS//YARDAS)) ROTULO DEL EMPAQUE DEBE INDICAR NO DE LOTE, REGISTRO SANITARIO E INDICADOR DE MEDIDA DE LA VENDA. EMBALAJE: DEBE ASEGURAR LA INTEGRIDAD, ORDEN, CONSERVACION, TRANSPORTE Y ADECUADO ALMACENAMIENTO</t>
  </si>
  <si>
    <t>PAQUE EN TELA DE LONA IMPERMEABILIZADA DURABLE DE ALTA RESISTENCIA AL CALOR MEDIDAS 15 CM * 60 CMS DISEÑADO PARA EL ALIVIO DEL DOLOR - HIPOALERGICO</t>
  </si>
  <si>
    <t>ELECTRODO REUSABLE 5X5 EN MICROFIBRILLA METALICA CON GEL DE ALTA ADHERENCIA TIPO INSTITUCIONAL</t>
  </si>
  <si>
    <t>ELECTRODO REUSABLE 5X5CM 4 UNIDADES PALS AXELGAARD X 4 DISENADO PARA TERAPIAS DE NEUROESTIMULACION COMO TENS SU ESTRUCTURA INCORPORA UNA PELICULA DE ACERO INOXIDABLE Y GEL CONDUCTOR QUE GARANTIZA UNA DISTRIBUCION UNIFORME DE LA CORRIENTE REDUCIENDO MOLESTIAS COMO ESCOZOR O PUNTOS CALIENTES ES AUTOADHESIVO FLEXIBLE Y SE ADAPTA COMODAMENTE A DISTINTAS ZONAS DEL CUERPO</t>
  </si>
  <si>
    <t>NO ESTÉRIL LIBRE DE LÁTEX EMPAQUE INDIVIDUAL CONECTOR ESTÁNDAR CON TIPS NASALES SILICONADA PARA ADULTO.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</si>
  <si>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DISPOSITIVO MÉDICO, UTILIZADO PARA ADMINISTRAR OXÍGENO AL SER HUMANO A BAJO FLUJO, CONSISTE EN UN TUBO O MANGUERA FLEXIBLE CON DOS SALIDAS O PUNTAS QUE SE ADAPTAN A LAS FOSAS NASALES Y QUE SE MANTIENE SOBRE LOS PABELLONES AURICULARES.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</si>
  <si>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DISPOSITIVO UTILIZADO EN PACIENTES PARA ADMINISTRAR OXIGENO DE BAJO FLUJO.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</si>
  <si>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DISPOSITIVO UTILIZADO EN PACIENTES PARA ADMINISTRAR OXIGENO DE BAJO FLUJO. EL EMPAQUE INDIVIDUAL Y PLEGADIZA, DEBE INDICAR EL NOMBRE DEL PRODUCTO, EL FABRICANTE, EL NUMERO DE REGISTRO SANITARIO, EL IMPORTADOR, LA COMPOSICIÓN, INDICACIONES Y USOS, ADVERTENCIAS Y PRECAUCIONES, ALMACENAMIENTO, MÉTODO DE DESECHO Y UTILIZAR UNA SOLA VEZ; EL NUMERO DE LOTE, PRESENTACIÓN COMERCIAL, FECHA DE VENCIMIENTO MAYOR A 2 AÑOS.</t>
  </si>
  <si>
    <t>ES UN TUBO MÉDICO DE PLÁSTICO RÍGIDO QUE SE INTRODUCE A TRAVÉS DE LA BOCA Y LA FARINGE, HASTA LA TRÁQUEA, PARA ESTABLECER Y MANTENER UNA VÍA AÉREA PERMEABLE. SU PRINCIPAL FUNCIÓN ES FACILITAR LA RESPIRACIÓN EN PACIENTES QUE NO PUEDEN RESPIRAR DE FORMA AUTÓNOMA, YA SEA DEBIDO A UNA AFECCIÓN MÉDICA O DURANTE PROCEDIMIENTOS QUIRÚRGICOS.</t>
  </si>
  <si>
    <t>BANDA MATRIZ O BANDA PARA PORTAMATRIZ EN ACERO INOXIDABLE EN CAJA DISPENSADORA ESPESOR DE 5 MM A 0.05 MM X 3.0 MTS. 3/16 (BANDA ANCHA)</t>
  </si>
  <si>
    <t>ESPEJOS BUCALES No. 5, REPUESTOS EN ACERO INOXIDABLE.</t>
  </si>
  <si>
    <t>LIMA No. 20 DE 21 MM.  LIMA MANUAL DE ACERO INOXIDABLE, FLEXIBLE, ELECTRO-PULIDO, ESTA DISEÑADA CON ALAMBRE CUADRADO PUNTA ACTIVA CORTANTE, CADA LIMA CUENTA CON UN MANGO PLASTICO ERGONOMICO Y TOPE DE SILICONA, MEDIDAS ISO, ESTANDARIZADA,</t>
  </si>
  <si>
    <t>LIMA No. 20 DE 31 MM.  LIMA MANUAL DE ACERO INOXIDABLE, FLEXIBLE, ELECTRO-PULIDO, ESTA DISEÑADA CON ALAMBRE CUADRADO PUNTA ACTIVA CORTANTE, CADA LIMA CUENTA CON UN MANGO PLASTICO ERGONOMICO Y TOPE DE SILICONA, MEDIDAS ISO, ESTANDARIZADA,</t>
  </si>
  <si>
    <t>BARNIZ DE FLUORURO DE SODIO (NA) AL 5% CON LIBERACIÓN DE FLÚOR, CALCIO Y FOSFATOS.  LIBERACION 22,600 PPM DE FLÚOR, UNIDOSIS DE 0,5 ML CON 25 MG DE FLUORURO DE SODIO EQUIVALENTE A ION FLUORURO 11.3 MG. ENDULZADO CON XYLITOL.  CAJA X 100 MONODOSIS</t>
  </si>
  <si>
    <t>APÓSITO POTENCIADO DE HYDROBE 20 X 30CM CON PLATA Y FIBRA REFORZANTE, ES UN APÓSITO EN CINTA SUAVE, ESTÉRIL, NO TEJIDO HECHO DE DOS CAPAS DE CARBOXIMETILCELULOSA SÓDICA IMPREGNADA CON UN 1,2% DE PLATA IÓNICA (UN AGENTE ANTIMICROBIANO), POTENCIADA POR SAL DI-SÓDICA DEL ÁCIDO ETILENEDIAMINETETRA-ACÉTICO (EDTA) Y CLORURO DE BENZETONIO, Y REFORZADO CON FIBRA DE CELULOSA REGENERADA.  ESTE APÓSITO ABSORBE EL EXUDADO DE LA HERIDA Y LAS BACTERIAS, FORMANDO UN GEL SUAVE, QUE MANTIENE UN AMBIENTE HÚMEDO PARA APOYAR EL PROCESO DE CURACIÓN DEL CUERPO, AYUDA A REDUCIR EL RIESGO DE INFECCIÓN DE LA HERIDA Y A ELIMINAR EL TEJIDO NO VIABLE DE LA HERIDA (DESBRIDAMIENTO AUTOLÍTICO), SIN DAÑAR EL TEJIDO RECIÉN FORMADO. LA PLATA IÓNICA DEL APÓSITO ELIMINA MICROORGANISMOS PATÓGENOS, TANTO EN FORMA PLANCTÓNICA COMO DE BIOFILMS, PREVIENE LA FORMACIÓN / REFORMACIÓN DEL BIOFILM E INCREMENTA LA EFICIENCIA DE LA PLATA RESPECTO A LOS MICROORGANISMOS. EL APÓSITO POR SÍ MISMO PROVEE UNA BARRERA ANTIMICROBIANA Y PROTEGE EL LECHO DE LA HERIDA.</t>
  </si>
  <si>
    <t>• TAPÒN DOBLE MACHO Y HEMBRA
• EMPAQUE INDIVIDUAL
• CON CÁMARA DE GOTEO, TRANSPARENTE Y FLEXIBLE
• CONECTOR LUER LOCK Y UNIVERSAL
• CON PROTECTORES EN LOS EXTREMOS CON TECNOLOGIA ANTIREFLUJO LIBRE DE LATEX CON SISTEMA CERRADO SIN AGUJA</t>
  </si>
  <si>
    <t>COTIZACION PHARMA SAMI</t>
  </si>
  <si>
    <t>COTIZACION LIFE</t>
  </si>
  <si>
    <t>COTIZACION ALFA TRADING SAS</t>
  </si>
  <si>
    <t>COTIZACION CEMINSUMOS</t>
  </si>
  <si>
    <t>EXTRAMURAL</t>
  </si>
  <si>
    <t>GASA ESTERIL NO TEJIDA PARA CURACIÒN DE 4 DOBLESES Y DE 7" X 7", SOBRE POR 5 UNIDADES</t>
  </si>
  <si>
    <t>CAJA X100 UNIDADES</t>
  </si>
  <si>
    <t>GUANTES DE NITRILO TALLA S</t>
  </si>
  <si>
    <t>GUANTES DE NITRILO TALLA M</t>
  </si>
  <si>
    <t>NO COTIZA</t>
  </si>
  <si>
    <t>COTIZACION INTERCOMERCIAL</t>
  </si>
  <si>
    <t>COTIZACION DISTRIBUCIONES CHAVA</t>
  </si>
  <si>
    <t>CONTRATO 99-8-20073-25</t>
  </si>
  <si>
    <t>NO REGISTRA</t>
  </si>
  <si>
    <t>CONTRATO 99-8-20074-25</t>
  </si>
  <si>
    <t>CONTRATO 99-8-20075-25</t>
  </si>
  <si>
    <t>CONTRATO 99-8-20159-24</t>
  </si>
  <si>
    <t>CONTRATO 99-8-20160-24</t>
  </si>
  <si>
    <t>CONTRATO 99-8-20257-25</t>
  </si>
  <si>
    <t>EYECTOR DE SALIVA PLASTICO</t>
  </si>
  <si>
    <t>99-8-20237-24</t>
  </si>
  <si>
    <t>CONTRATO 99-2-20148-25</t>
  </si>
  <si>
    <t>RESPIRATORIO</t>
  </si>
  <si>
    <t>SUURAS-PEROXIDO-ROPA</t>
  </si>
  <si>
    <t>SUTURAS</t>
  </si>
  <si>
    <t>MEDICO QX - ROPA</t>
  </si>
  <si>
    <t>ROPA TELA</t>
  </si>
  <si>
    <t>RESPIRATORIO-HIPODERMICOS-ESTERILIZACION</t>
  </si>
  <si>
    <t>99-8-20227-24</t>
  </si>
  <si>
    <t>CONTRATO 86-8-20175-25</t>
  </si>
  <si>
    <t>CONTRATO 86-8-20020-24</t>
  </si>
  <si>
    <t>CONTRATO 91-2-20166-25</t>
  </si>
  <si>
    <t>AGUJAS-MEDICO QX</t>
  </si>
  <si>
    <t>SUTURA-TERAPIA FISICA-RESPIRATORIA</t>
  </si>
  <si>
    <t>CONTRATO 99-8-20259-25</t>
  </si>
  <si>
    <t>CONTRATO 86-8-20020-24 + IPC 2024 5,2%, IPC 2025 5,1%</t>
  </si>
  <si>
    <t>CONTRATO 99-8-20073-25 + IPC 2025 5,1%</t>
  </si>
  <si>
    <t>CONTRATO 99-8-20074-25 + IPC 2025 5,1%</t>
  </si>
  <si>
    <t>CONTRATO 99-8-20075-25 + IPC 2025 5,1%</t>
  </si>
  <si>
    <t>CONTRATO 99-2-20148-25 + IPC 2025 5,1%</t>
  </si>
  <si>
    <t>CONTRATO 91-2-20166-25 + IPC 2025 5,1%</t>
  </si>
  <si>
    <t>CONTRATO 86-8-20175-25 + IPC 2025 5,1%</t>
  </si>
  <si>
    <t>PRECIO HISTORICO</t>
  </si>
  <si>
    <t>CONTRATO 99-8-20159-24 + IPC 2024 5,2%, IPC 2025 5.1%</t>
  </si>
  <si>
    <t>CONTRATO 99-8-20160-24 + IPC 2024 5,2%, IPC 2025 5.1%</t>
  </si>
  <si>
    <t>99-8-20227-24 + IPC 2024 5,2%, IPC 2025 5.1%</t>
  </si>
  <si>
    <t>99-8-20237-24 + IPC 2024 5,2%, IPC 2025 5.1%</t>
  </si>
  <si>
    <t xml:space="preserve">NO REGISTRA </t>
  </si>
  <si>
    <t>CONTRATO 99-8-0257-25 + IPC 2025 5,1%</t>
  </si>
  <si>
    <t>CONTRATO 99-8-20259-25 + IPC 2025 5.1%</t>
  </si>
  <si>
    <t>COTIZACION DELTA</t>
  </si>
  <si>
    <t>PRECIO MERCADO</t>
  </si>
  <si>
    <t>CONTRATO 99-2-20167-25</t>
  </si>
  <si>
    <t>CONTRATO 99-2-20167-25 + IPC 2025 5,1%</t>
  </si>
  <si>
    <t>UPRES CALDAS</t>
  </si>
  <si>
    <t xml:space="preserve">PRECIO ESTIMADO </t>
  </si>
  <si>
    <t>RUBRO</t>
  </si>
  <si>
    <t>SUTURA POLIPROPILENO MONOFILAMENTO  4/0 CON AGUJA 1/2 CIRCULO CORTANTE  DE 20 A 24MM</t>
  </si>
  <si>
    <t>CLORHEXIDINA GLUCONATO AL 0.12% X 2LITROS</t>
  </si>
  <si>
    <t>SECOP 311-2026</t>
  </si>
  <si>
    <t>SECOP CTO 135-2026</t>
  </si>
  <si>
    <t>PROMEDIO SECOP</t>
  </si>
  <si>
    <t>DESINFECTANTE DE ALTO NIVEL POR INMERSION</t>
  </si>
  <si>
    <t>CATETER INTRAVENOSO No. 16</t>
  </si>
  <si>
    <t>CATETER INTRAVENOSO No. 18 G</t>
  </si>
  <si>
    <t>CATETER INTRAVENOSO No. 20 G</t>
  </si>
  <si>
    <t>CATETER INTRAVENOSO NO 24G</t>
  </si>
  <si>
    <t>CATETER INTRAVENOSO No. 22G</t>
  </si>
  <si>
    <t>EMPATE UNIVERSAL LUER LOCK O LUER SLIP, AGUJA BISELADA DESECHABLE Y FLEXIBLE.EMPAQUE INDIVIDUAL, EN BLÍSTER PEEL PACK. ESTERIL.  DEBE LLEVAR IMPRESO LA REFERENCIA DEL PRODUCTO, CALIBRE, NUMERO DE LOTE DE FABRICACION, CODIGO DE BARRAS Y FECHA DE VENCIMIENTO NO MENOR A 2 AÑOS. EMBALAJE: DEBE ASEGURAR LA INTEGRIDAD, ORDEN, CONSERVASION, TRANSPORTE Y ADECUADO ALMACENAMIENTO DEL PRODUCTO.</t>
  </si>
  <si>
    <t>ELEMENTO QUE PERMITE LA ADMINISTRACIÓN POR VÍA INTRAVENOSA DE FLUIDOS. CON MECANISMO DE SEGURIDAD PASIVA QUE SE ACTIVA AUTOMÁTICAMENTE CUANDO SE RETIRA LA AGUJA, CON EL FIN DE REDUCIR EFICAZMENTE EL RIESGO DE LESIONES POR PINCHAZO.</t>
  </si>
  <si>
    <t>TOALLA DE TELA EN ALGODÓN DE 48 X 91 CM COLOR AZUL NOCHE Y/O 50 X 90CM</t>
  </si>
  <si>
    <t>CONECTOR UNIVERSAL CON PROTECCION DE CANULA, AGUJA CANULADA TRIBICELADA O PENTABICELADA. MATERIAL POLIURETANO BIOCOMPATIBLE VIALON O CERTO, RADIOPACO RESISTENCIA AL ACODAMIENTO, TERMOSENSIBL FLEXIBLE QUE NO SE DEFORME A LA INSERCIÓN PESTAÑA EN EL CATETER QUE FACILITE EL DESPLAZAMIENTO TRANSPARENTE QUE PERMITA LA VISUALIZACION DEL RETORNO VENOSO EMPAQUE INDIVIDUAL, EN BLÍSTER PEEL PACK. ESTERIL.  DEBE LLEVAR IMPRESO LA REFERENCIA DEL PRODUCTO, CALIBRE, NUMERO DE LOTE DE FABRICACION  CODIGO DE BARRAS Y FECHA DE VENCIMIENTO NO MENOR A 2 AÑOS EMBALAJE: DEBE ASEGURAR LA INTEGRIDAD, ORDEN, CONSERVASION, TRANPORTE Y ADECUADO ALMACENAMIENTO DEL PRODUCTO.</t>
  </si>
  <si>
    <t>EMPAQUE INDIVIDUAL, NO ESTERIL ELASTICO RESISTENTE A LA TRACCION, HEBILLA DE SEGURIDAD PARA AJUSTE ROTULO DEL EMPAQUE DEBE INDICAR NO DE LOTE, REGISTRO SANITARIO E INDICADOR DE MEDIDA DE LA VENDA EMBALAJE: DEBE ASEGURAR LA INTEGRIDAD, ORDEN, CONSERVACION, TRANSPORTE Y ADECUADO ALMACENAMIENTO DEL PRODUCTO</t>
  </si>
  <si>
    <t>EMPAQUE INDIVIDUAL, NO ESTERIL YESO ACRILICO  ROTULO DEL EMPAQUE DEBE INDICAR NO DE LOTE, REGISTRO SANITARIO E INDICADOR DE MEDIDA DE LA VENDA. EMBALAJE: DEBE ASEGURAR LA INTEGRIDAD, ORDEN, CONSERVACION, TRANSPORTE Y ADECUADO ALMACENAMIENTO DEL PRODUCTO.</t>
  </si>
  <si>
    <t>SOLUCIÓN ACUOSA HEMOSTÁTICA DE SULFATO FÉRRICO AL 15,5 % CON UN PH DE ~1,0. EFICAZ Y FÁCIL DE USAR PARA EL CONTROL DE HEMORRAGIAS - FRASCO X 7ML</t>
  </si>
  <si>
    <t>ES UNA CURA MÉDICA COMPUESTA POR UNA ALMOHADILLA DE ESPUMA ABSORBENTE, UNA CAPA ADHESIVA DE SILICONA Y UN BORDE SELLADO PARA PROTEGER LA HERIDA. ESTÁ DISEÑADO PARA ABSORBER DE FORMA EFICAZ EL EXUDADO (LÍQUIDO) DE LA HERIDA, AL MISMO TIEMPO QUE CREA UN ENTORNO HÚMEDO QUE FAVORECE LA CICATRIZACIÓN. LA SILICONA AYUDA A QUE EL APÓSITO SE ADHIERA SUAVEMENTE Y SE RETIRE SIN CAUSAR TRAUMATISMOS EN LA PIEL DE ALREDEDOR MEDIDAS DE CADA UNA 10 CM X 10 CM.</t>
  </si>
  <si>
    <t> 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</si>
  <si>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</si>
  <si>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APÓSITO ESTÉRIL DE 5 X 7.2 CM, DISEÑADO PARA LA PROTECCIÓN DE HERIDAS QUIRÚRGICAS Y LESIONES SUPERFICIALES. MATERIAL TRANSPIRABLE Y ADHESIVO, QUE MANTIENE UN ENTORNO ADECUADO PARA LA CICATRIZACIÓN.</t>
  </si>
  <si>
    <t>EL APÓSITO DE ESPUMA DE POLIURETANO LAMINADO EN CAPAS, DELGADO Y CÓMODO. LA CAPA MÁS EXTERNA ES UNA BARRERA VIRAL Y BACTERIANA DE POLIURETANO A PRUEBA DE AGUA QUE PROTEGE LA HERIDA DE LA CONTAMINACIÓN EXTERNA, AYUDANDO A REDUCIR EL RIESGO DE INFECCIÓN; ESTA CAPA ACTÚA COMO UNA BARRERA PARA LA HERIDA Y TIENE EL POTENCIAL DE PROTEGERLA CONTRA LAS BACTERIAS Y LOS PATÓGENOS VIRALES DE TRANSMISIÓN SANGUÍNEA. LA SUPERFICIE QUE SE ENCUENTRA EN CONTACTO CON LA HERIDA ES UNA ALMOHADILLA ABSORBENTE EN ESPUMA RECUBIERTA CON UNA CAPA DE ADHESIVO SUAVE DE SILICONA PERFORADA QUE PROPORCIONA UNA ADHESION SEGURA Y COMODA CON LA PIEL.  EL APÓSITO ESTÁ DISEÑADO PARA HERIDAS SECAS Y HERIDAS CON BAJOS NIVELES DE FLUIDO Y AYUDA A MANTENER UN AMBIENTE HÚMEDO EN LA HERIDA QUE PUEDE AYUDAR A PROMOVER UNA CICATRIZACIÓN MÁS RÁPIDA EN LA HERIDA. EL APÓSITO ESTÁ DISEÑADO PARA PERMANECER EN SU SITIO SIN LA NECESIDAD DE ADHESIVOS ADICIONALES U OTROS MEDIOS DE FIJACIÓN. PUEDE REPOSICIONARSE DURANTE LA APLICACIÓN.</t>
  </si>
  <si>
    <t xml:space="preserve">DISPOSITIVO DE ASISTENCIA RESPIRATORIA MANUAL PORTÁTIL, TAMBIÉN CONOCIDO COMO "RESUCITADOR MANUAL" O "BOLSA-AUTOINFLABLE". ES UTILIZADO PARA PROPORCIONAR VENTILACIÓN CON PRESIÓN POSITIVA A PACIENTES QUE NO RESPIRAN O QUE LO HACEN INSUFICIENTEMENTE CONSTA DE: DENOMINACIÓN TÉCNICA DEL BIEN O SERVICIO
DISPOSITIVO DE ASISTENCIA RESPIRATORIA MANUAL PORTÁTIL, TAMBIÉN CONOCIDO COMO "RESUCITADOR MANUAL" O "BOLSA-AUTOINFLABLE". ES UTILIZADO PARA PROPORCIONAR VENTILACIÓN CON PRESIÓN POSITIVA A PACIENTES QUE NO RESPIRAN O QUE LO HACEN INSUFICIENTEMENTE CONSTA DE: UNA BOLSA AUTOINFLABLE: SE COMPRIME PARA FORZAR EL AIRE HACIA LOS PULMONES DEL PACIENTE. UNA MASCARILLA: SE ADAPTA A LA CARA DEL PACIENTE PARA CREAR UN SELLO HERMÉTICO.UNA VÁLVULA DE UNA VÍA: PERMITE QUE EL AIRE ENTRE AL PACIENTE DURANTE LA INSPIRACIÓN Y SE CIERRE PARA EVITAR QUE SE ESCAPE DURANTE LA ESPIRACIÓN
</t>
  </si>
  <si>
    <t>PRECIO CATALOGO O PORTALES WEB</t>
  </si>
  <si>
    <t>APÓSITO ESTÉRIL , DISEÑADO PARA LA PROTECCIÓN DE HERIDAS QUIRÚRGICAS Y LESIONES SUPERFICIALES. MATERIAL TRANSPIRABLE Y ADHESIVO, QUE MANTIENE UN ENTORNO ADECUADO PARA LA CICATRIZACIÓN.</t>
  </si>
  <si>
    <t>VALOR ESTUDIO MERCADO</t>
  </si>
  <si>
    <t>CAMPOR DE OJO DESECHABLE DE APROXIMADAMENTE 50CM X 50 CM, CON ABERTURA REDONDA EN LA MITAD </t>
  </si>
  <si>
    <t>CAMPO OPERATORIO DESECHABLE DE APROXIMADAMENTE2,10 MTS X 1,50 MTS</t>
  </si>
  <si>
    <t>BATA MANGA LARGA DESECHABLE CON PUÑO RESORTADO CON TIRAS EN CUELLO Y CINTURA</t>
  </si>
  <si>
    <t> PAQUETE X 10 UNIDADES </t>
  </si>
  <si>
    <t> CAJA X 6 </t>
  </si>
  <si>
    <t>ALGODÓN ODONTOLOGICOS. ELABORADO A PARTIR DE LA FIBRA TEXTIL COMPUESTA EN UN 88 – 96 % DE CELULOSA. TRENZADO Y LISO BOLSA   X 1000 UNIDADES (CAJA X 6 BOLSAS) = 6000 UNIDADES</t>
  </si>
  <si>
    <t> UNIDAD + 10 REPUESTOS </t>
  </si>
  <si>
    <t>CONECTOR UNIVERSAL CON PROTECCION DE CANULA, AGUJA CANULADA TRIBICELADA O PENTABICELADA. MATERIAL POLIURETANO BIOCOMPATIBLE VIALON O CERTO, RADIOPACO RESISTENCIA AL ACODAMIENTO, TERMOSENSIBL FLEXIBLE QUE NO SE DEFORME A LA INSERCIÓN PESTAÑA EN EL CATETER QUE FACILITE EL DESPLAZAMIENTO TRANSPARENTE QUE PERMITA LA VISUALIZACION DEL RETORNO VENOSO EMPAQUE INDIVIDUAL, EN BLÍSTER PEEL PACK. ESTERIL.  DEBE LLEVAR IMPRESO LA REFERENCIA DEL PRODUCTO, CALIBRE, NUMERO DE LOTE DE FABRICACION  CODIGO DE BARRAS Y FECHA DE VENCIMIENTO NO MENOR A 2 AÑOS EMBALAJE: DEBE ASEGURAR LA INTEGRIDAD, ORDEN, CONSERVASION, TRANPORTE Y ADECUADO ALMACENAMIENTO DEL PRODUCTO.</t>
  </si>
  <si>
    <t> CAJA X 50 UNIDADES </t>
  </si>
  <si>
    <t> BOLSA MAYOR O IGUAL A 100 UND O SU EQUIVALENTE EN CANTIDAD </t>
  </si>
  <si>
    <t> CAJA X 500 O SU EQUIVALENTE EN CANTIDAD </t>
  </si>
  <si>
    <t> CAJA X 36 UNIDADES </t>
  </si>
  <si>
    <t> CAJA X 24 UNIDADES </t>
  </si>
  <si>
    <t> PAQUETE X 12 UNIDADES </t>
  </si>
  <si>
    <t>BOLSA X 1000 UD</t>
  </si>
  <si>
    <t>PRECIO SECOP</t>
  </si>
  <si>
    <t>REGIONAL DE ASEGURAMIENTO EN SALUD N°3</t>
  </si>
  <si>
    <t>DISPOSITIVO MÉDICO DE ALTO FLUJO UTILIZADO PARA LA ADMINISTRACIÓN PRECISA DE OXÍGENO, CON CONCENTRACIONES FIO₂ AJUSTABLES ENTRE EL 24% Y EL 50% MEDIANTE VÁLVULAS CODIFICADAS POR COLORES. FABRICADO EN PVC TRANSPARENTE, INCLUYE MASCARILLA ANATÓMICA, TUBO DE OXÍGENO, VÁLVULA DE AJUSTE Y CLIP NASAL, GARANTIZANDO UNA OXIGENOTERAPIA CONTROLADA.</t>
  </si>
  <si>
    <t>CANTIDADES REQUERIDAS  POR UNIDAD PRESTADORA</t>
  </si>
  <si>
    <t>TOTAL CANTIDAD RASES N°3</t>
  </si>
  <si>
    <t>VALOR TOTAL</t>
  </si>
  <si>
    <t>INFORMACION TOTAL PROCESO</t>
  </si>
  <si>
    <t>UPRES QUINDIO</t>
  </si>
  <si>
    <t>VALOR TOTAL PROCESO</t>
  </si>
  <si>
    <t>PROMEDIO HISTORICO-MERCADO</t>
  </si>
  <si>
    <t>NO SECOP</t>
  </si>
  <si>
    <t xml:space="preserve">PROMEDIO  </t>
  </si>
  <si>
    <t>NO ALFA TRADING</t>
  </si>
  <si>
    <t>NO LIFE</t>
  </si>
  <si>
    <t>MERCADO</t>
  </si>
  <si>
    <t>NO PORTAL WEB</t>
  </si>
  <si>
    <t>NO HISTORICO</t>
  </si>
  <si>
    <t xml:space="preserve">PROMEDIO   </t>
  </si>
  <si>
    <t>SOLO MERCADO</t>
  </si>
  <si>
    <t>NO PHARMA</t>
  </si>
  <si>
    <t>NO SECOP - NO PORTAL WEB</t>
  </si>
  <si>
    <t>PROMEDIO</t>
  </si>
  <si>
    <t>PROMEDIO HISTORICO-PORTAL WEB</t>
  </si>
  <si>
    <t>NO SECOP - HISTORICO</t>
  </si>
  <si>
    <t>NO ALFA, NO CHAVA</t>
  </si>
  <si>
    <t>NO LIFE - NO ALFA</t>
  </si>
  <si>
    <t>OBSERVACIONES</t>
  </si>
  <si>
    <t>PRECIO UNITARIO  ESTIMADO INCLUIDO IVA</t>
  </si>
  <si>
    <t>INSUMO MÉDICO NO ESTÉRIL, DISEÑADO PARA PROTECCIÓN Y ACOLCHADO, CARACTERIZADO POR SER UN MATERIAL BLANDO, UNIFORME, INODORO, DE COLOR BLANCO Y LIBRE DE IMPUREZAS O PARTÍCULAS EXTRAÑAS. SE UTILIZA PRINCIPALMENTE COMO CAPA SECUNDARIA PARA PROTEGER LA PIEL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</si>
</sst>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7" formatCode="&quot;$&quot;\ #,##0.00;\-&quot;$&quot;\ #,##0.00"/>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 #,##0.00_);_(* \(#,##0.00\);_(* &quot;-&quot;??_);_(@_)"/>
    <numFmt numFmtId="167" formatCode="_(* #,##0_);_(* \(#,##0\);_(* &quot;-&quot;??_);_(@_)"/>
    <numFmt numFmtId="168" formatCode="_([$€]* #,##0.00_);_([$€]* \(#,##0.00\);_([$€]* &quot;-&quot;??_);_(@_)"/>
    <numFmt numFmtId="169" formatCode="_(* #,##0.00000_);_(* \(#,##0.00000\);_(* &quot;-&quot;??_);_(@_)"/>
    <numFmt numFmtId="170" formatCode="&quot;$&quot;\ #,##0.0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10"/>
      <name val="Arial"/>
      <family val="2"/>
    </font>
    <font>
      <b/>
      <sz val="14"/>
      <name val="Arial"/>
      <family val="2"/>
    </font>
    <font>
      <b/>
      <sz val="16"/>
      <name val="Arial"/>
      <family val="2"/>
    </font>
    <font>
      <b/>
      <sz val="8"/>
      <name val="Arial"/>
      <family val="2"/>
    </font>
    <font>
      <sz val="8"/>
      <name val="MS Sans Serif"/>
      <family val="2"/>
    </font>
    <font>
      <sz val="10"/>
      <color indexed="9"/>
      <name val="Arial"/>
      <family val="2"/>
    </font>
    <font>
      <b/>
      <i/>
      <u/>
      <sz val="16"/>
      <name val="Arial"/>
      <family val="2"/>
    </font>
    <font>
      <b/>
      <i/>
      <u/>
      <sz val="12"/>
      <name val="Arial"/>
      <family val="2"/>
    </font>
    <font>
      <sz val="8"/>
      <color indexed="10"/>
      <name val="MS Sans Serif"/>
      <family val="2"/>
    </font>
    <font>
      <sz val="10"/>
      <color indexed="10"/>
      <name val="Arial"/>
      <family val="2"/>
    </font>
    <font>
      <sz val="8"/>
      <name val="Arial"/>
      <family val="2"/>
    </font>
    <font>
      <b/>
      <sz val="9"/>
      <name val="Arial"/>
      <family val="2"/>
    </font>
    <font>
      <sz val="9"/>
      <name val="Arial"/>
      <family val="2"/>
    </font>
    <font>
      <b/>
      <sz val="9"/>
      <color theme="1"/>
      <name val="Arial"/>
      <family val="2"/>
    </font>
    <font>
      <sz val="11"/>
      <name val="Times New Roman"/>
      <family val="1"/>
    </font>
    <font>
      <sz val="11"/>
      <color rgb="FF000000"/>
      <name val="Calibri"/>
      <family val="2"/>
      <scheme val="minor"/>
    </font>
    <font>
      <sz val="9"/>
      <color indexed="81"/>
      <name val="Tahoma"/>
      <family val="2"/>
    </font>
    <font>
      <b/>
      <sz val="9"/>
      <color indexed="81"/>
      <name val="Tahoma"/>
      <family val="2"/>
    </font>
    <font>
      <sz val="10"/>
      <name val="Arial"/>
      <family val="2"/>
    </font>
    <font>
      <sz val="8"/>
      <color theme="1"/>
      <name val="Arial"/>
      <family val="2"/>
    </font>
    <font>
      <b/>
      <sz val="8"/>
      <color rgb="FF000000"/>
      <name val="Arial"/>
      <family val="2"/>
    </font>
    <font>
      <sz val="8"/>
      <color rgb="FF000000"/>
      <name val="Arial"/>
      <family val="2"/>
    </font>
    <font>
      <b/>
      <sz val="10"/>
      <color rgb="FF000000"/>
      <name val="Arial"/>
      <family val="2"/>
    </font>
    <font>
      <b/>
      <sz val="9"/>
      <color rgb="FF000000"/>
      <name val="Arial"/>
      <family val="2"/>
    </font>
    <font>
      <sz val="9"/>
      <color rgb="FF000000"/>
      <name val="Arial"/>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6"/>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thin">
        <color indexed="64"/>
      </top>
      <bottom/>
      <diagonal/>
    </border>
  </borders>
  <cellStyleXfs count="74">
    <xf numFmtId="0" fontId="0" fillId="0" borderId="0"/>
    <xf numFmtId="168" fontId="8" fillId="0" borderId="0" applyFont="0" applyFill="0" applyBorder="0" applyAlignment="0" applyProtection="0"/>
    <xf numFmtId="166" fontId="8" fillId="0" borderId="0" applyFont="0" applyFill="0" applyBorder="0" applyAlignment="0" applyProtection="0"/>
    <xf numFmtId="165" fontId="11" fillId="0" borderId="0" applyFont="0" applyFill="0" applyBorder="0" applyAlignment="0" applyProtection="0"/>
    <xf numFmtId="0" fontId="11" fillId="0" borderId="0"/>
    <xf numFmtId="166" fontId="11" fillId="0" borderId="0" applyFont="0" applyFill="0" applyBorder="0" applyAlignment="0" applyProtection="0"/>
    <xf numFmtId="0" fontId="11" fillId="0" borderId="0"/>
    <xf numFmtId="0" fontId="8" fillId="0" borderId="0"/>
    <xf numFmtId="165" fontId="8" fillId="0" borderId="0" applyFon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7" fillId="0" borderId="0"/>
    <xf numFmtId="0" fontId="7" fillId="0" borderId="0"/>
    <xf numFmtId="0" fontId="8" fillId="0" borderId="0"/>
    <xf numFmtId="0" fontId="7" fillId="0" borderId="0"/>
    <xf numFmtId="164" fontId="8" fillId="0" borderId="0" applyFont="0" applyFill="0" applyBorder="0" applyAlignment="0" applyProtection="0"/>
    <xf numFmtId="166" fontId="8" fillId="0" borderId="0" applyFont="0" applyFill="0" applyBorder="0" applyAlignment="0" applyProtection="0"/>
    <xf numFmtId="0" fontId="8" fillId="0" borderId="0"/>
    <xf numFmtId="0" fontId="6" fillId="0" borderId="0"/>
    <xf numFmtId="0" fontId="6" fillId="0" borderId="0"/>
    <xf numFmtId="0" fontId="5" fillId="0" borderId="0"/>
    <xf numFmtId="0" fontId="5" fillId="0" borderId="0"/>
    <xf numFmtId="0" fontId="4" fillId="0" borderId="0"/>
    <xf numFmtId="43" fontId="4" fillId="0" borderId="0" applyFont="0" applyFill="0" applyBorder="0" applyAlignment="0" applyProtection="0"/>
    <xf numFmtId="41" fontId="4"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25" fillId="0" borderId="0"/>
    <xf numFmtId="43"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41" fontId="25" fillId="0" borderId="0" applyFont="0" applyFill="0" applyBorder="0" applyAlignment="0" applyProtection="0"/>
    <xf numFmtId="0" fontId="26" fillId="0" borderId="0"/>
    <xf numFmtId="43" fontId="26" fillId="0" borderId="0" applyFont="0" applyFill="0" applyBorder="0" applyAlignment="0" applyProtection="0"/>
    <xf numFmtId="9" fontId="2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3" fillId="0" borderId="0"/>
    <xf numFmtId="0" fontId="3" fillId="0" borderId="0"/>
    <xf numFmtId="0" fontId="2" fillId="0" borderId="0"/>
    <xf numFmtId="43"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4" fontId="29" fillId="0" borderId="0" applyFont="0" applyFill="0" applyBorder="0" applyAlignment="0" applyProtection="0"/>
  </cellStyleXfs>
  <cellXfs count="229">
    <xf numFmtId="0" fontId="0" fillId="0" borderId="0" xfId="0"/>
    <xf numFmtId="166" fontId="0" fillId="0" borderId="1" xfId="2" applyFont="1" applyBorder="1" applyProtection="1">
      <protection locked="0"/>
    </xf>
    <xf numFmtId="166" fontId="0" fillId="0" borderId="2" xfId="2" applyFont="1" applyBorder="1" applyProtection="1">
      <protection locked="0"/>
    </xf>
    <xf numFmtId="166" fontId="0" fillId="0" borderId="3" xfId="2" applyFont="1" applyBorder="1" applyProtection="1">
      <protection locked="0"/>
    </xf>
    <xf numFmtId="166" fontId="0" fillId="0" borderId="4" xfId="2" applyFont="1" applyBorder="1" applyProtection="1">
      <protection locked="0"/>
    </xf>
    <xf numFmtId="166" fontId="0" fillId="0" borderId="5" xfId="2" applyFont="1" applyBorder="1" applyProtection="1">
      <protection locked="0"/>
    </xf>
    <xf numFmtId="166" fontId="9" fillId="0" borderId="1" xfId="2" applyFont="1" applyBorder="1" applyProtection="1">
      <protection locked="0"/>
    </xf>
    <xf numFmtId="166" fontId="0" fillId="0" borderId="1" xfId="2" applyFont="1" applyFill="1" applyBorder="1" applyProtection="1">
      <protection locked="0"/>
    </xf>
    <xf numFmtId="166" fontId="16" fillId="0" borderId="1" xfId="2" applyFont="1" applyFill="1" applyBorder="1" applyProtection="1">
      <protection locked="0"/>
    </xf>
    <xf numFmtId="166" fontId="16" fillId="0" borderId="2" xfId="2" applyFont="1" applyFill="1" applyBorder="1" applyProtection="1">
      <protection locked="0"/>
    </xf>
    <xf numFmtId="0" fontId="11" fillId="2" borderId="0" xfId="0" applyFont="1" applyFill="1" applyProtection="1">
      <protection locked="0"/>
    </xf>
    <xf numFmtId="0" fontId="0" fillId="0" borderId="0" xfId="0" applyProtection="1">
      <protection locked="0"/>
    </xf>
    <xf numFmtId="0" fontId="9" fillId="2" borderId="6" xfId="0" applyFont="1" applyFill="1" applyBorder="1" applyProtection="1">
      <protection locked="0"/>
    </xf>
    <xf numFmtId="0" fontId="9" fillId="2" borderId="2" xfId="0" applyFont="1" applyFill="1" applyBorder="1" applyProtection="1">
      <protection locked="0"/>
    </xf>
    <xf numFmtId="0" fontId="9" fillId="2" borderId="2"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49" fontId="9" fillId="2" borderId="1" xfId="0" applyNumberFormat="1" applyFont="1" applyFill="1" applyBorder="1" applyAlignment="1" applyProtection="1">
      <alignment horizontal="center" vertical="center"/>
      <protection locked="0"/>
    </xf>
    <xf numFmtId="0" fontId="11" fillId="0" borderId="0" xfId="0" applyFont="1" applyProtection="1">
      <protection locked="0"/>
    </xf>
    <xf numFmtId="166" fontId="0" fillId="0" borderId="0" xfId="2" applyFont="1" applyFill="1" applyProtection="1">
      <protection locked="0"/>
    </xf>
    <xf numFmtId="0" fontId="0" fillId="0" borderId="8" xfId="0" applyBorder="1" applyProtection="1">
      <protection locked="0"/>
    </xf>
    <xf numFmtId="0" fontId="9" fillId="0" borderId="8" xfId="0" applyFont="1" applyBorder="1" applyProtection="1">
      <protection locked="0"/>
    </xf>
    <xf numFmtId="0" fontId="11" fillId="0" borderId="0" xfId="0" applyFont="1" applyAlignment="1" applyProtection="1">
      <alignment horizontal="center"/>
      <protection locked="0"/>
    </xf>
    <xf numFmtId="0" fontId="11" fillId="0" borderId="0" xfId="0" applyFont="1" applyAlignment="1" applyProtection="1">
      <alignment horizontal="left"/>
      <protection locked="0"/>
    </xf>
    <xf numFmtId="0" fontId="0" fillId="0" borderId="8" xfId="0" applyBorder="1" applyAlignment="1" applyProtection="1">
      <alignment horizontal="left"/>
      <protection locked="0"/>
    </xf>
    <xf numFmtId="0" fontId="0" fillId="0" borderId="0" xfId="0" applyProtection="1">
      <protection hidden="1"/>
    </xf>
    <xf numFmtId="166" fontId="10" fillId="0" borderId="9" xfId="2" applyFont="1" applyBorder="1" applyProtection="1">
      <protection hidden="1"/>
    </xf>
    <xf numFmtId="166" fontId="10" fillId="0" borderId="1" xfId="2" applyFont="1" applyBorder="1" applyProtection="1">
      <protection hidden="1"/>
    </xf>
    <xf numFmtId="0" fontId="9" fillId="2" borderId="7" xfId="0" applyFont="1" applyFill="1" applyBorder="1" applyAlignment="1" applyProtection="1">
      <alignment horizontal="center" vertical="center"/>
      <protection hidden="1"/>
    </xf>
    <xf numFmtId="0" fontId="9" fillId="2" borderId="1" xfId="0" applyFont="1" applyFill="1" applyBorder="1" applyAlignment="1" applyProtection="1">
      <alignment horizontal="center" vertical="center"/>
      <protection hidden="1"/>
    </xf>
    <xf numFmtId="49" fontId="9" fillId="2" borderId="1" xfId="0" applyNumberFormat="1" applyFont="1" applyFill="1" applyBorder="1" applyAlignment="1" applyProtection="1">
      <alignment horizontal="center" vertical="center"/>
      <protection hidden="1"/>
    </xf>
    <xf numFmtId="0" fontId="9" fillId="2" borderId="3" xfId="0" applyFont="1" applyFill="1" applyBorder="1" applyAlignment="1" applyProtection="1">
      <alignment horizontal="justify" vertical="center" wrapText="1"/>
      <protection hidden="1"/>
    </xf>
    <xf numFmtId="166" fontId="9" fillId="0" borderId="1" xfId="2" applyFont="1" applyBorder="1" applyProtection="1">
      <protection hidden="1"/>
    </xf>
    <xf numFmtId="0" fontId="17" fillId="2" borderId="0" xfId="0" applyFont="1" applyFill="1" applyProtection="1">
      <protection locked="0"/>
    </xf>
    <xf numFmtId="0" fontId="18" fillId="2" borderId="0" xfId="0" applyFont="1" applyFill="1" applyAlignment="1" applyProtection="1">
      <alignment horizontal="center"/>
      <protection locked="0"/>
    </xf>
    <xf numFmtId="0" fontId="9" fillId="2" borderId="10"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protection locked="0"/>
    </xf>
    <xf numFmtId="0" fontId="9" fillId="2" borderId="0" xfId="0" applyFont="1" applyFill="1" applyAlignment="1" applyProtection="1">
      <alignment horizontal="center"/>
      <protection locked="0"/>
    </xf>
    <xf numFmtId="0" fontId="9" fillId="2" borderId="3" xfId="0" applyFont="1" applyFill="1" applyBorder="1" applyAlignment="1" applyProtection="1">
      <alignment horizontal="justify" vertical="center" wrapText="1"/>
      <protection locked="0"/>
    </xf>
    <xf numFmtId="0" fontId="11" fillId="2" borderId="7"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protection locked="0"/>
    </xf>
    <xf numFmtId="49" fontId="11" fillId="2" borderId="1" xfId="0" applyNumberFormat="1" applyFont="1" applyFill="1" applyBorder="1" applyAlignment="1" applyProtection="1">
      <alignment horizontal="center" vertical="center"/>
      <protection locked="0"/>
    </xf>
    <xf numFmtId="0" fontId="11" fillId="2" borderId="3" xfId="0" applyFont="1" applyFill="1" applyBorder="1" applyAlignment="1" applyProtection="1">
      <alignment horizontal="justify" vertical="center" wrapText="1"/>
      <protection locked="0"/>
    </xf>
    <xf numFmtId="0" fontId="11" fillId="2" borderId="6" xfId="0" applyFont="1" applyFill="1" applyBorder="1" applyAlignment="1" applyProtection="1">
      <alignment horizontal="center" vertical="center"/>
      <protection locked="0"/>
    </xf>
    <xf numFmtId="0" fontId="11" fillId="2" borderId="2" xfId="0" applyFont="1" applyFill="1" applyBorder="1" applyAlignment="1" applyProtection="1">
      <alignment horizontal="center" vertical="center"/>
      <protection locked="0"/>
    </xf>
    <xf numFmtId="49" fontId="11" fillId="2" borderId="2" xfId="0" applyNumberFormat="1" applyFont="1" applyFill="1" applyBorder="1" applyAlignment="1" applyProtection="1">
      <alignment horizontal="center" vertical="center"/>
      <protection locked="0"/>
    </xf>
    <xf numFmtId="0" fontId="11" fillId="2" borderId="2" xfId="0" applyFont="1" applyFill="1" applyBorder="1" applyAlignment="1" applyProtection="1">
      <alignment horizontal="justify" vertical="center" wrapText="1"/>
      <protection locked="0"/>
    </xf>
    <xf numFmtId="0" fontId="9" fillId="2" borderId="6" xfId="0" applyFont="1" applyFill="1" applyBorder="1" applyAlignment="1" applyProtection="1">
      <alignment horizontal="center" vertical="center"/>
      <protection locked="0"/>
    </xf>
    <xf numFmtId="49" fontId="9" fillId="2" borderId="2" xfId="0" applyNumberFormat="1" applyFont="1" applyFill="1" applyBorder="1" applyAlignment="1" applyProtection="1">
      <alignment horizontal="center" vertical="center"/>
      <protection locked="0"/>
    </xf>
    <xf numFmtId="0" fontId="9" fillId="2" borderId="2" xfId="0" applyFont="1" applyFill="1" applyBorder="1" applyAlignment="1" applyProtection="1">
      <alignment horizontal="justify" vertical="center" wrapText="1"/>
      <protection locked="0"/>
    </xf>
    <xf numFmtId="0" fontId="9" fillId="0" borderId="0" xfId="0" applyFont="1" applyProtection="1">
      <protection locked="0"/>
    </xf>
    <xf numFmtId="0" fontId="12" fillId="2" borderId="0" xfId="0" applyFont="1" applyFill="1" applyAlignment="1" applyProtection="1">
      <alignment horizontal="center"/>
      <protection locked="0"/>
    </xf>
    <xf numFmtId="0" fontId="13" fillId="2" borderId="0" xfId="0" applyFont="1" applyFill="1" applyAlignment="1" applyProtection="1">
      <alignment horizontal="center"/>
      <protection locked="0"/>
    </xf>
    <xf numFmtId="0" fontId="10" fillId="2" borderId="0" xfId="0" applyFont="1" applyFill="1" applyAlignment="1" applyProtection="1">
      <alignment horizontal="center"/>
      <protection locked="0"/>
    </xf>
    <xf numFmtId="0" fontId="13" fillId="3" borderId="0" xfId="0" applyFont="1" applyFill="1" applyAlignment="1" applyProtection="1">
      <alignment horizontal="left"/>
      <protection locked="0"/>
    </xf>
    <xf numFmtId="3" fontId="14" fillId="2" borderId="12" xfId="0" applyNumberFormat="1" applyFont="1" applyFill="1" applyBorder="1" applyAlignment="1" applyProtection="1">
      <alignment horizontal="center" vertical="center" wrapText="1"/>
      <protection locked="0"/>
    </xf>
    <xf numFmtId="0" fontId="0" fillId="0" borderId="13" xfId="0" applyBorder="1" applyProtection="1">
      <protection locked="0"/>
    </xf>
    <xf numFmtId="0" fontId="10" fillId="3" borderId="7" xfId="0" applyFont="1" applyFill="1" applyBorder="1" applyAlignment="1" applyProtection="1">
      <alignment horizontal="center" vertical="center"/>
      <protection hidden="1"/>
    </xf>
    <xf numFmtId="0" fontId="10" fillId="3" borderId="1" xfId="0" applyFont="1" applyFill="1" applyBorder="1" applyAlignment="1" applyProtection="1">
      <alignment horizontal="center" vertical="center"/>
      <protection hidden="1"/>
    </xf>
    <xf numFmtId="0" fontId="9" fillId="0" borderId="0" xfId="0" applyFont="1" applyAlignment="1" applyProtection="1">
      <alignment horizontal="center" vertical="center" wrapText="1"/>
      <protection locked="0"/>
    </xf>
    <xf numFmtId="166" fontId="0" fillId="0" borderId="9" xfId="2" applyFont="1" applyBorder="1" applyProtection="1">
      <protection hidden="1"/>
    </xf>
    <xf numFmtId="166" fontId="0" fillId="0" borderId="14" xfId="2" applyFont="1" applyBorder="1" applyProtection="1">
      <protection hidden="1"/>
    </xf>
    <xf numFmtId="166" fontId="0" fillId="0" borderId="15" xfId="2" applyFont="1" applyBorder="1" applyProtection="1">
      <protection hidden="1"/>
    </xf>
    <xf numFmtId="0" fontId="10" fillId="3" borderId="16" xfId="0" applyFont="1" applyFill="1" applyBorder="1" applyAlignment="1" applyProtection="1">
      <alignment horizontal="center" vertical="center"/>
      <protection hidden="1"/>
    </xf>
    <xf numFmtId="0" fontId="9" fillId="3" borderId="17" xfId="0" applyFont="1" applyFill="1" applyBorder="1" applyAlignment="1" applyProtection="1">
      <alignment horizontal="center" vertical="center"/>
      <protection hidden="1"/>
    </xf>
    <xf numFmtId="49" fontId="9" fillId="3" borderId="17" xfId="0" applyNumberFormat="1" applyFont="1" applyFill="1" applyBorder="1" applyAlignment="1" applyProtection="1">
      <alignment horizontal="center" vertical="center"/>
      <protection hidden="1"/>
    </xf>
    <xf numFmtId="0" fontId="10" fillId="3" borderId="18" xfId="0" applyFont="1" applyFill="1" applyBorder="1" applyAlignment="1" applyProtection="1">
      <alignment horizontal="justify" vertical="center" wrapText="1"/>
      <protection hidden="1"/>
    </xf>
    <xf numFmtId="166" fontId="0" fillId="0" borderId="17" xfId="2" applyFont="1" applyBorder="1" applyProtection="1">
      <protection hidden="1"/>
    </xf>
    <xf numFmtId="166" fontId="10" fillId="0" borderId="17" xfId="2" applyFont="1" applyBorder="1" applyProtection="1">
      <protection hidden="1"/>
    </xf>
    <xf numFmtId="166" fontId="0" fillId="0" borderId="18" xfId="2" applyFont="1" applyBorder="1" applyProtection="1">
      <protection hidden="1"/>
    </xf>
    <xf numFmtId="166" fontId="0" fillId="0" borderId="19" xfId="2" applyFont="1" applyBorder="1" applyProtection="1">
      <protection hidden="1"/>
    </xf>
    <xf numFmtId="166" fontId="0" fillId="0" borderId="1" xfId="2" applyFont="1" applyBorder="1" applyProtection="1">
      <protection hidden="1"/>
    </xf>
    <xf numFmtId="166" fontId="0" fillId="0" borderId="3" xfId="2" applyFont="1" applyBorder="1" applyProtection="1">
      <protection hidden="1"/>
    </xf>
    <xf numFmtId="166" fontId="0" fillId="0" borderId="4" xfId="2" applyFont="1" applyBorder="1" applyProtection="1">
      <protection hidden="1"/>
    </xf>
    <xf numFmtId="49" fontId="10" fillId="3" borderId="1" xfId="0" applyNumberFormat="1" applyFont="1" applyFill="1" applyBorder="1" applyAlignment="1" applyProtection="1">
      <alignment horizontal="center" vertical="center"/>
      <protection hidden="1"/>
    </xf>
    <xf numFmtId="0" fontId="10" fillId="3" borderId="3" xfId="0" applyFont="1" applyFill="1" applyBorder="1" applyAlignment="1" applyProtection="1">
      <alignment horizontal="justify" vertical="center" wrapText="1"/>
      <protection hidden="1"/>
    </xf>
    <xf numFmtId="0" fontId="9" fillId="0" borderId="20" xfId="0" applyFont="1" applyBorder="1" applyAlignment="1" applyProtection="1">
      <alignment horizontal="center" vertical="center" wrapText="1"/>
      <protection locked="0"/>
    </xf>
    <xf numFmtId="0" fontId="12" fillId="2" borderId="0" xfId="0" applyFont="1" applyFill="1" applyAlignment="1" applyProtection="1">
      <alignment horizontal="left"/>
      <protection locked="0"/>
    </xf>
    <xf numFmtId="0" fontId="10" fillId="3" borderId="2" xfId="0" applyFont="1" applyFill="1" applyBorder="1" applyAlignment="1" applyProtection="1">
      <alignment vertical="center"/>
      <protection locked="0"/>
    </xf>
    <xf numFmtId="0" fontId="10" fillId="3" borderId="21" xfId="0" applyFont="1" applyFill="1" applyBorder="1" applyAlignment="1" applyProtection="1">
      <alignment vertical="center"/>
      <protection locked="0"/>
    </xf>
    <xf numFmtId="0" fontId="10" fillId="3" borderId="6" xfId="0" applyFont="1" applyFill="1" applyBorder="1" applyAlignment="1" applyProtection="1">
      <alignment horizontal="center" vertical="center" wrapText="1"/>
      <protection locked="0"/>
    </xf>
    <xf numFmtId="166" fontId="11" fillId="0" borderId="1" xfId="2" applyFont="1" applyBorder="1" applyProtection="1">
      <protection locked="0"/>
    </xf>
    <xf numFmtId="166" fontId="0" fillId="0" borderId="22" xfId="2" applyFont="1" applyBorder="1" applyProtection="1">
      <protection hidden="1"/>
    </xf>
    <xf numFmtId="166" fontId="10" fillId="0" borderId="22" xfId="2" applyFont="1" applyBorder="1" applyProtection="1">
      <protection hidden="1"/>
    </xf>
    <xf numFmtId="166" fontId="0" fillId="0" borderId="23" xfId="2" applyFont="1" applyBorder="1" applyProtection="1">
      <protection hidden="1"/>
    </xf>
    <xf numFmtId="0" fontId="9" fillId="2" borderId="24" xfId="0" applyFont="1" applyFill="1" applyBorder="1" applyProtection="1">
      <protection locked="0"/>
    </xf>
    <xf numFmtId="0" fontId="9" fillId="2" borderId="8" xfId="0" applyFont="1" applyFill="1" applyBorder="1" applyProtection="1">
      <protection locked="0"/>
    </xf>
    <xf numFmtId="166" fontId="0" fillId="0" borderId="8" xfId="2" applyFont="1" applyBorder="1" applyProtection="1">
      <protection locked="0"/>
    </xf>
    <xf numFmtId="166" fontId="0" fillId="0" borderId="25" xfId="2" applyFont="1" applyBorder="1" applyProtection="1">
      <protection locked="0"/>
    </xf>
    <xf numFmtId="166" fontId="10" fillId="3" borderId="21" xfId="0" applyNumberFormat="1" applyFont="1" applyFill="1" applyBorder="1" applyAlignment="1" applyProtection="1">
      <alignment vertical="center"/>
      <protection locked="0"/>
    </xf>
    <xf numFmtId="0" fontId="15" fillId="0" borderId="0" xfId="0" applyFont="1" applyProtection="1">
      <protection locked="0"/>
    </xf>
    <xf numFmtId="0" fontId="0" fillId="4" borderId="0" xfId="0" applyFill="1" applyProtection="1">
      <protection locked="0"/>
    </xf>
    <xf numFmtId="0" fontId="15" fillId="4" borderId="0" xfId="0" applyFont="1" applyFill="1" applyProtection="1">
      <protection locked="0"/>
    </xf>
    <xf numFmtId="0" fontId="19" fillId="0" borderId="0" xfId="0" applyFont="1" applyProtection="1">
      <protection locked="0"/>
    </xf>
    <xf numFmtId="0" fontId="20" fillId="0" borderId="0" xfId="0" applyFont="1" applyProtection="1">
      <protection locked="0"/>
    </xf>
    <xf numFmtId="0" fontId="9" fillId="0" borderId="12" xfId="0" applyFont="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28" xfId="0" applyFont="1" applyFill="1" applyBorder="1" applyAlignment="1" applyProtection="1">
      <alignment horizontal="center" vertical="center" wrapText="1"/>
      <protection locked="0"/>
    </xf>
    <xf numFmtId="167" fontId="0" fillId="0" borderId="1" xfId="2" applyNumberFormat="1" applyFont="1" applyBorder="1" applyProtection="1">
      <protection locked="0"/>
    </xf>
    <xf numFmtId="166" fontId="13" fillId="0" borderId="1" xfId="2" applyFont="1" applyBorder="1" applyAlignment="1" applyProtection="1">
      <alignment horizontal="center"/>
      <protection locked="0"/>
    </xf>
    <xf numFmtId="170" fontId="23" fillId="0" borderId="0" xfId="0" applyNumberFormat="1" applyFont="1" applyFill="1" applyAlignment="1" applyProtection="1">
      <alignment horizontal="center" vertical="center" wrapText="1"/>
      <protection locked="0"/>
    </xf>
    <xf numFmtId="170" fontId="23" fillId="0" borderId="0" xfId="0" applyNumberFormat="1" applyFont="1" applyFill="1" applyBorder="1" applyAlignment="1" applyProtection="1">
      <alignment horizontal="center" vertical="center" wrapText="1"/>
      <protection locked="0"/>
    </xf>
    <xf numFmtId="170" fontId="21" fillId="6" borderId="1" xfId="0" applyNumberFormat="1" applyFont="1" applyFill="1" applyBorder="1" applyAlignment="1">
      <alignment horizontal="center" vertical="center" wrapText="1"/>
    </xf>
    <xf numFmtId="170" fontId="21" fillId="7"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justify" vertical="center" wrapText="1"/>
    </xf>
    <xf numFmtId="166" fontId="21" fillId="0" borderId="1" xfId="2" applyFont="1" applyFill="1" applyBorder="1" applyAlignment="1" applyProtection="1">
      <alignment horizontal="center" vertical="center" wrapText="1"/>
      <protection locked="0"/>
    </xf>
    <xf numFmtId="0" fontId="30"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protection locked="0"/>
    </xf>
    <xf numFmtId="0" fontId="30" fillId="0"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21" fillId="0" borderId="1" xfId="0" applyFont="1" applyFill="1" applyBorder="1" applyAlignment="1" applyProtection="1">
      <alignment horizontal="justify" vertical="center" wrapText="1"/>
      <protection hidden="1"/>
    </xf>
    <xf numFmtId="0" fontId="21"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justify" vertical="center" wrapText="1"/>
      <protection locked="0"/>
    </xf>
    <xf numFmtId="0" fontId="23" fillId="0" borderId="0" xfId="0" applyFont="1" applyFill="1" applyAlignment="1" applyProtection="1">
      <alignment wrapText="1"/>
      <protection locked="0"/>
    </xf>
    <xf numFmtId="0" fontId="21" fillId="0" borderId="1" xfId="0" applyFont="1" applyFill="1" applyBorder="1" applyAlignment="1">
      <alignment vertical="center" wrapText="1"/>
    </xf>
    <xf numFmtId="0" fontId="21" fillId="0" borderId="1" xfId="0" applyFont="1" applyFill="1" applyBorder="1" applyAlignment="1" applyProtection="1">
      <alignment horizontal="center" vertical="center" wrapText="1"/>
      <protection hidden="1"/>
    </xf>
    <xf numFmtId="0" fontId="23" fillId="0" borderId="0" xfId="0" applyFont="1" applyFill="1" applyAlignment="1" applyProtection="1">
      <alignment horizontal="center" wrapText="1"/>
      <protection locked="0"/>
    </xf>
    <xf numFmtId="170" fontId="32" fillId="6" borderId="1" xfId="0" applyNumberFormat="1" applyFont="1" applyFill="1" applyBorder="1" applyAlignment="1">
      <alignment horizontal="center" vertical="center" wrapText="1"/>
    </xf>
    <xf numFmtId="170" fontId="21" fillId="10" borderId="1" xfId="0" applyNumberFormat="1" applyFont="1" applyFill="1" applyBorder="1" applyAlignment="1">
      <alignment horizontal="center" vertical="center" wrapText="1"/>
    </xf>
    <xf numFmtId="170" fontId="21" fillId="9" borderId="1" xfId="0" applyNumberFormat="1" applyFont="1" applyFill="1" applyBorder="1" applyAlignment="1">
      <alignment horizontal="center" vertical="center" wrapText="1"/>
    </xf>
    <xf numFmtId="170" fontId="14" fillId="7" borderId="1" xfId="0" applyNumberFormat="1" applyFont="1" applyFill="1" applyBorder="1" applyAlignment="1">
      <alignment horizontal="center" vertical="center" wrapText="1"/>
    </xf>
    <xf numFmtId="0" fontId="24" fillId="0" borderId="0" xfId="0" applyFont="1" applyAlignment="1" applyProtection="1">
      <alignment vertical="center" wrapText="1"/>
      <protection locked="0"/>
    </xf>
    <xf numFmtId="0" fontId="22" fillId="5" borderId="0" xfId="0" applyFont="1" applyFill="1" applyAlignment="1" applyProtection="1">
      <alignment horizontal="center" vertical="center" wrapText="1"/>
      <protection locked="0"/>
    </xf>
    <xf numFmtId="0" fontId="23" fillId="5" borderId="0" xfId="0" applyFont="1" applyFill="1" applyAlignment="1" applyProtection="1">
      <alignment wrapText="1"/>
      <protection locked="0"/>
    </xf>
    <xf numFmtId="0" fontId="22" fillId="0" borderId="0" xfId="0" applyFont="1" applyAlignment="1" applyProtection="1">
      <alignment vertical="center" wrapText="1"/>
      <protection locked="0"/>
    </xf>
    <xf numFmtId="0" fontId="23" fillId="5" borderId="0" xfId="0" applyFont="1" applyFill="1" applyAlignment="1" applyProtection="1">
      <alignment vertical="center" wrapText="1"/>
      <protection locked="0"/>
    </xf>
    <xf numFmtId="0" fontId="23"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23" fillId="0" borderId="0" xfId="0" applyFont="1" applyAlignment="1" applyProtection="1">
      <alignment wrapText="1"/>
      <protection locked="0"/>
    </xf>
    <xf numFmtId="0" fontId="0" fillId="0" borderId="0" xfId="0" applyAlignment="1">
      <alignment wrapText="1"/>
    </xf>
    <xf numFmtId="0" fontId="23" fillId="0" borderId="0" xfId="0" applyFont="1" applyFill="1" applyAlignment="1" applyProtection="1">
      <alignment horizontal="center" vertical="center" wrapText="1"/>
      <protection locked="0"/>
    </xf>
    <xf numFmtId="170" fontId="23" fillId="0" borderId="0" xfId="0" applyNumberFormat="1" applyFont="1" applyFill="1" applyAlignment="1" applyProtection="1">
      <alignment wrapText="1"/>
      <protection locked="0"/>
    </xf>
    <xf numFmtId="0" fontId="0" fillId="0" borderId="0" xfId="0" applyAlignment="1" applyProtection="1">
      <alignment wrapText="1"/>
      <protection locked="0"/>
    </xf>
    <xf numFmtId="170" fontId="9" fillId="10" borderId="1" xfId="0" applyNumberFormat="1" applyFont="1" applyFill="1" applyBorder="1" applyAlignment="1">
      <alignment horizontal="center" vertical="center" wrapText="1"/>
    </xf>
    <xf numFmtId="170" fontId="14" fillId="10" borderId="1" xfId="0" applyNumberFormat="1" applyFont="1" applyFill="1" applyBorder="1" applyAlignment="1">
      <alignment horizontal="center" vertical="center" wrapText="1"/>
    </xf>
    <xf numFmtId="169" fontId="14" fillId="8" borderId="1" xfId="2" applyNumberFormat="1" applyFont="1" applyFill="1" applyBorder="1" applyAlignment="1" applyProtection="1">
      <alignment horizontal="center" vertical="center" wrapText="1"/>
      <protection hidden="1"/>
    </xf>
    <xf numFmtId="0" fontId="21" fillId="8" borderId="1" xfId="2" applyNumberFormat="1" applyFont="1" applyFill="1" applyBorder="1" applyAlignment="1" applyProtection="1">
      <alignment horizontal="center" vertical="center" wrapText="1"/>
      <protection locked="0"/>
    </xf>
    <xf numFmtId="1" fontId="21" fillId="8" borderId="1" xfId="2" applyNumberFormat="1" applyFont="1" applyFill="1" applyBorder="1" applyAlignment="1" applyProtection="1">
      <alignment horizontal="center" vertical="center" wrapText="1"/>
      <protection locked="0"/>
    </xf>
    <xf numFmtId="170" fontId="21" fillId="8" borderId="1" xfId="2" applyNumberFormat="1" applyFont="1" applyFill="1" applyBorder="1" applyAlignment="1" applyProtection="1">
      <alignment horizontal="center" vertical="center" wrapText="1"/>
      <protection locked="0"/>
    </xf>
    <xf numFmtId="170" fontId="32" fillId="6" borderId="1" xfId="42" applyNumberFormat="1" applyFont="1" applyFill="1" applyBorder="1" applyAlignment="1">
      <alignment horizontal="center" vertical="center" wrapText="1"/>
    </xf>
    <xf numFmtId="7" fontId="30" fillId="6" borderId="1" xfId="73" applyNumberFormat="1" applyFont="1" applyFill="1" applyBorder="1" applyAlignment="1">
      <alignment horizontal="center" vertical="center" wrapText="1"/>
    </xf>
    <xf numFmtId="170" fontId="21" fillId="12" borderId="1" xfId="0" applyNumberFormat="1" applyFont="1" applyFill="1" applyBorder="1" applyAlignment="1">
      <alignment horizontal="center" vertical="center" wrapText="1"/>
    </xf>
    <xf numFmtId="0" fontId="21" fillId="12" borderId="1" xfId="0" applyFont="1" applyFill="1" applyBorder="1" applyAlignment="1">
      <alignment horizontal="center" vertical="center" wrapText="1"/>
    </xf>
    <xf numFmtId="170" fontId="32" fillId="12" borderId="1" xfId="0" applyNumberFormat="1" applyFont="1" applyFill="1" applyBorder="1" applyAlignment="1">
      <alignment horizontal="center" vertical="center" wrapText="1"/>
    </xf>
    <xf numFmtId="0" fontId="32" fillId="0" borderId="1" xfId="0" applyFont="1" applyFill="1" applyBorder="1" applyAlignment="1">
      <alignment horizontal="center" vertical="top" wrapText="1"/>
    </xf>
    <xf numFmtId="0" fontId="32" fillId="0" borderId="1" xfId="0" applyFont="1" applyFill="1" applyBorder="1" applyAlignment="1">
      <alignment vertical="center" wrapText="1"/>
    </xf>
    <xf numFmtId="0" fontId="32" fillId="0" borderId="21" xfId="0" applyFont="1" applyFill="1" applyBorder="1" applyAlignment="1">
      <alignment horizontal="center" vertical="center" wrapText="1"/>
    </xf>
    <xf numFmtId="0" fontId="22" fillId="0" borderId="1" xfId="0" applyFont="1" applyBorder="1" applyAlignment="1">
      <alignment horizontal="center" vertical="center"/>
    </xf>
    <xf numFmtId="0" fontId="9" fillId="0" borderId="1" xfId="0" applyFont="1" applyBorder="1" applyAlignment="1">
      <alignment horizontal="center" vertical="center"/>
    </xf>
    <xf numFmtId="0" fontId="23" fillId="0" borderId="0" xfId="0" applyFont="1" applyFill="1" applyBorder="1" applyAlignment="1" applyProtection="1">
      <alignment wrapText="1"/>
      <protection locked="0"/>
    </xf>
    <xf numFmtId="0" fontId="22" fillId="10" borderId="1" xfId="0" applyFont="1" applyFill="1" applyBorder="1" applyAlignment="1" applyProtection="1">
      <alignment horizontal="center" vertical="center" wrapText="1"/>
      <protection locked="0"/>
    </xf>
    <xf numFmtId="170" fontId="23" fillId="10" borderId="1" xfId="0" applyNumberFormat="1" applyFont="1" applyFill="1" applyBorder="1" applyAlignment="1" applyProtection="1">
      <alignment horizontal="center" vertical="center" wrapText="1"/>
      <protection locked="0"/>
    </xf>
    <xf numFmtId="0" fontId="31" fillId="6" borderId="2" xfId="0" applyFont="1" applyFill="1" applyBorder="1" applyAlignment="1">
      <alignment horizontal="center" vertical="center" wrapText="1"/>
    </xf>
    <xf numFmtId="170" fontId="21" fillId="0" borderId="0" xfId="0" applyNumberFormat="1" applyFont="1" applyFill="1" applyAlignment="1" applyProtection="1">
      <alignment horizontal="center" vertical="center" wrapText="1"/>
      <protection locked="0"/>
    </xf>
    <xf numFmtId="170" fontId="21" fillId="9" borderId="21" xfId="0" applyNumberFormat="1" applyFont="1" applyFill="1" applyBorder="1" applyAlignment="1">
      <alignment horizontal="center" vertical="center" wrapText="1"/>
    </xf>
    <xf numFmtId="170" fontId="21" fillId="6" borderId="17" xfId="0" applyNumberFormat="1"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xf>
    <xf numFmtId="0" fontId="21" fillId="8" borderId="21" xfId="2" applyNumberFormat="1" applyFont="1" applyFill="1" applyBorder="1" applyAlignment="1" applyProtection="1">
      <alignment horizontal="center" vertical="center" wrapText="1"/>
      <protection locked="0"/>
    </xf>
    <xf numFmtId="0" fontId="30" fillId="8" borderId="21" xfId="0" applyFont="1" applyFill="1" applyBorder="1" applyAlignment="1">
      <alignment horizontal="center" vertical="center" wrapText="1"/>
    </xf>
    <xf numFmtId="0" fontId="31" fillId="9" borderId="2" xfId="0" applyFont="1" applyFill="1" applyBorder="1" applyAlignment="1">
      <alignment horizontal="center" vertical="center" wrapText="1"/>
    </xf>
    <xf numFmtId="0" fontId="21" fillId="9" borderId="1" xfId="0" applyFont="1" applyFill="1" applyBorder="1" applyAlignment="1">
      <alignment horizontal="center" vertical="center" wrapText="1"/>
    </xf>
    <xf numFmtId="170" fontId="9" fillId="11" borderId="1" xfId="0" applyNumberFormat="1" applyFont="1" applyFill="1" applyBorder="1" applyAlignment="1" applyProtection="1">
      <alignment horizontal="center" vertical="center" wrapText="1"/>
      <protection locked="0"/>
    </xf>
    <xf numFmtId="0" fontId="9" fillId="0" borderId="0" xfId="0" applyFont="1" applyBorder="1" applyAlignment="1">
      <alignment horizontal="center" vertical="center"/>
    </xf>
    <xf numFmtId="0" fontId="3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0" xfId="0" applyFont="1" applyFill="1" applyBorder="1" applyAlignment="1">
      <alignment horizontal="justify" vertical="center" wrapText="1"/>
    </xf>
    <xf numFmtId="0" fontId="34" fillId="10" borderId="1" xfId="0" applyFont="1" applyFill="1" applyBorder="1" applyAlignment="1">
      <alignment horizontal="center" vertical="center" wrapText="1"/>
    </xf>
    <xf numFmtId="0" fontId="35" fillId="10" borderId="1" xfId="0" applyFont="1" applyFill="1" applyBorder="1" applyAlignment="1">
      <alignment horizontal="center" vertical="center" wrapText="1"/>
    </xf>
    <xf numFmtId="170" fontId="22" fillId="0" borderId="1" xfId="0" applyNumberFormat="1" applyFont="1" applyBorder="1" applyAlignment="1">
      <alignment horizontal="center" vertical="center" wrapText="1"/>
    </xf>
    <xf numFmtId="0" fontId="23" fillId="10" borderId="1" xfId="0" applyFont="1" applyFill="1" applyBorder="1" applyAlignment="1" applyProtection="1">
      <alignment horizontal="center" vertical="center" wrapText="1"/>
      <protection locked="0"/>
    </xf>
    <xf numFmtId="0" fontId="23" fillId="0" borderId="0" xfId="0" applyFont="1" applyFill="1" applyAlignment="1" applyProtection="1">
      <alignment vertical="center" wrapText="1"/>
      <protection locked="0"/>
    </xf>
    <xf numFmtId="170" fontId="21" fillId="0" borderId="0" xfId="0" applyNumberFormat="1" applyFont="1" applyFill="1" applyBorder="1" applyAlignment="1">
      <alignment horizontal="center" vertical="center" wrapText="1"/>
    </xf>
    <xf numFmtId="170" fontId="32" fillId="0" borderId="0" xfId="42" applyNumberFormat="1" applyFont="1" applyFill="1" applyBorder="1" applyAlignment="1">
      <alignment horizontal="center" vertical="center" wrapText="1"/>
    </xf>
    <xf numFmtId="170" fontId="32" fillId="0" borderId="0" xfId="0" applyNumberFormat="1" applyFont="1" applyFill="1" applyBorder="1" applyAlignment="1">
      <alignment horizontal="center" vertical="center" wrapText="1"/>
    </xf>
    <xf numFmtId="7" fontId="30" fillId="0" borderId="0" xfId="73" applyNumberFormat="1" applyFont="1" applyFill="1" applyBorder="1" applyAlignment="1">
      <alignment horizontal="center" vertical="center" wrapText="1"/>
    </xf>
    <xf numFmtId="0" fontId="21" fillId="0" borderId="0" xfId="2" applyNumberFormat="1" applyFont="1" applyFill="1" applyBorder="1" applyAlignment="1" applyProtection="1">
      <alignment horizontal="center" vertical="center" wrapText="1"/>
      <protection locked="0"/>
    </xf>
    <xf numFmtId="1" fontId="21" fillId="0" borderId="0" xfId="2" applyNumberFormat="1" applyFont="1" applyFill="1" applyBorder="1" applyAlignment="1" applyProtection="1">
      <alignment horizontal="center" vertical="center" wrapText="1"/>
      <protection locked="0"/>
    </xf>
    <xf numFmtId="170" fontId="21" fillId="0" borderId="0" xfId="2" applyNumberFormat="1" applyFont="1" applyFill="1" applyBorder="1" applyAlignment="1" applyProtection="1">
      <alignment horizontal="center" vertical="center" wrapText="1"/>
      <protection locked="0"/>
    </xf>
    <xf numFmtId="0" fontId="0" fillId="0" borderId="0" xfId="0" applyBorder="1" applyAlignment="1">
      <alignment wrapText="1"/>
    </xf>
    <xf numFmtId="0" fontId="12" fillId="2" borderId="0" xfId="0" applyFont="1" applyFill="1" applyAlignment="1" applyProtection="1">
      <alignment horizontal="left"/>
      <protection locked="0"/>
    </xf>
    <xf numFmtId="0" fontId="13" fillId="3" borderId="0" xfId="0" applyFont="1" applyFill="1" applyAlignment="1" applyProtection="1">
      <alignment horizontal="left"/>
      <protection locked="0"/>
    </xf>
    <xf numFmtId="0" fontId="13" fillId="2" borderId="0" xfId="0" applyFont="1" applyFill="1" applyAlignment="1" applyProtection="1">
      <alignment horizontal="center"/>
      <protection locked="0"/>
    </xf>
    <xf numFmtId="0" fontId="12" fillId="2" borderId="0" xfId="0" applyFont="1" applyFill="1" applyAlignment="1" applyProtection="1">
      <alignment horizontal="center"/>
      <protection locked="0"/>
    </xf>
    <xf numFmtId="0" fontId="9" fillId="0" borderId="20" xfId="0" applyFont="1" applyBorder="1" applyAlignment="1" applyProtection="1">
      <alignment horizontal="center" vertical="center" wrapText="1"/>
      <protection locked="0"/>
    </xf>
    <xf numFmtId="0" fontId="9" fillId="0" borderId="29"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28" xfId="0" applyFont="1" applyFill="1" applyBorder="1" applyAlignment="1" applyProtection="1">
      <alignment horizontal="center" vertical="center" wrapText="1"/>
      <protection locked="0"/>
    </xf>
    <xf numFmtId="3" fontId="14" fillId="5" borderId="26" xfId="0" applyNumberFormat="1" applyFont="1" applyFill="1" applyBorder="1" applyAlignment="1" applyProtection="1">
      <alignment horizontal="center" vertical="center" wrapText="1"/>
      <protection locked="0"/>
    </xf>
    <xf numFmtId="3" fontId="14" fillId="2" borderId="28" xfId="0" applyNumberFormat="1" applyFont="1" applyFill="1" applyBorder="1" applyAlignment="1" applyProtection="1">
      <alignment horizontal="center" vertical="center" wrapText="1"/>
      <protection locked="0"/>
    </xf>
    <xf numFmtId="3" fontId="14" fillId="2" borderId="33" xfId="0" applyNumberFormat="1" applyFont="1" applyFill="1" applyBorder="1" applyAlignment="1" applyProtection="1">
      <alignment horizontal="center" vertical="center" wrapText="1"/>
      <protection locked="0"/>
    </xf>
    <xf numFmtId="0" fontId="0" fillId="0" borderId="32" xfId="0" applyBorder="1" applyAlignment="1">
      <alignment horizontal="center" vertical="center" wrapText="1"/>
    </xf>
    <xf numFmtId="0" fontId="9" fillId="5" borderId="20" xfId="0" applyFont="1" applyFill="1" applyBorder="1" applyAlignment="1" applyProtection="1">
      <alignment horizontal="center" vertical="center" wrapText="1"/>
      <protection locked="0"/>
    </xf>
    <xf numFmtId="0" fontId="0" fillId="0" borderId="12" xfId="0" applyBorder="1" applyAlignment="1">
      <alignment horizontal="center" vertical="center" wrapText="1"/>
    </xf>
    <xf numFmtId="0" fontId="10" fillId="3" borderId="7" xfId="0" applyFont="1" applyFill="1" applyBorder="1" applyAlignment="1" applyProtection="1">
      <alignment horizontal="center" vertical="center"/>
      <protection hidden="1"/>
    </xf>
    <xf numFmtId="0" fontId="10" fillId="3" borderId="1" xfId="0" applyFont="1" applyFill="1" applyBorder="1" applyAlignment="1" applyProtection="1">
      <alignment horizontal="center" vertical="center"/>
      <protection hidden="1"/>
    </xf>
    <xf numFmtId="0" fontId="9" fillId="0" borderId="33" xfId="0" applyFont="1" applyBorder="1" applyAlignment="1" applyProtection="1">
      <alignment horizontal="center" vertical="center" wrapText="1"/>
      <protection locked="0"/>
    </xf>
    <xf numFmtId="0" fontId="9" fillId="0" borderId="30" xfId="0" applyFont="1" applyBorder="1" applyAlignment="1" applyProtection="1">
      <alignment horizontal="center" vertical="center" wrapText="1"/>
      <protection locked="0"/>
    </xf>
    <xf numFmtId="0" fontId="9" fillId="0" borderId="27" xfId="0" applyFont="1" applyBorder="1" applyAlignment="1" applyProtection="1">
      <alignment horizontal="center" vertical="center" wrapText="1"/>
      <protection locked="0"/>
    </xf>
    <xf numFmtId="0" fontId="9" fillId="0" borderId="28" xfId="0" applyFont="1" applyBorder="1" applyAlignment="1" applyProtection="1">
      <alignment horizontal="center" vertical="center" wrapText="1"/>
      <protection locked="0"/>
    </xf>
    <xf numFmtId="170" fontId="14" fillId="8" borderId="9" xfId="0" applyNumberFormat="1" applyFont="1" applyFill="1" applyBorder="1" applyAlignment="1">
      <alignment horizontal="center" vertical="center" wrapText="1"/>
    </xf>
    <xf numFmtId="170" fontId="14" fillId="8" borderId="17" xfId="0" applyNumberFormat="1" applyFont="1" applyFill="1" applyBorder="1" applyAlignment="1">
      <alignment horizontal="center" vertical="center" wrapText="1"/>
    </xf>
    <xf numFmtId="0" fontId="33" fillId="6" borderId="3" xfId="0" applyFont="1" applyFill="1" applyBorder="1" applyAlignment="1">
      <alignment horizontal="center" vertical="center" wrapText="1"/>
    </xf>
    <xf numFmtId="0" fontId="33" fillId="6" borderId="2" xfId="0" applyFont="1" applyFill="1" applyBorder="1" applyAlignment="1">
      <alignment horizontal="center" vertical="center" wrapText="1"/>
    </xf>
    <xf numFmtId="0" fontId="33" fillId="6" borderId="21" xfId="0" applyFont="1" applyFill="1" applyBorder="1" applyAlignment="1">
      <alignment horizontal="center" vertical="center" wrapText="1"/>
    </xf>
    <xf numFmtId="0" fontId="33" fillId="9" borderId="3" xfId="0" applyFont="1" applyFill="1" applyBorder="1" applyAlignment="1">
      <alignment horizontal="center" vertical="center" wrapText="1"/>
    </xf>
    <xf numFmtId="0" fontId="33" fillId="9" borderId="21" xfId="0" applyFont="1" applyFill="1" applyBorder="1" applyAlignment="1">
      <alignment horizontal="center" vertical="center" wrapText="1"/>
    </xf>
    <xf numFmtId="170" fontId="14" fillId="8" borderId="1" xfId="0" applyNumberFormat="1" applyFont="1" applyFill="1" applyBorder="1" applyAlignment="1">
      <alignment horizontal="center" vertical="center" wrapText="1"/>
    </xf>
    <xf numFmtId="170" fontId="9" fillId="8" borderId="3" xfId="0" applyNumberFormat="1" applyFont="1" applyFill="1" applyBorder="1" applyAlignment="1">
      <alignment horizontal="center" vertical="center" wrapText="1"/>
    </xf>
    <xf numFmtId="170" fontId="9" fillId="8" borderId="2" xfId="0" applyNumberFormat="1" applyFont="1" applyFill="1" applyBorder="1" applyAlignment="1">
      <alignment horizontal="center" vertical="center" wrapText="1"/>
    </xf>
    <xf numFmtId="170" fontId="9" fillId="8" borderId="21" xfId="0" applyNumberFormat="1" applyFont="1" applyFill="1" applyBorder="1" applyAlignment="1">
      <alignment horizontal="center" vertical="center" wrapText="1"/>
    </xf>
    <xf numFmtId="170" fontId="14" fillId="6" borderId="9" xfId="0" applyNumberFormat="1" applyFont="1" applyFill="1" applyBorder="1" applyAlignment="1">
      <alignment horizontal="center" vertical="center" wrapText="1"/>
    </xf>
    <xf numFmtId="170" fontId="14" fillId="6" borderId="17" xfId="0" applyNumberFormat="1" applyFont="1" applyFill="1" applyBorder="1" applyAlignment="1">
      <alignment horizontal="center" vertical="center" wrapText="1"/>
    </xf>
    <xf numFmtId="170" fontId="14" fillId="9" borderId="34" xfId="0" applyNumberFormat="1" applyFont="1" applyFill="1" applyBorder="1" applyAlignment="1">
      <alignment horizontal="center" vertical="center" wrapText="1"/>
    </xf>
    <xf numFmtId="170" fontId="14" fillId="9" borderId="31" xfId="0" applyNumberFormat="1" applyFont="1" applyFill="1" applyBorder="1" applyAlignment="1">
      <alignment horizontal="center" vertical="center" wrapText="1"/>
    </xf>
    <xf numFmtId="170" fontId="14" fillId="9" borderId="9" xfId="0" applyNumberFormat="1" applyFont="1" applyFill="1" applyBorder="1" applyAlignment="1">
      <alignment horizontal="center" vertical="center" wrapText="1"/>
    </xf>
    <xf numFmtId="170" fontId="14" fillId="9" borderId="17" xfId="0" applyNumberFormat="1" applyFont="1" applyFill="1" applyBorder="1" applyAlignment="1">
      <alignment horizontal="center" vertical="center" wrapText="1"/>
    </xf>
    <xf numFmtId="170" fontId="9" fillId="11" borderId="1" xfId="0" applyNumberFormat="1" applyFont="1" applyFill="1" applyBorder="1" applyAlignment="1" applyProtection="1">
      <alignment horizontal="center" vertical="center" wrapText="1"/>
      <protection locked="0"/>
    </xf>
    <xf numFmtId="0" fontId="22" fillId="5" borderId="1" xfId="0" applyFont="1" applyFill="1" applyBorder="1" applyAlignment="1" applyProtection="1">
      <alignment horizontal="center" vertical="center" wrapText="1"/>
      <protection locked="0"/>
    </xf>
    <xf numFmtId="0" fontId="31" fillId="0" borderId="8" xfId="0" applyFont="1" applyFill="1" applyBorder="1" applyAlignment="1">
      <alignment horizontal="center" vertical="center" wrapText="1"/>
    </xf>
    <xf numFmtId="0" fontId="31" fillId="0" borderId="31" xfId="0" applyFont="1" applyFill="1" applyBorder="1" applyAlignment="1">
      <alignment horizontal="center" vertical="center" wrapText="1"/>
    </xf>
    <xf numFmtId="170" fontId="31" fillId="12" borderId="1" xfId="0" applyNumberFormat="1" applyFont="1" applyFill="1" applyBorder="1" applyAlignment="1">
      <alignment horizontal="center" vertical="center" wrapText="1"/>
    </xf>
    <xf numFmtId="0" fontId="31" fillId="0" borderId="1" xfId="0" applyFont="1" applyFill="1" applyBorder="1" applyAlignment="1">
      <alignment horizontal="center" vertical="center" wrapText="1"/>
    </xf>
    <xf numFmtId="170" fontId="33" fillId="12" borderId="1" xfId="0" applyNumberFormat="1" applyFont="1" applyFill="1" applyBorder="1" applyAlignment="1">
      <alignment horizontal="center" vertical="center" wrapText="1"/>
    </xf>
    <xf numFmtId="0" fontId="33" fillId="7" borderId="1" xfId="0" applyFont="1" applyFill="1" applyBorder="1" applyAlignment="1">
      <alignment horizontal="center" vertical="center" wrapText="1"/>
    </xf>
  </cellXfs>
  <cellStyles count="74">
    <cellStyle name="Euro" xfId="1" xr:uid="{00000000-0005-0000-0000-000000000000}"/>
    <cellStyle name="Millares" xfId="2" builtinId="3"/>
    <cellStyle name="Millares [0] 2" xfId="3" xr:uid="{00000000-0005-0000-0000-000003000000}"/>
    <cellStyle name="Millares [0] 2 2" xfId="34" xr:uid="{00000000-0005-0000-0000-000004000000}"/>
    <cellStyle name="Millares [0] 2 2 2" xfId="67" xr:uid="{00000000-0005-0000-0000-000005000000}"/>
    <cellStyle name="Millares [0] 2 3" xfId="8" xr:uid="{00000000-0005-0000-0000-000006000000}"/>
    <cellStyle name="Millares [0] 2 3 2" xfId="47" xr:uid="{00000000-0005-0000-0000-000007000000}"/>
    <cellStyle name="Millares [0] 2 4" xfId="45" xr:uid="{00000000-0005-0000-0000-000008000000}"/>
    <cellStyle name="Millares [0] 3" xfId="25" xr:uid="{00000000-0005-0000-0000-000009000000}"/>
    <cellStyle name="Millares [0] 3 2" xfId="60" xr:uid="{00000000-0005-0000-0000-00000A000000}"/>
    <cellStyle name="Millares [0] 4" xfId="44" xr:uid="{00000000-0005-0000-0000-00000B000000}"/>
    <cellStyle name="Millares [0] 4 2" xfId="10" xr:uid="{00000000-0005-0000-0000-00000C000000}"/>
    <cellStyle name="Millares [0] 4 2 2" xfId="49" xr:uid="{00000000-0005-0000-0000-00000D000000}"/>
    <cellStyle name="Millares 14 34" xfId="32" xr:uid="{00000000-0005-0000-0000-00000E000000}"/>
    <cellStyle name="Millares 14 34 2" xfId="66" xr:uid="{00000000-0005-0000-0000-00000F000000}"/>
    <cellStyle name="Millares 18 2" xfId="9" xr:uid="{00000000-0005-0000-0000-000010000000}"/>
    <cellStyle name="Millares 18 2 2" xfId="48" xr:uid="{00000000-0005-0000-0000-000011000000}"/>
    <cellStyle name="Millares 2" xfId="31" xr:uid="{00000000-0005-0000-0000-000012000000}"/>
    <cellStyle name="Millares 2 2" xfId="36" xr:uid="{00000000-0005-0000-0000-000013000000}"/>
    <cellStyle name="Millares 2 2 2" xfId="68" xr:uid="{00000000-0005-0000-0000-000014000000}"/>
    <cellStyle name="Millares 2 2 4" xfId="11" xr:uid="{00000000-0005-0000-0000-000015000000}"/>
    <cellStyle name="Millares 2 3" xfId="65" xr:uid="{00000000-0005-0000-0000-000016000000}"/>
    <cellStyle name="Millares 24" xfId="38" xr:uid="{00000000-0005-0000-0000-000017000000}"/>
    <cellStyle name="Millares 24 2" xfId="69" xr:uid="{00000000-0005-0000-0000-000018000000}"/>
    <cellStyle name="Millares 3" xfId="24" xr:uid="{00000000-0005-0000-0000-000019000000}"/>
    <cellStyle name="Millares 3 2" xfId="59" xr:uid="{00000000-0005-0000-0000-00001A000000}"/>
    <cellStyle name="Millares 4" xfId="5" xr:uid="{00000000-0005-0000-0000-00001B000000}"/>
    <cellStyle name="Millares 4 2" xfId="17" xr:uid="{00000000-0005-0000-0000-00001C000000}"/>
    <cellStyle name="Millares 4 2 2" xfId="53" xr:uid="{00000000-0005-0000-0000-00001D000000}"/>
    <cellStyle name="Millares 4 3" xfId="27" xr:uid="{00000000-0005-0000-0000-00001E000000}"/>
    <cellStyle name="Millares 4 3 2" xfId="62" xr:uid="{00000000-0005-0000-0000-00001F000000}"/>
    <cellStyle name="Millares 4 4" xfId="46" xr:uid="{00000000-0005-0000-0000-000020000000}"/>
    <cellStyle name="Millares 5" xfId="39" xr:uid="{00000000-0005-0000-0000-000021000000}"/>
    <cellStyle name="Millares 5 2" xfId="70" xr:uid="{00000000-0005-0000-0000-000022000000}"/>
    <cellStyle name="Millares 6" xfId="43" xr:uid="{00000000-0005-0000-0000-000023000000}"/>
    <cellStyle name="Moneda" xfId="73" builtinId="4"/>
    <cellStyle name="Moneda 2" xfId="16" xr:uid="{00000000-0005-0000-0000-000025000000}"/>
    <cellStyle name="Moneda 3" xfId="28" xr:uid="{00000000-0005-0000-0000-000026000000}"/>
    <cellStyle name="Moneda 3 2" xfId="63" xr:uid="{00000000-0005-0000-0000-000027000000}"/>
    <cellStyle name="Normal" xfId="0" builtinId="0"/>
    <cellStyle name="Normal 10" xfId="4" xr:uid="{00000000-0005-0000-0000-000029000000}"/>
    <cellStyle name="Normal 10 2" xfId="7" xr:uid="{00000000-0005-0000-0000-00002A000000}"/>
    <cellStyle name="Normal 12" xfId="12" xr:uid="{00000000-0005-0000-0000-00002B000000}"/>
    <cellStyle name="Normal 12 2" xfId="19" xr:uid="{00000000-0005-0000-0000-00002C000000}"/>
    <cellStyle name="Normal 12 2 2" xfId="21" xr:uid="{00000000-0005-0000-0000-00002D000000}"/>
    <cellStyle name="Normal 12 2 2 2" xfId="40" xr:uid="{00000000-0005-0000-0000-00002E000000}"/>
    <cellStyle name="Normal 12 2 2 2 2" xfId="71" xr:uid="{00000000-0005-0000-0000-00002F000000}"/>
    <cellStyle name="Normal 12 2 2 3" xfId="56" xr:uid="{00000000-0005-0000-0000-000030000000}"/>
    <cellStyle name="Normal 12 2 3" xfId="54" xr:uid="{00000000-0005-0000-0000-000031000000}"/>
    <cellStyle name="Normal 12 3" xfId="50" xr:uid="{00000000-0005-0000-0000-000032000000}"/>
    <cellStyle name="Normal 2" xfId="6" xr:uid="{00000000-0005-0000-0000-000033000000}"/>
    <cellStyle name="Normal 2 2" xfId="14" xr:uid="{00000000-0005-0000-0000-000034000000}"/>
    <cellStyle name="Normal 2 2 2" xfId="35" xr:uid="{00000000-0005-0000-0000-000035000000}"/>
    <cellStyle name="Normal 2 2 2 2" xfId="18" xr:uid="{00000000-0005-0000-0000-000036000000}"/>
    <cellStyle name="Normal 2 3" xfId="30" xr:uid="{00000000-0005-0000-0000-000037000000}"/>
    <cellStyle name="Normal 3" xfId="26" xr:uid="{00000000-0005-0000-0000-000038000000}"/>
    <cellStyle name="Normal 3 2" xfId="61" xr:uid="{00000000-0005-0000-0000-000039000000}"/>
    <cellStyle name="Normal 4" xfId="15" xr:uid="{00000000-0005-0000-0000-00003A000000}"/>
    <cellStyle name="Normal 4 2" xfId="52" xr:uid="{00000000-0005-0000-0000-00003B000000}"/>
    <cellStyle name="Normal 5" xfId="23" xr:uid="{00000000-0005-0000-0000-00003C000000}"/>
    <cellStyle name="Normal 5 2" xfId="58" xr:uid="{00000000-0005-0000-0000-00003D000000}"/>
    <cellStyle name="Normal 6" xfId="42" xr:uid="{00000000-0005-0000-0000-00003E000000}"/>
    <cellStyle name="Normal 7 3 2 3" xfId="13" xr:uid="{00000000-0005-0000-0000-00003F000000}"/>
    <cellStyle name="Normal 7 3 2 3 2" xfId="20" xr:uid="{00000000-0005-0000-0000-000040000000}"/>
    <cellStyle name="Normal 7 3 2 3 2 2" xfId="22" xr:uid="{00000000-0005-0000-0000-000041000000}"/>
    <cellStyle name="Normal 7 3 2 3 2 2 2" xfId="41" xr:uid="{00000000-0005-0000-0000-000042000000}"/>
    <cellStyle name="Normal 7 3 2 3 2 2 2 2" xfId="72" xr:uid="{00000000-0005-0000-0000-000043000000}"/>
    <cellStyle name="Normal 7 3 2 3 2 2 3" xfId="57" xr:uid="{00000000-0005-0000-0000-000044000000}"/>
    <cellStyle name="Normal 7 3 2 3 2 3" xfId="55" xr:uid="{00000000-0005-0000-0000-000045000000}"/>
    <cellStyle name="Normal 7 3 2 3 3" xfId="51" xr:uid="{00000000-0005-0000-0000-000046000000}"/>
    <cellStyle name="Porcentaje 2" xfId="33" xr:uid="{00000000-0005-0000-0000-000047000000}"/>
    <cellStyle name="Porcentaje 2 2" xfId="37" xr:uid="{00000000-0005-0000-0000-000048000000}"/>
    <cellStyle name="Porcentaje 3" xfId="29" xr:uid="{00000000-0005-0000-0000-000049000000}"/>
    <cellStyle name="Porcentaje 3 2" xfId="64" xr:uid="{00000000-0005-0000-0000-00004A000000}"/>
  </cellStyles>
  <dxfs count="2">
    <dxf>
      <font>
        <condense val="0"/>
        <extend val="0"/>
        <color indexed="8"/>
      </font>
    </dxf>
    <dxf>
      <font>
        <condense val="0"/>
        <extend val="0"/>
        <color indexed="8"/>
      </font>
    </dxf>
  </dxfs>
  <tableStyles count="0" defaultTableStyle="TableStyleMedium9" defaultPivotStyle="PivotStyleLight16"/>
  <colors>
    <mruColors>
      <color rgb="FF32EE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U5740"/>
  <sheetViews>
    <sheetView topLeftCell="A88" workbookViewId="0"/>
  </sheetViews>
  <sheetFormatPr baseColWidth="10" defaultRowHeight="12.75" x14ac:dyDescent="0.2"/>
  <cols>
    <col min="1" max="2" width="4" style="10" customWidth="1"/>
    <col min="3" max="3" width="3.85546875" style="10" customWidth="1"/>
    <col min="4" max="4" width="4.5703125" style="10" customWidth="1"/>
    <col min="5" max="5" width="4" style="10" customWidth="1"/>
    <col min="6" max="6" width="47.7109375" style="10" customWidth="1"/>
    <col min="7" max="7" width="12.140625" style="11" customWidth="1"/>
    <col min="8" max="8" width="27" style="11" customWidth="1"/>
    <col min="9" max="9" width="16.140625" style="11" customWidth="1"/>
    <col min="10" max="10" width="20.28515625" style="11" customWidth="1"/>
    <col min="11" max="11" width="19.140625" style="11" customWidth="1"/>
    <col min="12" max="12" width="18.42578125" style="11" customWidth="1"/>
    <col min="13" max="14" width="18" style="11" customWidth="1"/>
    <col min="15" max="15" width="17" style="11" customWidth="1"/>
    <col min="16" max="16" width="18.5703125" style="11" customWidth="1"/>
    <col min="17" max="17" width="18" style="11" customWidth="1"/>
    <col min="18" max="18" width="13.85546875" style="11" customWidth="1"/>
    <col min="19" max="19" width="13.28515625" style="11" customWidth="1"/>
    <col min="20" max="20" width="15.42578125" style="11" customWidth="1"/>
    <col min="21" max="21" width="4.5703125" style="11" hidden="1" customWidth="1"/>
    <col min="22" max="16384" width="11.42578125" style="11"/>
  </cols>
  <sheetData>
    <row r="1" spans="1:21" ht="7.5" customHeight="1" x14ac:dyDescent="0.2"/>
    <row r="2" spans="1:21" ht="20.25" x14ac:dyDescent="0.3">
      <c r="A2" s="184" t="s">
        <v>232</v>
      </c>
      <c r="B2" s="184"/>
      <c r="C2" s="184"/>
      <c r="D2" s="184"/>
      <c r="E2" s="184"/>
      <c r="F2" s="184"/>
      <c r="G2" s="184"/>
      <c r="H2" s="184"/>
      <c r="I2" s="184"/>
      <c r="J2" s="184"/>
      <c r="K2" s="184"/>
      <c r="L2" s="184"/>
      <c r="M2" s="184"/>
      <c r="N2" s="184"/>
      <c r="O2" s="184"/>
      <c r="P2" s="184"/>
      <c r="Q2" s="184"/>
      <c r="R2" s="184"/>
      <c r="S2" s="184"/>
      <c r="T2" s="184"/>
      <c r="U2" s="52"/>
    </row>
    <row r="3" spans="1:21" ht="20.25" x14ac:dyDescent="0.3">
      <c r="A3" s="184" t="s">
        <v>202</v>
      </c>
      <c r="B3" s="184"/>
      <c r="C3" s="184"/>
      <c r="D3" s="184"/>
      <c r="E3" s="184"/>
      <c r="F3" s="184"/>
      <c r="G3" s="184"/>
      <c r="H3" s="184"/>
      <c r="I3" s="184"/>
      <c r="J3" s="184"/>
      <c r="K3" s="184"/>
      <c r="L3" s="184"/>
      <c r="M3" s="184"/>
      <c r="N3" s="184"/>
      <c r="O3" s="184"/>
      <c r="P3" s="184"/>
      <c r="Q3" s="184"/>
      <c r="R3" s="184"/>
      <c r="S3" s="184"/>
      <c r="T3" s="184"/>
      <c r="U3" s="52"/>
    </row>
    <row r="4" spans="1:21" ht="20.25" x14ac:dyDescent="0.3">
      <c r="A4" s="184" t="s">
        <v>3</v>
      </c>
      <c r="B4" s="184"/>
      <c r="C4" s="184"/>
      <c r="D4" s="184"/>
      <c r="E4" s="184"/>
      <c r="F4" s="184"/>
      <c r="G4" s="184"/>
      <c r="H4" s="184"/>
      <c r="I4" s="184"/>
      <c r="J4" s="184"/>
      <c r="K4" s="184"/>
      <c r="L4" s="184"/>
      <c r="M4" s="184"/>
      <c r="N4" s="184"/>
      <c r="O4" s="184"/>
      <c r="P4" s="184"/>
      <c r="Q4" s="184"/>
      <c r="R4" s="184"/>
      <c r="S4" s="184"/>
      <c r="T4" s="184"/>
      <c r="U4" s="52"/>
    </row>
    <row r="5" spans="1:21" ht="21" customHeight="1" x14ac:dyDescent="0.25">
      <c r="A5" s="185" t="s">
        <v>268</v>
      </c>
      <c r="B5" s="185"/>
      <c r="C5" s="185"/>
      <c r="D5" s="185"/>
      <c r="E5" s="185"/>
      <c r="F5" s="185"/>
      <c r="G5" s="185"/>
      <c r="H5" s="185"/>
      <c r="I5" s="185"/>
      <c r="J5" s="185"/>
      <c r="K5" s="185"/>
      <c r="L5" s="185"/>
      <c r="M5" s="185"/>
      <c r="N5" s="185"/>
      <c r="O5" s="185"/>
      <c r="P5" s="185"/>
      <c r="Q5" s="185"/>
      <c r="R5" s="185"/>
      <c r="S5" s="185"/>
      <c r="T5" s="185"/>
      <c r="U5" s="51"/>
    </row>
    <row r="6" spans="1:21" ht="21" customHeight="1" x14ac:dyDescent="0.25">
      <c r="A6" s="182" t="s">
        <v>14</v>
      </c>
      <c r="B6" s="182"/>
      <c r="C6" s="182"/>
      <c r="D6" s="182"/>
      <c r="E6" s="182"/>
      <c r="F6" s="182"/>
      <c r="G6" s="182"/>
      <c r="H6" s="182"/>
      <c r="I6" s="182"/>
      <c r="J6" s="182"/>
      <c r="K6" s="182"/>
      <c r="L6" s="182"/>
      <c r="M6" s="182"/>
      <c r="N6" s="182"/>
      <c r="O6" s="182"/>
      <c r="P6" s="182"/>
      <c r="Q6" s="182"/>
      <c r="R6" s="182"/>
      <c r="S6" s="182"/>
      <c r="T6" s="182"/>
      <c r="U6" s="51"/>
    </row>
    <row r="7" spans="1:21" ht="21" customHeight="1" x14ac:dyDescent="0.25">
      <c r="A7" s="77" t="s">
        <v>15</v>
      </c>
      <c r="B7" s="77"/>
      <c r="C7" s="77"/>
      <c r="D7" s="77"/>
      <c r="E7" s="77"/>
      <c r="F7" s="77"/>
      <c r="G7" s="77"/>
      <c r="H7" s="77"/>
      <c r="I7" s="77"/>
      <c r="J7" s="77"/>
      <c r="K7" s="77"/>
      <c r="L7" s="77"/>
      <c r="M7" s="77"/>
      <c r="N7" s="77"/>
      <c r="O7" s="77"/>
      <c r="P7" s="77"/>
      <c r="Q7" s="77"/>
      <c r="R7" s="77"/>
      <c r="S7" s="77"/>
      <c r="T7" s="77"/>
      <c r="U7" s="51"/>
    </row>
    <row r="8" spans="1:21" ht="20.25" x14ac:dyDescent="0.3">
      <c r="A8" s="33" t="s">
        <v>285</v>
      </c>
      <c r="B8" s="33"/>
      <c r="C8" s="33"/>
      <c r="D8" s="33"/>
      <c r="E8" s="33"/>
      <c r="F8" s="33"/>
      <c r="G8" s="33"/>
      <c r="H8" s="34"/>
      <c r="I8" s="53"/>
      <c r="J8" s="53"/>
      <c r="K8" s="53"/>
      <c r="L8" s="53"/>
      <c r="M8" s="53"/>
      <c r="N8" s="53"/>
      <c r="O8" s="53"/>
      <c r="P8" s="53"/>
      <c r="Q8" s="53"/>
      <c r="R8" s="53"/>
      <c r="S8" s="53"/>
    </row>
    <row r="9" spans="1:21" ht="20.25" x14ac:dyDescent="0.3">
      <c r="A9" s="183" t="s">
        <v>237</v>
      </c>
      <c r="B9" s="183"/>
      <c r="C9" s="183"/>
      <c r="D9" s="183"/>
      <c r="E9" s="183"/>
      <c r="F9" s="183"/>
      <c r="G9" s="183"/>
      <c r="H9" s="183"/>
      <c r="I9" s="183"/>
      <c r="J9" s="183"/>
      <c r="K9" s="183"/>
      <c r="L9" s="183"/>
      <c r="M9" s="183"/>
      <c r="N9" s="183"/>
      <c r="O9" s="183"/>
      <c r="P9" s="183"/>
      <c r="Q9" s="183"/>
      <c r="R9" s="183"/>
      <c r="S9" s="183"/>
      <c r="T9" s="183"/>
      <c r="U9" s="54"/>
    </row>
    <row r="10" spans="1:21" ht="13.5" thickBot="1" x14ac:dyDescent="0.25"/>
    <row r="11" spans="1:21" ht="26.25" customHeight="1" thickBot="1" x14ac:dyDescent="0.25">
      <c r="A11" s="189" t="s">
        <v>199</v>
      </c>
      <c r="B11" s="190"/>
      <c r="C11" s="190"/>
      <c r="D11" s="190"/>
      <c r="E11" s="190"/>
      <c r="F11" s="191"/>
      <c r="G11" s="186" t="s">
        <v>198</v>
      </c>
      <c r="H11" s="186" t="s">
        <v>191</v>
      </c>
      <c r="I11" s="186" t="s">
        <v>192</v>
      </c>
      <c r="J11" s="186" t="s">
        <v>193</v>
      </c>
      <c r="K11" s="186" t="s">
        <v>259</v>
      </c>
      <c r="L11" s="186" t="s">
        <v>260</v>
      </c>
      <c r="M11" s="186" t="s">
        <v>261</v>
      </c>
      <c r="N11" s="200" t="s">
        <v>4</v>
      </c>
      <c r="O11" s="201"/>
      <c r="P11" s="202"/>
      <c r="Q11" s="203"/>
      <c r="R11" s="186" t="s">
        <v>263</v>
      </c>
      <c r="S11" s="186" t="s">
        <v>272</v>
      </c>
      <c r="T11" s="186" t="s">
        <v>194</v>
      </c>
      <c r="U11" s="59"/>
    </row>
    <row r="12" spans="1:21" ht="26.25" customHeight="1" thickBot="1" x14ac:dyDescent="0.25">
      <c r="A12" s="96"/>
      <c r="B12" s="97"/>
      <c r="C12" s="97"/>
      <c r="D12" s="97"/>
      <c r="E12" s="97"/>
      <c r="F12" s="98"/>
      <c r="G12" s="187"/>
      <c r="H12" s="187"/>
      <c r="I12" s="187"/>
      <c r="J12" s="187"/>
      <c r="K12" s="187"/>
      <c r="L12" s="187"/>
      <c r="M12" s="187"/>
      <c r="N12" s="192" t="s">
        <v>5</v>
      </c>
      <c r="O12" s="193"/>
      <c r="P12" s="194" t="s">
        <v>262</v>
      </c>
      <c r="Q12" s="196" t="s">
        <v>7</v>
      </c>
      <c r="R12" s="187"/>
      <c r="S12" s="187"/>
      <c r="T12" s="187"/>
      <c r="U12" s="59"/>
    </row>
    <row r="13" spans="1:21" ht="55.5" customHeight="1" thickBot="1" x14ac:dyDescent="0.25">
      <c r="A13" s="189" t="s">
        <v>196</v>
      </c>
      <c r="B13" s="190"/>
      <c r="C13" s="190"/>
      <c r="D13" s="190"/>
      <c r="E13" s="191"/>
      <c r="F13" s="35" t="s">
        <v>197</v>
      </c>
      <c r="G13" s="188"/>
      <c r="H13" s="188"/>
      <c r="I13" s="188"/>
      <c r="J13" s="188"/>
      <c r="K13" s="188"/>
      <c r="L13" s="188"/>
      <c r="M13" s="188"/>
      <c r="N13" s="95" t="s">
        <v>2</v>
      </c>
      <c r="O13" s="55" t="s">
        <v>6</v>
      </c>
      <c r="P13" s="195"/>
      <c r="Q13" s="197"/>
      <c r="R13" s="188"/>
      <c r="S13" s="188"/>
      <c r="T13" s="188"/>
      <c r="U13" s="59"/>
    </row>
    <row r="14" spans="1:21" x14ac:dyDescent="0.2">
      <c r="A14" s="36"/>
      <c r="B14" s="37"/>
      <c r="C14" s="37"/>
      <c r="D14" s="37"/>
      <c r="E14" s="37"/>
      <c r="F14" s="37"/>
      <c r="K14" s="76"/>
      <c r="T14" s="56"/>
      <c r="U14" s="11">
        <v>1</v>
      </c>
    </row>
    <row r="15" spans="1:21" s="25" customFormat="1" ht="16.5" customHeight="1" x14ac:dyDescent="0.25">
      <c r="A15" s="198" t="s">
        <v>200</v>
      </c>
      <c r="B15" s="199"/>
      <c r="C15" s="199"/>
      <c r="D15" s="199"/>
      <c r="E15" s="199"/>
      <c r="F15" s="199"/>
      <c r="G15" s="60"/>
      <c r="H15" s="60"/>
      <c r="I15" s="60"/>
      <c r="J15" s="26"/>
      <c r="K15" s="26"/>
      <c r="L15" s="26"/>
      <c r="M15" s="26">
        <f>+M19+M91+M104</f>
        <v>0</v>
      </c>
      <c r="N15" s="26"/>
      <c r="O15" s="26">
        <f>+O19+O91+O104</f>
        <v>0</v>
      </c>
      <c r="P15" s="26">
        <f>+P19+P91+P104</f>
        <v>92064000</v>
      </c>
      <c r="Q15" s="26">
        <f>+Q19+Q91+Q104</f>
        <v>92064000</v>
      </c>
      <c r="R15" s="60"/>
      <c r="S15" s="61"/>
      <c r="T15" s="62"/>
      <c r="U15" s="25">
        <v>1</v>
      </c>
    </row>
    <row r="16" spans="1:21" s="25" customFormat="1" ht="15.75" x14ac:dyDescent="0.25">
      <c r="A16" s="82"/>
      <c r="B16" s="82"/>
      <c r="C16" s="82"/>
      <c r="D16" s="82"/>
      <c r="E16" s="82"/>
      <c r="F16" s="82"/>
      <c r="G16" s="82"/>
      <c r="H16" s="82"/>
      <c r="I16" s="82"/>
      <c r="J16" s="83"/>
      <c r="K16" s="83"/>
      <c r="L16" s="83"/>
      <c r="M16" s="83"/>
      <c r="N16" s="83"/>
      <c r="O16" s="83"/>
      <c r="P16" s="83"/>
      <c r="Q16" s="83"/>
      <c r="R16" s="82"/>
      <c r="S16" s="82"/>
      <c r="T16" s="84"/>
    </row>
    <row r="17" spans="1:21" ht="31.5" x14ac:dyDescent="0.2">
      <c r="A17" s="12"/>
      <c r="B17" s="13"/>
      <c r="C17" s="13"/>
      <c r="D17" s="13"/>
      <c r="E17" s="13"/>
      <c r="F17" s="80" t="s">
        <v>13</v>
      </c>
      <c r="G17" s="2"/>
      <c r="H17" s="2"/>
      <c r="I17" s="2"/>
      <c r="J17" s="2"/>
      <c r="K17" s="2"/>
      <c r="L17" s="2"/>
      <c r="M17" s="2"/>
      <c r="N17" s="2"/>
      <c r="O17" s="2"/>
      <c r="P17" s="2"/>
      <c r="Q17" s="2"/>
      <c r="R17" s="2"/>
      <c r="S17" s="2"/>
      <c r="T17" s="5"/>
      <c r="U17" s="11">
        <v>1</v>
      </c>
    </row>
    <row r="18" spans="1:21" x14ac:dyDescent="0.2">
      <c r="A18" s="85"/>
      <c r="B18" s="86"/>
      <c r="C18" s="86"/>
      <c r="D18" s="86"/>
      <c r="E18" s="86"/>
      <c r="F18" s="87"/>
      <c r="G18" s="87"/>
      <c r="H18" s="87"/>
      <c r="I18" s="87"/>
      <c r="J18" s="87"/>
      <c r="K18" s="87"/>
      <c r="L18" s="87"/>
      <c r="M18" s="87"/>
      <c r="N18" s="87"/>
      <c r="O18" s="87"/>
      <c r="P18" s="87"/>
      <c r="Q18" s="87"/>
      <c r="R18" s="87"/>
      <c r="S18" s="87"/>
      <c r="T18" s="88"/>
    </row>
    <row r="19" spans="1:21" s="25" customFormat="1" ht="15.75" x14ac:dyDescent="0.25">
      <c r="A19" s="63">
        <v>1</v>
      </c>
      <c r="B19" s="64"/>
      <c r="C19" s="64"/>
      <c r="D19" s="64"/>
      <c r="E19" s="65"/>
      <c r="F19" s="66" t="s">
        <v>203</v>
      </c>
      <c r="G19" s="67"/>
      <c r="H19" s="67"/>
      <c r="I19" s="67"/>
      <c r="J19" s="68"/>
      <c r="K19" s="68"/>
      <c r="L19" s="68"/>
      <c r="M19" s="68">
        <f>+M20+M54+M69</f>
        <v>0</v>
      </c>
      <c r="N19" s="68"/>
      <c r="O19" s="68">
        <f>+O20+O54+O69</f>
        <v>0</v>
      </c>
      <c r="P19" s="68">
        <f>+P20+P54+P69</f>
        <v>0</v>
      </c>
      <c r="Q19" s="68">
        <f>+Q20+Q54+Q69</f>
        <v>0</v>
      </c>
      <c r="R19" s="67"/>
      <c r="S19" s="69"/>
      <c r="T19" s="70"/>
      <c r="U19" s="25">
        <v>1</v>
      </c>
    </row>
    <row r="20" spans="1:21" s="25" customFormat="1" x14ac:dyDescent="0.2">
      <c r="A20" s="28">
        <v>1</v>
      </c>
      <c r="B20" s="29">
        <v>0</v>
      </c>
      <c r="C20" s="29">
        <v>1</v>
      </c>
      <c r="D20" s="29"/>
      <c r="E20" s="30"/>
      <c r="F20" s="31" t="s">
        <v>204</v>
      </c>
      <c r="G20" s="71"/>
      <c r="H20" s="71"/>
      <c r="I20" s="71"/>
      <c r="J20" s="32"/>
      <c r="K20" s="32"/>
      <c r="L20" s="32"/>
      <c r="M20" s="32">
        <f>+M21+M26+M30+M43+M47+M52</f>
        <v>0</v>
      </c>
      <c r="N20" s="32"/>
      <c r="O20" s="32">
        <f>+O21+O26+O30+O43+O47+O52</f>
        <v>0</v>
      </c>
      <c r="P20" s="32">
        <f>+P21+P26+P30+P43+P47+P52</f>
        <v>0</v>
      </c>
      <c r="Q20" s="32">
        <f>+Q21+Q26+Q30+Q43+Q47+Q52</f>
        <v>0</v>
      </c>
      <c r="R20" s="71"/>
      <c r="S20" s="72"/>
      <c r="T20" s="73"/>
      <c r="U20" s="25">
        <v>1</v>
      </c>
    </row>
    <row r="21" spans="1:21" s="25" customFormat="1" x14ac:dyDescent="0.2">
      <c r="A21" s="28">
        <v>1</v>
      </c>
      <c r="B21" s="29">
        <v>0</v>
      </c>
      <c r="C21" s="29">
        <v>1</v>
      </c>
      <c r="D21" s="29">
        <v>1</v>
      </c>
      <c r="E21" s="30"/>
      <c r="F21" s="31" t="s">
        <v>205</v>
      </c>
      <c r="G21" s="71"/>
      <c r="H21" s="71"/>
      <c r="I21" s="71"/>
      <c r="J21" s="32"/>
      <c r="K21" s="32"/>
      <c r="L21" s="32"/>
      <c r="M21" s="32">
        <f>SUM(M22:M24)</f>
        <v>0</v>
      </c>
      <c r="N21" s="32"/>
      <c r="O21" s="32">
        <f>SUM(O22:O24)</f>
        <v>0</v>
      </c>
      <c r="P21" s="32">
        <f>SUM(P22:P24)</f>
        <v>0</v>
      </c>
      <c r="Q21" s="32">
        <f>SUM(Q22:Q24)</f>
        <v>0</v>
      </c>
      <c r="R21" s="71"/>
      <c r="S21" s="72"/>
      <c r="T21" s="73"/>
      <c r="U21" s="25">
        <v>1</v>
      </c>
    </row>
    <row r="22" spans="1:21" ht="13.5" customHeight="1" x14ac:dyDescent="0.2">
      <c r="A22" s="39"/>
      <c r="B22" s="40"/>
      <c r="C22" s="40"/>
      <c r="D22" s="40"/>
      <c r="E22" s="41" t="s">
        <v>206</v>
      </c>
      <c r="F22" s="42" t="s">
        <v>207</v>
      </c>
      <c r="G22" s="1"/>
      <c r="H22" s="1"/>
      <c r="I22" s="1"/>
      <c r="J22" s="1"/>
      <c r="K22" s="1"/>
      <c r="L22" s="1"/>
      <c r="M22" s="1">
        <v>0</v>
      </c>
      <c r="N22" s="1"/>
      <c r="O22" s="1">
        <v>0</v>
      </c>
      <c r="P22" s="1">
        <v>0</v>
      </c>
      <c r="Q22" s="1">
        <f>+P22+O22-M22</f>
        <v>0</v>
      </c>
      <c r="R22" s="1"/>
      <c r="S22" s="3"/>
      <c r="T22" s="4"/>
      <c r="U22" s="11">
        <v>1</v>
      </c>
    </row>
    <row r="23" spans="1:21" ht="13.5" customHeight="1" x14ac:dyDescent="0.2">
      <c r="A23" s="39"/>
      <c r="B23" s="40"/>
      <c r="C23" s="40"/>
      <c r="D23" s="40"/>
      <c r="E23" s="41" t="s">
        <v>208</v>
      </c>
      <c r="F23" s="42" t="s">
        <v>238</v>
      </c>
      <c r="G23" s="1"/>
      <c r="H23" s="1"/>
      <c r="I23" s="1"/>
      <c r="J23" s="1"/>
      <c r="K23" s="1"/>
      <c r="L23" s="1"/>
      <c r="M23" s="1"/>
      <c r="N23" s="1"/>
      <c r="O23" s="1"/>
      <c r="P23" s="1"/>
      <c r="Q23" s="1">
        <f>+P23+O23-M23</f>
        <v>0</v>
      </c>
      <c r="R23" s="1"/>
      <c r="S23" s="3"/>
      <c r="T23" s="4"/>
      <c r="U23" s="11">
        <v>1</v>
      </c>
    </row>
    <row r="24" spans="1:21" x14ac:dyDescent="0.2">
      <c r="A24" s="39"/>
      <c r="B24" s="40"/>
      <c r="C24" s="40"/>
      <c r="D24" s="40"/>
      <c r="E24" s="11"/>
      <c r="F24" s="11"/>
      <c r="G24" s="1"/>
      <c r="H24" s="1"/>
      <c r="I24" s="1"/>
      <c r="J24" s="1"/>
      <c r="K24" s="1"/>
      <c r="L24" s="1"/>
      <c r="M24" s="1"/>
      <c r="N24" s="1"/>
      <c r="O24" s="1"/>
      <c r="P24" s="1"/>
      <c r="Q24" s="1">
        <f>+O24+P24-M24</f>
        <v>0</v>
      </c>
      <c r="R24" s="1"/>
      <c r="S24" s="3"/>
      <c r="T24" s="4"/>
      <c r="U24" s="11">
        <v>1</v>
      </c>
    </row>
    <row r="25" spans="1:21" x14ac:dyDescent="0.2">
      <c r="A25" s="43"/>
      <c r="B25" s="44"/>
      <c r="C25" s="44"/>
      <c r="D25" s="44"/>
      <c r="E25" s="45"/>
      <c r="F25" s="46"/>
      <c r="G25" s="2"/>
      <c r="H25" s="2"/>
      <c r="I25" s="2"/>
      <c r="J25" s="2"/>
      <c r="K25" s="2"/>
      <c r="L25" s="2"/>
      <c r="M25" s="2"/>
      <c r="N25" s="2"/>
      <c r="O25" s="2"/>
      <c r="P25" s="2"/>
      <c r="Q25" s="2"/>
      <c r="R25" s="2"/>
      <c r="S25" s="2"/>
      <c r="T25" s="5"/>
      <c r="U25" s="11">
        <v>1</v>
      </c>
    </row>
    <row r="26" spans="1:21" s="25" customFormat="1" x14ac:dyDescent="0.2">
      <c r="A26" s="28">
        <v>1</v>
      </c>
      <c r="B26" s="29">
        <v>0</v>
      </c>
      <c r="C26" s="29">
        <v>1</v>
      </c>
      <c r="D26" s="29">
        <v>4</v>
      </c>
      <c r="E26" s="30"/>
      <c r="F26" s="31" t="s">
        <v>239</v>
      </c>
      <c r="G26" s="71"/>
      <c r="H26" s="71"/>
      <c r="I26" s="71"/>
      <c r="J26" s="32"/>
      <c r="K26" s="32"/>
      <c r="L26" s="32"/>
      <c r="M26" s="32">
        <f>SUM(M27:M28)</f>
        <v>0</v>
      </c>
      <c r="N26" s="32"/>
      <c r="O26" s="32">
        <f>SUM(O27:O28)</f>
        <v>0</v>
      </c>
      <c r="P26" s="32">
        <f>SUM(P27:P28)</f>
        <v>0</v>
      </c>
      <c r="Q26" s="32">
        <f>SUM(Q27:Q28)</f>
        <v>0</v>
      </c>
      <c r="R26" s="71"/>
      <c r="S26" s="72"/>
      <c r="T26" s="73"/>
      <c r="U26" s="25">
        <v>1</v>
      </c>
    </row>
    <row r="27" spans="1:21" x14ac:dyDescent="0.2">
      <c r="A27" s="15"/>
      <c r="B27" s="16"/>
      <c r="C27" s="16"/>
      <c r="D27" s="16"/>
      <c r="E27" s="41" t="s">
        <v>206</v>
      </c>
      <c r="F27" s="42" t="s">
        <v>240</v>
      </c>
      <c r="G27" s="1"/>
      <c r="H27" s="1"/>
      <c r="I27" s="1"/>
      <c r="J27" s="6"/>
      <c r="K27" s="6"/>
      <c r="L27" s="6"/>
      <c r="M27" s="6"/>
      <c r="N27" s="6"/>
      <c r="O27" s="6"/>
      <c r="P27" s="6"/>
      <c r="Q27" s="1">
        <f>+P27+O27-M27</f>
        <v>0</v>
      </c>
      <c r="R27" s="1"/>
      <c r="S27" s="3"/>
      <c r="T27" s="4"/>
      <c r="U27" s="11">
        <v>1</v>
      </c>
    </row>
    <row r="28" spans="1:21" x14ac:dyDescent="0.2">
      <c r="A28" s="39"/>
      <c r="B28" s="40"/>
      <c r="C28" s="40"/>
      <c r="D28" s="40"/>
      <c r="E28" s="11"/>
      <c r="F28" s="11"/>
      <c r="G28" s="1"/>
      <c r="H28" s="1"/>
      <c r="I28" s="1">
        <v>0</v>
      </c>
      <c r="J28" s="1"/>
      <c r="K28" s="1"/>
      <c r="L28" s="1"/>
      <c r="M28" s="1"/>
      <c r="N28" s="1"/>
      <c r="O28" s="1"/>
      <c r="P28" s="1"/>
      <c r="Q28" s="1">
        <f>+O28+P28-M28</f>
        <v>0</v>
      </c>
      <c r="R28" s="1"/>
      <c r="S28" s="3"/>
      <c r="T28" s="4"/>
      <c r="U28" s="11">
        <v>1</v>
      </c>
    </row>
    <row r="29" spans="1:21" x14ac:dyDescent="0.2">
      <c r="A29" s="47"/>
      <c r="B29" s="14"/>
      <c r="C29" s="14"/>
      <c r="D29" s="14"/>
      <c r="E29" s="48"/>
      <c r="F29" s="49"/>
      <c r="G29" s="2"/>
      <c r="H29" s="2"/>
      <c r="I29" s="2"/>
      <c r="J29" s="2"/>
      <c r="K29" s="2"/>
      <c r="L29" s="2"/>
      <c r="M29" s="2"/>
      <c r="N29" s="2"/>
      <c r="O29" s="2"/>
      <c r="P29" s="2"/>
      <c r="Q29" s="2"/>
      <c r="R29" s="2"/>
      <c r="S29" s="2"/>
      <c r="T29" s="5"/>
      <c r="U29" s="11">
        <v>1</v>
      </c>
    </row>
    <row r="30" spans="1:21" s="25" customFormat="1" x14ac:dyDescent="0.2">
      <c r="A30" s="28">
        <v>1</v>
      </c>
      <c r="B30" s="29">
        <v>0</v>
      </c>
      <c r="C30" s="29">
        <v>1</v>
      </c>
      <c r="D30" s="29">
        <v>5</v>
      </c>
      <c r="E30" s="30"/>
      <c r="F30" s="31" t="s">
        <v>241</v>
      </c>
      <c r="G30" s="71"/>
      <c r="H30" s="71"/>
      <c r="I30" s="71"/>
      <c r="J30" s="32"/>
      <c r="K30" s="32"/>
      <c r="L30" s="32"/>
      <c r="M30" s="32">
        <f>SUM(M31:M40)</f>
        <v>0</v>
      </c>
      <c r="N30" s="32"/>
      <c r="O30" s="32">
        <f>SUM(O31:O40)</f>
        <v>0</v>
      </c>
      <c r="P30" s="32">
        <f>SUM(P31:P40)</f>
        <v>0</v>
      </c>
      <c r="Q30" s="32">
        <f>SUM(Q31:Q40)</f>
        <v>0</v>
      </c>
      <c r="R30" s="71"/>
      <c r="S30" s="72"/>
      <c r="T30" s="73"/>
      <c r="U30" s="25">
        <v>1</v>
      </c>
    </row>
    <row r="31" spans="1:21" x14ac:dyDescent="0.2">
      <c r="A31" s="39"/>
      <c r="B31" s="40"/>
      <c r="C31" s="40"/>
      <c r="D31" s="40"/>
      <c r="E31" s="41" t="s">
        <v>208</v>
      </c>
      <c r="F31" s="42" t="s">
        <v>242</v>
      </c>
      <c r="G31" s="1"/>
      <c r="H31" s="1"/>
      <c r="I31" s="1"/>
      <c r="J31" s="1"/>
      <c r="K31" s="1"/>
      <c r="L31" s="1"/>
      <c r="M31" s="1"/>
      <c r="N31" s="1"/>
      <c r="O31" s="1"/>
      <c r="P31" s="1"/>
      <c r="Q31" s="1">
        <f t="shared" ref="Q31:Q40" si="0">+P31+O31-M31</f>
        <v>0</v>
      </c>
      <c r="R31" s="1"/>
      <c r="S31" s="3"/>
      <c r="T31" s="4"/>
      <c r="U31" s="11">
        <v>1</v>
      </c>
    </row>
    <row r="32" spans="1:21" x14ac:dyDescent="0.2">
      <c r="A32" s="39"/>
      <c r="B32" s="40"/>
      <c r="C32" s="40"/>
      <c r="D32" s="40"/>
      <c r="E32" s="41" t="s">
        <v>243</v>
      </c>
      <c r="F32" s="42" t="s">
        <v>244</v>
      </c>
      <c r="G32" s="1"/>
      <c r="H32" s="1"/>
      <c r="I32" s="1"/>
      <c r="J32" s="1"/>
      <c r="K32" s="1"/>
      <c r="L32" s="1"/>
      <c r="M32" s="1"/>
      <c r="N32" s="1"/>
      <c r="O32" s="1"/>
      <c r="P32" s="1"/>
      <c r="Q32" s="1">
        <f t="shared" si="0"/>
        <v>0</v>
      </c>
      <c r="R32" s="1"/>
      <c r="S32" s="3"/>
      <c r="T32" s="4"/>
      <c r="U32" s="11">
        <v>1</v>
      </c>
    </row>
    <row r="33" spans="1:21" x14ac:dyDescent="0.2">
      <c r="A33" s="39"/>
      <c r="B33" s="40"/>
      <c r="C33" s="40"/>
      <c r="D33" s="40"/>
      <c r="E33" s="41" t="s">
        <v>245</v>
      </c>
      <c r="F33" s="42" t="s">
        <v>246</v>
      </c>
      <c r="G33" s="1"/>
      <c r="H33" s="1"/>
      <c r="I33" s="1"/>
      <c r="J33" s="1"/>
      <c r="K33" s="1"/>
      <c r="L33" s="1"/>
      <c r="M33" s="1"/>
      <c r="N33" s="1"/>
      <c r="O33" s="1"/>
      <c r="P33" s="1"/>
      <c r="Q33" s="1">
        <f t="shared" si="0"/>
        <v>0</v>
      </c>
      <c r="R33" s="1"/>
      <c r="S33" s="3"/>
      <c r="T33" s="4"/>
      <c r="U33" s="11">
        <v>1</v>
      </c>
    </row>
    <row r="34" spans="1:21" x14ac:dyDescent="0.2">
      <c r="A34" s="39"/>
      <c r="B34" s="40"/>
      <c r="C34" s="40"/>
      <c r="D34" s="40"/>
      <c r="E34" s="41" t="s">
        <v>247</v>
      </c>
      <c r="F34" s="42" t="s">
        <v>248</v>
      </c>
      <c r="G34" s="1"/>
      <c r="H34" s="1"/>
      <c r="I34" s="1"/>
      <c r="J34" s="1"/>
      <c r="K34" s="1"/>
      <c r="L34" s="1"/>
      <c r="M34" s="1"/>
      <c r="N34" s="1"/>
      <c r="O34" s="1"/>
      <c r="P34" s="1"/>
      <c r="Q34" s="1">
        <f t="shared" si="0"/>
        <v>0</v>
      </c>
      <c r="R34" s="1"/>
      <c r="S34" s="3"/>
      <c r="T34" s="4"/>
      <c r="U34" s="11">
        <v>1</v>
      </c>
    </row>
    <row r="35" spans="1:21" x14ac:dyDescent="0.2">
      <c r="A35" s="39"/>
      <c r="B35" s="40"/>
      <c r="C35" s="40"/>
      <c r="D35" s="40"/>
      <c r="E35" s="41" t="s">
        <v>249</v>
      </c>
      <c r="F35" s="42" t="s">
        <v>250</v>
      </c>
      <c r="G35" s="1"/>
      <c r="H35" s="1"/>
      <c r="I35" s="1"/>
      <c r="J35" s="1"/>
      <c r="K35" s="1"/>
      <c r="L35" s="1"/>
      <c r="M35" s="1"/>
      <c r="N35" s="1"/>
      <c r="O35" s="1"/>
      <c r="P35" s="1"/>
      <c r="Q35" s="1">
        <f t="shared" si="0"/>
        <v>0</v>
      </c>
      <c r="R35" s="1"/>
      <c r="S35" s="3"/>
      <c r="T35" s="4"/>
      <c r="U35" s="11">
        <v>1</v>
      </c>
    </row>
    <row r="36" spans="1:21" x14ac:dyDescent="0.2">
      <c r="A36" s="39"/>
      <c r="B36" s="40"/>
      <c r="C36" s="40"/>
      <c r="D36" s="40"/>
      <c r="E36" s="41" t="s">
        <v>251</v>
      </c>
      <c r="F36" s="42" t="s">
        <v>252</v>
      </c>
      <c r="G36" s="1"/>
      <c r="H36" s="1"/>
      <c r="I36" s="1"/>
      <c r="J36" s="1"/>
      <c r="K36" s="1"/>
      <c r="L36" s="1"/>
      <c r="M36" s="1"/>
      <c r="N36" s="1"/>
      <c r="O36" s="1"/>
      <c r="P36" s="1"/>
      <c r="Q36" s="1">
        <f t="shared" si="0"/>
        <v>0</v>
      </c>
      <c r="R36" s="1"/>
      <c r="S36" s="3"/>
      <c r="T36" s="4"/>
      <c r="U36" s="11">
        <v>1</v>
      </c>
    </row>
    <row r="37" spans="1:21" x14ac:dyDescent="0.2">
      <c r="A37" s="39"/>
      <c r="B37" s="40"/>
      <c r="C37" s="40"/>
      <c r="D37" s="40"/>
      <c r="E37" s="41" t="s">
        <v>253</v>
      </c>
      <c r="F37" s="42" t="s">
        <v>254</v>
      </c>
      <c r="G37" s="1"/>
      <c r="H37" s="1"/>
      <c r="I37" s="1"/>
      <c r="J37" s="1"/>
      <c r="K37" s="1"/>
      <c r="L37" s="1"/>
      <c r="M37" s="1"/>
      <c r="N37" s="1"/>
      <c r="O37" s="1"/>
      <c r="P37" s="1"/>
      <c r="Q37" s="1">
        <f t="shared" si="0"/>
        <v>0</v>
      </c>
      <c r="R37" s="1"/>
      <c r="S37" s="3"/>
      <c r="T37" s="4"/>
      <c r="U37" s="11">
        <v>1</v>
      </c>
    </row>
    <row r="38" spans="1:21" x14ac:dyDescent="0.2">
      <c r="A38" s="39"/>
      <c r="B38" s="40"/>
      <c r="C38" s="40"/>
      <c r="D38" s="40"/>
      <c r="E38" s="41" t="s">
        <v>255</v>
      </c>
      <c r="F38" s="42" t="s">
        <v>256</v>
      </c>
      <c r="G38" s="1"/>
      <c r="H38" s="1"/>
      <c r="I38" s="1"/>
      <c r="J38" s="1"/>
      <c r="K38" s="1"/>
      <c r="L38" s="1"/>
      <c r="M38" s="1"/>
      <c r="N38" s="1"/>
      <c r="O38" s="1"/>
      <c r="P38" s="1"/>
      <c r="Q38" s="1">
        <f t="shared" si="0"/>
        <v>0</v>
      </c>
      <c r="R38" s="1"/>
      <c r="S38" s="3"/>
      <c r="T38" s="4"/>
      <c r="U38" s="11">
        <v>1</v>
      </c>
    </row>
    <row r="39" spans="1:21" x14ac:dyDescent="0.2">
      <c r="A39" s="39"/>
      <c r="B39" s="40"/>
      <c r="C39" s="40"/>
      <c r="D39" s="40"/>
      <c r="E39" s="41" t="s">
        <v>257</v>
      </c>
      <c r="F39" s="42" t="s">
        <v>258</v>
      </c>
      <c r="G39" s="1"/>
      <c r="H39" s="1"/>
      <c r="I39" s="1"/>
      <c r="J39" s="1"/>
      <c r="K39" s="1"/>
      <c r="L39" s="1"/>
      <c r="M39" s="1"/>
      <c r="N39" s="1"/>
      <c r="O39" s="1"/>
      <c r="P39" s="1"/>
      <c r="Q39" s="1">
        <f t="shared" si="0"/>
        <v>0</v>
      </c>
      <c r="R39" s="1"/>
      <c r="S39" s="3"/>
      <c r="T39" s="4"/>
      <c r="U39" s="11">
        <v>1</v>
      </c>
    </row>
    <row r="40" spans="1:21" x14ac:dyDescent="0.2">
      <c r="A40" s="39"/>
      <c r="B40" s="40"/>
      <c r="C40" s="40"/>
      <c r="D40" s="40"/>
      <c r="E40" s="11"/>
      <c r="F40" s="11"/>
      <c r="G40" s="1"/>
      <c r="H40" s="1"/>
      <c r="I40" s="1"/>
      <c r="J40" s="1"/>
      <c r="K40" s="1"/>
      <c r="L40" s="1"/>
      <c r="M40" s="1"/>
      <c r="N40" s="1"/>
      <c r="O40" s="1"/>
      <c r="P40" s="1"/>
      <c r="Q40" s="1">
        <f t="shared" si="0"/>
        <v>0</v>
      </c>
      <c r="R40" s="1"/>
      <c r="S40" s="3"/>
      <c r="T40" s="4"/>
      <c r="U40" s="11">
        <v>1</v>
      </c>
    </row>
    <row r="41" spans="1:21" x14ac:dyDescent="0.2">
      <c r="A41" s="43"/>
      <c r="B41" s="44"/>
      <c r="C41" s="44"/>
      <c r="D41" s="44"/>
      <c r="E41" s="45"/>
      <c r="F41" s="46"/>
      <c r="G41" s="2"/>
      <c r="H41" s="2"/>
      <c r="I41" s="2"/>
      <c r="J41" s="2"/>
      <c r="K41" s="2"/>
      <c r="L41" s="2"/>
      <c r="M41" s="2"/>
      <c r="N41" s="2"/>
      <c r="O41" s="2"/>
      <c r="P41" s="2"/>
      <c r="Q41" s="2"/>
      <c r="R41" s="2"/>
      <c r="S41" s="2"/>
      <c r="T41" s="5"/>
      <c r="U41" s="11">
        <v>1</v>
      </c>
    </row>
    <row r="42" spans="1:21" x14ac:dyDescent="0.2">
      <c r="A42" s="43"/>
      <c r="B42" s="44"/>
      <c r="C42" s="44"/>
      <c r="D42" s="44"/>
      <c r="E42" s="45"/>
      <c r="F42" s="46"/>
      <c r="G42" s="2"/>
      <c r="H42" s="2"/>
      <c r="I42" s="2"/>
      <c r="J42" s="2"/>
      <c r="K42" s="2"/>
      <c r="L42" s="2"/>
      <c r="M42" s="2"/>
      <c r="N42" s="2"/>
      <c r="O42" s="2"/>
      <c r="P42" s="2"/>
      <c r="Q42" s="2"/>
      <c r="R42" s="2"/>
      <c r="S42" s="2"/>
      <c r="T42" s="5"/>
      <c r="U42" s="11">
        <v>1</v>
      </c>
    </row>
    <row r="43" spans="1:21" s="25" customFormat="1" ht="25.5" x14ac:dyDescent="0.2">
      <c r="A43" s="28">
        <v>1</v>
      </c>
      <c r="B43" s="29">
        <v>0</v>
      </c>
      <c r="C43" s="29">
        <v>1</v>
      </c>
      <c r="D43" s="29">
        <v>8</v>
      </c>
      <c r="E43" s="30"/>
      <c r="F43" s="31" t="s">
        <v>209</v>
      </c>
      <c r="G43" s="71"/>
      <c r="H43" s="71"/>
      <c r="I43" s="71"/>
      <c r="J43" s="32"/>
      <c r="K43" s="32"/>
      <c r="L43" s="32"/>
      <c r="M43" s="32">
        <f>SUM(M44:M45)</f>
        <v>0</v>
      </c>
      <c r="N43" s="32"/>
      <c r="O43" s="32">
        <f>SUM(O44:O45)</f>
        <v>0</v>
      </c>
      <c r="P43" s="32">
        <f>SUM(P44:P45)</f>
        <v>0</v>
      </c>
      <c r="Q43" s="32">
        <f>SUM(Q44:Q45)</f>
        <v>0</v>
      </c>
      <c r="R43" s="71"/>
      <c r="S43" s="72"/>
      <c r="T43" s="73"/>
      <c r="U43" s="25">
        <v>1</v>
      </c>
    </row>
    <row r="44" spans="1:21" x14ac:dyDescent="0.2">
      <c r="A44" s="15"/>
      <c r="B44" s="16"/>
      <c r="C44" s="16"/>
      <c r="D44" s="16"/>
      <c r="E44" s="41" t="s">
        <v>206</v>
      </c>
      <c r="F44" s="42" t="s">
        <v>210</v>
      </c>
      <c r="G44" s="1"/>
      <c r="H44" s="1"/>
      <c r="I44" s="1"/>
      <c r="J44" s="6"/>
      <c r="K44" s="6"/>
      <c r="L44" s="6"/>
      <c r="M44" s="6"/>
      <c r="N44" s="6"/>
      <c r="O44" s="6"/>
      <c r="P44" s="6"/>
      <c r="Q44" s="1">
        <f>+P44+O44-M44</f>
        <v>0</v>
      </c>
      <c r="R44" s="1"/>
      <c r="S44" s="3"/>
      <c r="T44" s="4"/>
      <c r="U44" s="11">
        <v>1</v>
      </c>
    </row>
    <row r="45" spans="1:21" x14ac:dyDescent="0.2">
      <c r="A45" s="15"/>
      <c r="B45" s="16"/>
      <c r="C45" s="16"/>
      <c r="D45" s="16"/>
      <c r="E45" s="41"/>
      <c r="F45" s="42"/>
      <c r="G45" s="1"/>
      <c r="H45" s="1"/>
      <c r="I45" s="1"/>
      <c r="J45" s="1"/>
      <c r="K45" s="1"/>
      <c r="L45" s="1"/>
      <c r="M45" s="1"/>
      <c r="N45" s="1"/>
      <c r="O45" s="1"/>
      <c r="P45" s="1"/>
      <c r="Q45" s="1">
        <f>+O45+P45-M45</f>
        <v>0</v>
      </c>
      <c r="R45" s="1"/>
      <c r="S45" s="3"/>
      <c r="T45" s="4"/>
      <c r="U45" s="11">
        <v>1</v>
      </c>
    </row>
    <row r="46" spans="1:21" x14ac:dyDescent="0.2">
      <c r="A46" s="47"/>
      <c r="B46" s="14"/>
      <c r="C46" s="14"/>
      <c r="D46" s="14"/>
      <c r="E46" s="45"/>
      <c r="F46" s="46"/>
      <c r="G46" s="2"/>
      <c r="H46" s="2"/>
      <c r="I46" s="2"/>
      <c r="J46" s="2"/>
      <c r="K46" s="2"/>
      <c r="L46" s="2"/>
      <c r="M46" s="2"/>
      <c r="N46" s="2"/>
      <c r="O46" s="2"/>
      <c r="P46" s="2"/>
      <c r="Q46" s="2"/>
      <c r="R46" s="2"/>
      <c r="S46" s="2"/>
      <c r="T46" s="5"/>
      <c r="U46" s="11">
        <v>1</v>
      </c>
    </row>
    <row r="47" spans="1:21" s="25" customFormat="1" ht="25.5" x14ac:dyDescent="0.2">
      <c r="A47" s="28">
        <v>1</v>
      </c>
      <c r="B47" s="29">
        <v>0</v>
      </c>
      <c r="C47" s="29">
        <v>1</v>
      </c>
      <c r="D47" s="29">
        <v>9</v>
      </c>
      <c r="E47" s="30"/>
      <c r="F47" s="31" t="s">
        <v>211</v>
      </c>
      <c r="G47" s="71"/>
      <c r="H47" s="71"/>
      <c r="I47" s="71"/>
      <c r="J47" s="32"/>
      <c r="K47" s="32"/>
      <c r="L47" s="32"/>
      <c r="M47" s="32">
        <f>SUM(M48:M50)</f>
        <v>0</v>
      </c>
      <c r="N47" s="32"/>
      <c r="O47" s="32">
        <f>SUM(O48:O50)</f>
        <v>0</v>
      </c>
      <c r="P47" s="32">
        <f>SUM(P48:P50)</f>
        <v>0</v>
      </c>
      <c r="Q47" s="32">
        <f>SUM(Q48:Q50)</f>
        <v>0</v>
      </c>
      <c r="R47" s="71"/>
      <c r="S47" s="72"/>
      <c r="T47" s="73"/>
      <c r="U47" s="25">
        <v>1</v>
      </c>
    </row>
    <row r="48" spans="1:21" x14ac:dyDescent="0.2">
      <c r="A48" s="15"/>
      <c r="B48" s="16"/>
      <c r="C48" s="16"/>
      <c r="D48" s="16"/>
      <c r="E48" s="41" t="s">
        <v>206</v>
      </c>
      <c r="F48" s="42" t="s">
        <v>212</v>
      </c>
      <c r="G48" s="1"/>
      <c r="H48" s="1"/>
      <c r="I48" s="1"/>
      <c r="J48" s="1"/>
      <c r="K48" s="1"/>
      <c r="L48" s="1"/>
      <c r="M48" s="1"/>
      <c r="N48" s="1"/>
      <c r="O48" s="1"/>
      <c r="P48" s="1"/>
      <c r="Q48" s="1">
        <f>+P48+O48-M48</f>
        <v>0</v>
      </c>
      <c r="R48" s="1"/>
      <c r="S48" s="3"/>
      <c r="T48" s="4"/>
      <c r="U48" s="11">
        <v>1</v>
      </c>
    </row>
    <row r="49" spans="1:21" x14ac:dyDescent="0.2">
      <c r="A49" s="15"/>
      <c r="B49" s="16"/>
      <c r="C49" s="16"/>
      <c r="D49" s="16"/>
      <c r="E49" s="41" t="s">
        <v>208</v>
      </c>
      <c r="F49" s="42" t="s">
        <v>213</v>
      </c>
      <c r="G49" s="1"/>
      <c r="H49" s="1"/>
      <c r="I49" s="1"/>
      <c r="J49" s="1"/>
      <c r="K49" s="1"/>
      <c r="L49" s="1"/>
      <c r="M49" s="1"/>
      <c r="N49" s="1"/>
      <c r="O49" s="1"/>
      <c r="P49" s="1"/>
      <c r="Q49" s="1">
        <f>+P49+O49-M49</f>
        <v>0</v>
      </c>
      <c r="R49" s="1"/>
      <c r="S49" s="3"/>
      <c r="T49" s="4"/>
      <c r="U49" s="11">
        <v>1</v>
      </c>
    </row>
    <row r="50" spans="1:21" x14ac:dyDescent="0.2">
      <c r="A50" s="15"/>
      <c r="B50" s="16"/>
      <c r="C50" s="16"/>
      <c r="D50" s="16"/>
      <c r="E50" s="41" t="s">
        <v>214</v>
      </c>
      <c r="F50" s="42" t="s">
        <v>215</v>
      </c>
      <c r="G50" s="1"/>
      <c r="H50" s="1"/>
      <c r="I50" s="1"/>
      <c r="J50" s="1"/>
      <c r="K50" s="1"/>
      <c r="L50" s="1"/>
      <c r="M50" s="1"/>
      <c r="N50" s="1"/>
      <c r="O50" s="1"/>
      <c r="P50" s="1"/>
      <c r="Q50" s="1">
        <f>+P50+O50-M50</f>
        <v>0</v>
      </c>
      <c r="R50" s="1"/>
      <c r="S50" s="3"/>
      <c r="T50" s="4"/>
      <c r="U50" s="11">
        <v>1</v>
      </c>
    </row>
    <row r="51" spans="1:21" x14ac:dyDescent="0.2">
      <c r="A51" s="47"/>
      <c r="B51" s="14"/>
      <c r="C51" s="14"/>
      <c r="D51" s="14"/>
      <c r="E51" s="45"/>
      <c r="F51" s="46"/>
      <c r="G51" s="2"/>
      <c r="H51" s="2"/>
      <c r="I51" s="2"/>
      <c r="J51" s="2"/>
      <c r="K51" s="2"/>
      <c r="L51" s="2"/>
      <c r="M51" s="2"/>
      <c r="N51" s="2"/>
      <c r="O51" s="2"/>
      <c r="P51" s="2"/>
      <c r="Q51" s="2"/>
      <c r="R51" s="2"/>
      <c r="S51" s="2"/>
      <c r="T51" s="5"/>
      <c r="U51" s="11">
        <v>1</v>
      </c>
    </row>
    <row r="52" spans="1:21" x14ac:dyDescent="0.2">
      <c r="A52" s="15">
        <v>1</v>
      </c>
      <c r="B52" s="16">
        <v>0</v>
      </c>
      <c r="C52" s="16">
        <v>1</v>
      </c>
      <c r="D52" s="16">
        <v>999</v>
      </c>
      <c r="E52" s="17"/>
      <c r="F52" s="38" t="s">
        <v>216</v>
      </c>
      <c r="G52" s="1"/>
      <c r="H52" s="1"/>
      <c r="I52" s="1"/>
      <c r="J52" s="1"/>
      <c r="K52" s="1"/>
      <c r="L52" s="1"/>
      <c r="M52" s="1"/>
      <c r="N52" s="1"/>
      <c r="O52" s="1"/>
      <c r="P52" s="1"/>
      <c r="Q52" s="1">
        <f>+P52+O52-M52</f>
        <v>0</v>
      </c>
      <c r="R52" s="1"/>
      <c r="S52" s="3"/>
      <c r="T52" s="4"/>
      <c r="U52" s="11">
        <v>1</v>
      </c>
    </row>
    <row r="53" spans="1:21" x14ac:dyDescent="0.2">
      <c r="A53" s="47"/>
      <c r="B53" s="14"/>
      <c r="C53" s="14"/>
      <c r="D53" s="14"/>
      <c r="E53" s="48"/>
      <c r="F53" s="49"/>
      <c r="G53" s="2"/>
      <c r="H53" s="2"/>
      <c r="I53" s="2"/>
      <c r="J53" s="2"/>
      <c r="K53" s="2"/>
      <c r="L53" s="2"/>
      <c r="M53" s="2"/>
      <c r="N53" s="2"/>
      <c r="O53" s="2"/>
      <c r="P53" s="2"/>
      <c r="Q53" s="2"/>
      <c r="R53" s="2"/>
      <c r="S53" s="2"/>
      <c r="T53" s="5"/>
      <c r="U53" s="11">
        <v>1</v>
      </c>
    </row>
    <row r="54" spans="1:21" s="25" customFormat="1" x14ac:dyDescent="0.2">
      <c r="A54" s="28">
        <v>1</v>
      </c>
      <c r="B54" s="29">
        <v>0</v>
      </c>
      <c r="C54" s="29">
        <v>2</v>
      </c>
      <c r="D54" s="29"/>
      <c r="E54" s="30"/>
      <c r="F54" s="31" t="s">
        <v>217</v>
      </c>
      <c r="G54" s="71"/>
      <c r="H54" s="71"/>
      <c r="I54" s="71"/>
      <c r="J54" s="32"/>
      <c r="K54" s="32"/>
      <c r="L54" s="32"/>
      <c r="M54" s="32">
        <f>+M55+M59+M62</f>
        <v>0</v>
      </c>
      <c r="N54" s="32"/>
      <c r="O54" s="32">
        <f>+O55+O59+O62</f>
        <v>0</v>
      </c>
      <c r="P54" s="32">
        <f>+P55+P59+P62</f>
        <v>0</v>
      </c>
      <c r="Q54" s="32">
        <f>+Q55+Q59+Q62</f>
        <v>0</v>
      </c>
      <c r="R54" s="71"/>
      <c r="S54" s="72"/>
      <c r="T54" s="73"/>
      <c r="U54" s="25">
        <v>1</v>
      </c>
    </row>
    <row r="55" spans="1:21" s="25" customFormat="1" x14ac:dyDescent="0.2">
      <c r="A55" s="28">
        <v>1</v>
      </c>
      <c r="B55" s="29">
        <v>0</v>
      </c>
      <c r="C55" s="29">
        <v>2</v>
      </c>
      <c r="D55" s="29">
        <v>11</v>
      </c>
      <c r="E55" s="30"/>
      <c r="F55" s="31" t="s">
        <v>218</v>
      </c>
      <c r="G55" s="71"/>
      <c r="H55" s="71"/>
      <c r="I55" s="71"/>
      <c r="J55" s="32"/>
      <c r="K55" s="32"/>
      <c r="L55" s="32"/>
      <c r="M55" s="32">
        <f>SUM(F56:F57)</f>
        <v>0</v>
      </c>
      <c r="N55" s="32"/>
      <c r="O55" s="32">
        <f>SUM(G56:G57)</f>
        <v>0</v>
      </c>
      <c r="P55" s="32">
        <f>SUM(H56:H57)</f>
        <v>0</v>
      </c>
      <c r="Q55" s="32">
        <f>SUM(I56:I57)</f>
        <v>0</v>
      </c>
      <c r="R55" s="71"/>
      <c r="S55" s="72"/>
      <c r="T55" s="73"/>
      <c r="U55" s="25">
        <v>1</v>
      </c>
    </row>
    <row r="56" spans="1:21" x14ac:dyDescent="0.2">
      <c r="A56" s="15"/>
      <c r="B56" s="16"/>
      <c r="C56" s="16"/>
      <c r="D56" s="16"/>
      <c r="E56" s="41" t="s">
        <v>206</v>
      </c>
      <c r="F56" s="42" t="s">
        <v>207</v>
      </c>
      <c r="G56" s="1"/>
      <c r="H56" s="1"/>
      <c r="I56" s="1"/>
      <c r="J56" s="6"/>
      <c r="K56" s="6"/>
      <c r="L56" s="6"/>
      <c r="M56" s="6"/>
      <c r="N56" s="6"/>
      <c r="O56" s="6"/>
      <c r="P56" s="6"/>
      <c r="Q56" s="1">
        <f>+P56+O56-M56</f>
        <v>0</v>
      </c>
      <c r="R56" s="1"/>
      <c r="S56" s="3"/>
      <c r="T56" s="4"/>
      <c r="U56" s="11">
        <v>1</v>
      </c>
    </row>
    <row r="57" spans="1:21" x14ac:dyDescent="0.2">
      <c r="A57" s="15"/>
      <c r="B57" s="16"/>
      <c r="C57" s="16"/>
      <c r="D57" s="16"/>
      <c r="E57" s="11"/>
      <c r="F57" s="11"/>
      <c r="G57" s="1"/>
      <c r="H57" s="1"/>
      <c r="I57" s="1"/>
      <c r="J57" s="1"/>
      <c r="K57" s="1"/>
      <c r="L57" s="1"/>
      <c r="M57" s="1"/>
      <c r="N57" s="1"/>
      <c r="O57" s="1"/>
      <c r="P57" s="1"/>
      <c r="Q57" s="1">
        <f>+O57+P57-M57</f>
        <v>0</v>
      </c>
      <c r="R57" s="1"/>
      <c r="S57" s="3"/>
      <c r="T57" s="4"/>
      <c r="U57" s="11">
        <v>1</v>
      </c>
    </row>
    <row r="58" spans="1:21" x14ac:dyDescent="0.2">
      <c r="A58" s="47"/>
      <c r="B58" s="14"/>
      <c r="C58" s="14"/>
      <c r="D58" s="14"/>
      <c r="E58" s="45"/>
      <c r="F58" s="46"/>
      <c r="G58" s="2"/>
      <c r="H58" s="2"/>
      <c r="I58" s="2"/>
      <c r="J58" s="2"/>
      <c r="K58" s="2"/>
      <c r="L58" s="2"/>
      <c r="M58" s="2"/>
      <c r="N58" s="2"/>
      <c r="O58" s="2"/>
      <c r="P58" s="2"/>
      <c r="Q58" s="2"/>
      <c r="R58" s="2"/>
      <c r="S58" s="2"/>
      <c r="T58" s="5"/>
      <c r="U58" s="11">
        <v>1</v>
      </c>
    </row>
    <row r="59" spans="1:21" x14ac:dyDescent="0.2">
      <c r="A59" s="15">
        <v>1</v>
      </c>
      <c r="B59" s="16">
        <v>0</v>
      </c>
      <c r="C59" s="16">
        <v>2</v>
      </c>
      <c r="D59" s="16">
        <v>12</v>
      </c>
      <c r="E59" s="17"/>
      <c r="F59" s="38" t="s">
        <v>219</v>
      </c>
      <c r="G59" s="1"/>
      <c r="H59" s="1"/>
      <c r="I59" s="1"/>
      <c r="J59" s="1"/>
      <c r="K59" s="1"/>
      <c r="L59" s="1"/>
      <c r="M59" s="1">
        <f>SUM(M61)</f>
        <v>0</v>
      </c>
      <c r="N59" s="1"/>
      <c r="O59" s="1">
        <f>SUM(O61)</f>
        <v>0</v>
      </c>
      <c r="P59" s="1">
        <f>SUM(P61)</f>
        <v>0</v>
      </c>
      <c r="Q59" s="1">
        <f>SUM(Q61)</f>
        <v>0</v>
      </c>
      <c r="R59" s="1"/>
      <c r="S59" s="3"/>
      <c r="T59" s="4"/>
      <c r="U59" s="11">
        <v>1</v>
      </c>
    </row>
    <row r="60" spans="1:21" x14ac:dyDescent="0.2">
      <c r="A60" s="15"/>
      <c r="B60" s="16"/>
      <c r="C60" s="16"/>
      <c r="D60" s="16"/>
      <c r="E60" s="17"/>
      <c r="F60" s="38"/>
      <c r="G60" s="1"/>
      <c r="H60" s="1"/>
      <c r="I60" s="1"/>
      <c r="J60" s="1"/>
      <c r="K60" s="1"/>
      <c r="L60" s="1"/>
      <c r="M60" s="1"/>
      <c r="N60" s="1"/>
      <c r="O60" s="1"/>
      <c r="P60" s="1"/>
      <c r="Q60" s="1">
        <f>+P60+O60-M60</f>
        <v>0</v>
      </c>
      <c r="R60" s="1"/>
      <c r="S60" s="3"/>
      <c r="T60" s="4"/>
      <c r="U60" s="11">
        <v>1</v>
      </c>
    </row>
    <row r="61" spans="1:21" x14ac:dyDescent="0.2">
      <c r="A61" s="15"/>
      <c r="B61" s="16"/>
      <c r="C61" s="16"/>
      <c r="D61" s="16"/>
      <c r="E61" s="17"/>
      <c r="F61" s="38"/>
      <c r="G61" s="1"/>
      <c r="H61" s="1"/>
      <c r="I61" s="1"/>
      <c r="J61" s="1"/>
      <c r="K61" s="1"/>
      <c r="L61" s="1"/>
      <c r="M61" s="1"/>
      <c r="N61" s="1"/>
      <c r="O61" s="1"/>
      <c r="P61" s="1"/>
      <c r="Q61" s="1">
        <f>+P61+O61-M61</f>
        <v>0</v>
      </c>
      <c r="R61" s="1"/>
      <c r="S61" s="3"/>
      <c r="T61" s="4"/>
      <c r="U61" s="11">
        <v>1</v>
      </c>
    </row>
    <row r="62" spans="1:21" x14ac:dyDescent="0.2">
      <c r="A62" s="15">
        <v>1</v>
      </c>
      <c r="B62" s="16">
        <v>0</v>
      </c>
      <c r="C62" s="16">
        <v>2</v>
      </c>
      <c r="D62" s="16">
        <v>14</v>
      </c>
      <c r="E62" s="17"/>
      <c r="F62" s="38" t="s">
        <v>220</v>
      </c>
      <c r="G62" s="8"/>
      <c r="H62" s="1"/>
      <c r="I62" s="1"/>
      <c r="J62" s="1"/>
      <c r="K62" s="1"/>
      <c r="L62" s="1"/>
      <c r="M62" s="1">
        <f>SUM(M64:M66)</f>
        <v>0</v>
      </c>
      <c r="N62" s="1"/>
      <c r="O62" s="1">
        <f>SUM(O64:O66)</f>
        <v>0</v>
      </c>
      <c r="P62" s="1">
        <f>SUM(P64:P66)</f>
        <v>0</v>
      </c>
      <c r="Q62" s="1">
        <f>SUM(Q64:Q66)</f>
        <v>0</v>
      </c>
      <c r="R62" s="1"/>
      <c r="S62" s="3"/>
      <c r="T62" s="4"/>
      <c r="U62" s="11">
        <v>1</v>
      </c>
    </row>
    <row r="63" spans="1:21" x14ac:dyDescent="0.2">
      <c r="A63" s="47"/>
      <c r="B63" s="14"/>
      <c r="C63" s="14"/>
      <c r="D63" s="14"/>
      <c r="E63" s="48"/>
      <c r="F63" s="49"/>
      <c r="G63" s="9"/>
      <c r="H63" s="2"/>
      <c r="I63" s="2"/>
      <c r="J63" s="2"/>
      <c r="K63" s="2"/>
      <c r="L63" s="2"/>
      <c r="M63" s="2"/>
      <c r="N63" s="2"/>
      <c r="O63" s="2"/>
      <c r="P63" s="2"/>
      <c r="Q63" s="1"/>
      <c r="R63" s="2"/>
      <c r="S63" s="2"/>
      <c r="T63" s="5"/>
      <c r="U63" s="11">
        <v>1</v>
      </c>
    </row>
    <row r="64" spans="1:21" x14ac:dyDescent="0.2">
      <c r="A64" s="47"/>
      <c r="B64" s="14"/>
      <c r="C64" s="14"/>
      <c r="D64" s="14"/>
      <c r="E64" s="48"/>
      <c r="F64" s="49"/>
      <c r="G64" s="9" t="s">
        <v>270</v>
      </c>
      <c r="H64" s="2" t="s">
        <v>271</v>
      </c>
      <c r="I64" s="2" t="s">
        <v>270</v>
      </c>
      <c r="J64" s="2">
        <v>0</v>
      </c>
      <c r="K64" s="2">
        <v>0</v>
      </c>
      <c r="L64" s="2">
        <v>0</v>
      </c>
      <c r="M64" s="2">
        <v>0</v>
      </c>
      <c r="N64" s="2"/>
      <c r="O64" s="2">
        <v>0</v>
      </c>
      <c r="P64" s="2">
        <f>+J64*K64*L64</f>
        <v>0</v>
      </c>
      <c r="Q64" s="1">
        <f>+O64+P64-M64</f>
        <v>0</v>
      </c>
      <c r="R64" s="2"/>
      <c r="S64" s="2"/>
      <c r="T64" s="5"/>
      <c r="U64" s="11">
        <v>1</v>
      </c>
    </row>
    <row r="65" spans="1:21" x14ac:dyDescent="0.2">
      <c r="A65" s="47"/>
      <c r="B65" s="14"/>
      <c r="C65" s="14"/>
      <c r="D65" s="14"/>
      <c r="E65" s="48"/>
      <c r="F65" s="49"/>
      <c r="G65" s="9" t="s">
        <v>270</v>
      </c>
      <c r="H65" s="2" t="s">
        <v>271</v>
      </c>
      <c r="I65" s="2" t="s">
        <v>270</v>
      </c>
      <c r="J65" s="2">
        <v>0</v>
      </c>
      <c r="K65" s="2">
        <v>0</v>
      </c>
      <c r="L65" s="2">
        <v>0</v>
      </c>
      <c r="M65" s="2">
        <v>0</v>
      </c>
      <c r="N65" s="2"/>
      <c r="O65" s="2">
        <v>0</v>
      </c>
      <c r="P65" s="2">
        <f>+J65*K65*L65</f>
        <v>0</v>
      </c>
      <c r="Q65" s="1">
        <f>+O65+P65-M65</f>
        <v>0</v>
      </c>
      <c r="R65" s="2"/>
      <c r="S65" s="2"/>
      <c r="T65" s="5"/>
      <c r="U65" s="11">
        <v>1</v>
      </c>
    </row>
    <row r="66" spans="1:21" x14ac:dyDescent="0.2">
      <c r="A66" s="47"/>
      <c r="B66" s="14"/>
      <c r="C66" s="14"/>
      <c r="D66" s="14"/>
      <c r="E66" s="48"/>
      <c r="F66" s="49"/>
      <c r="G66" s="2"/>
      <c r="H66" s="2"/>
      <c r="I66" s="2"/>
      <c r="J66" s="2">
        <v>0</v>
      </c>
      <c r="K66" s="2">
        <v>0</v>
      </c>
      <c r="L66" s="2">
        <v>0</v>
      </c>
      <c r="M66" s="2"/>
      <c r="N66" s="2"/>
      <c r="O66" s="2"/>
      <c r="P66" s="2">
        <f>+J66*K66*L66</f>
        <v>0</v>
      </c>
      <c r="Q66" s="1">
        <f>+O66+P66-M66</f>
        <v>0</v>
      </c>
      <c r="R66" s="2"/>
      <c r="S66" s="2"/>
      <c r="T66" s="5"/>
      <c r="U66" s="11">
        <v>1</v>
      </c>
    </row>
    <row r="67" spans="1:21" x14ac:dyDescent="0.2">
      <c r="A67" s="15">
        <v>1</v>
      </c>
      <c r="B67" s="16">
        <v>0</v>
      </c>
      <c r="C67" s="16">
        <v>2</v>
      </c>
      <c r="D67" s="16">
        <v>999</v>
      </c>
      <c r="E67" s="17"/>
      <c r="F67" s="38" t="s">
        <v>216</v>
      </c>
      <c r="G67" s="1"/>
      <c r="H67" s="1"/>
      <c r="I67" s="1"/>
      <c r="J67" s="1"/>
      <c r="K67" s="1"/>
      <c r="L67" s="1"/>
      <c r="M67" s="1"/>
      <c r="N67" s="1"/>
      <c r="O67" s="1"/>
      <c r="P67" s="1"/>
      <c r="Q67" s="1">
        <f>+O67+P67-M67</f>
        <v>0</v>
      </c>
      <c r="R67" s="1"/>
      <c r="S67" s="3"/>
      <c r="T67" s="4"/>
      <c r="U67" s="11">
        <v>1</v>
      </c>
    </row>
    <row r="68" spans="1:21" x14ac:dyDescent="0.2">
      <c r="A68" s="47"/>
      <c r="B68" s="14"/>
      <c r="C68" s="14"/>
      <c r="D68" s="14"/>
      <c r="E68" s="48"/>
      <c r="F68" s="49"/>
      <c r="G68" s="2"/>
      <c r="H68" s="2"/>
      <c r="I68" s="2"/>
      <c r="J68" s="2"/>
      <c r="K68" s="2"/>
      <c r="L68" s="2"/>
      <c r="M68" s="2"/>
      <c r="N68" s="2"/>
      <c r="O68" s="2"/>
      <c r="P68" s="2"/>
      <c r="Q68" s="2"/>
      <c r="R68" s="2"/>
      <c r="S68" s="2"/>
      <c r="T68" s="5"/>
      <c r="U68" s="11">
        <v>1</v>
      </c>
    </row>
    <row r="69" spans="1:21" s="25" customFormat="1" ht="25.5" x14ac:dyDescent="0.2">
      <c r="A69" s="28">
        <v>1</v>
      </c>
      <c r="B69" s="29">
        <v>0</v>
      </c>
      <c r="C69" s="29">
        <v>5</v>
      </c>
      <c r="D69" s="29"/>
      <c r="E69" s="30"/>
      <c r="F69" s="31" t="s">
        <v>221</v>
      </c>
      <c r="G69" s="71"/>
      <c r="H69" s="71"/>
      <c r="I69" s="71"/>
      <c r="J69" s="32"/>
      <c r="K69" s="32"/>
      <c r="L69" s="32"/>
      <c r="M69" s="32">
        <f>+M70+M76+M84+M85+M86+M87</f>
        <v>0</v>
      </c>
      <c r="N69" s="32"/>
      <c r="O69" s="32">
        <f>+O70+O76+O84+O85+O86+O87</f>
        <v>0</v>
      </c>
      <c r="P69" s="32">
        <f>+P70+P76+P84+P85+P86+P87</f>
        <v>0</v>
      </c>
      <c r="Q69" s="32">
        <f>+Q70+Q76+Q84+Q85+Q86+Q87</f>
        <v>0</v>
      </c>
      <c r="R69" s="71"/>
      <c r="S69" s="72"/>
      <c r="T69" s="73"/>
      <c r="U69" s="25">
        <v>1</v>
      </c>
    </row>
    <row r="70" spans="1:21" s="25" customFormat="1" x14ac:dyDescent="0.2">
      <c r="A70" s="28">
        <v>1</v>
      </c>
      <c r="B70" s="29">
        <v>0</v>
      </c>
      <c r="C70" s="29">
        <v>5</v>
      </c>
      <c r="D70" s="29">
        <v>1</v>
      </c>
      <c r="E70" s="30"/>
      <c r="F70" s="31" t="s">
        <v>222</v>
      </c>
      <c r="G70" s="71"/>
      <c r="H70" s="71"/>
      <c r="I70" s="71"/>
      <c r="J70" s="32"/>
      <c r="K70" s="32"/>
      <c r="L70" s="32"/>
      <c r="M70" s="32">
        <f>SUM(M71:M75)</f>
        <v>0</v>
      </c>
      <c r="N70" s="32"/>
      <c r="O70" s="32">
        <f>SUM(O71:O75)</f>
        <v>0</v>
      </c>
      <c r="P70" s="32">
        <f>SUM(P71:P75)</f>
        <v>0</v>
      </c>
      <c r="Q70" s="32">
        <f>SUM(Q71:Q75)</f>
        <v>0</v>
      </c>
      <c r="R70" s="71"/>
      <c r="S70" s="72"/>
      <c r="T70" s="73"/>
      <c r="U70" s="25">
        <v>1</v>
      </c>
    </row>
    <row r="71" spans="1:21" x14ac:dyDescent="0.2">
      <c r="A71" s="15"/>
      <c r="B71" s="16"/>
      <c r="C71" s="16"/>
      <c r="D71" s="16"/>
      <c r="E71" s="41" t="s">
        <v>206</v>
      </c>
      <c r="F71" s="42" t="s">
        <v>223</v>
      </c>
      <c r="G71" s="1"/>
      <c r="H71" s="1"/>
      <c r="I71" s="1"/>
      <c r="J71" s="1"/>
      <c r="K71" s="1"/>
      <c r="L71" s="1"/>
      <c r="M71" s="1"/>
      <c r="N71" s="1"/>
      <c r="O71" s="1"/>
      <c r="P71" s="1"/>
      <c r="Q71" s="1">
        <f>+O71+P71-M71</f>
        <v>0</v>
      </c>
      <c r="R71" s="1"/>
      <c r="S71" s="3"/>
      <c r="T71" s="4"/>
      <c r="U71" s="11">
        <v>1</v>
      </c>
    </row>
    <row r="72" spans="1:21" x14ac:dyDescent="0.2">
      <c r="A72" s="15"/>
      <c r="B72" s="16"/>
      <c r="C72" s="16"/>
      <c r="D72" s="16"/>
      <c r="E72" s="41" t="s">
        <v>208</v>
      </c>
      <c r="F72" s="42" t="s">
        <v>224</v>
      </c>
      <c r="G72" s="1"/>
      <c r="H72" s="1"/>
      <c r="I72" s="1"/>
      <c r="J72" s="1"/>
      <c r="K72" s="1"/>
      <c r="L72" s="1"/>
      <c r="M72" s="1"/>
      <c r="N72" s="1"/>
      <c r="O72" s="1"/>
      <c r="P72" s="1"/>
      <c r="Q72" s="1">
        <f>+O72+P72-M72</f>
        <v>0</v>
      </c>
      <c r="R72" s="1"/>
      <c r="S72" s="3"/>
      <c r="T72" s="4"/>
      <c r="U72" s="11">
        <v>1</v>
      </c>
    </row>
    <row r="73" spans="1:21" x14ac:dyDescent="0.2">
      <c r="A73" s="15"/>
      <c r="B73" s="16"/>
      <c r="C73" s="16"/>
      <c r="D73" s="16"/>
      <c r="E73" s="41" t="s">
        <v>214</v>
      </c>
      <c r="F73" s="42" t="s">
        <v>225</v>
      </c>
      <c r="G73" s="1"/>
      <c r="H73" s="1"/>
      <c r="I73" s="1"/>
      <c r="J73" s="1"/>
      <c r="K73" s="1"/>
      <c r="L73" s="1"/>
      <c r="M73" s="1"/>
      <c r="N73" s="1"/>
      <c r="O73" s="1"/>
      <c r="P73" s="1"/>
      <c r="Q73" s="1">
        <f>+O73+P73-M73</f>
        <v>0</v>
      </c>
      <c r="R73" s="1"/>
      <c r="S73" s="3"/>
      <c r="T73" s="4"/>
      <c r="U73" s="11">
        <v>1</v>
      </c>
    </row>
    <row r="74" spans="1:21" x14ac:dyDescent="0.2">
      <c r="A74" s="15"/>
      <c r="B74" s="16"/>
      <c r="C74" s="16"/>
      <c r="D74" s="16"/>
      <c r="E74" s="41" t="s">
        <v>226</v>
      </c>
      <c r="F74" s="42" t="s">
        <v>227</v>
      </c>
      <c r="G74" s="1"/>
      <c r="H74" s="1"/>
      <c r="I74" s="1"/>
      <c r="J74" s="1"/>
      <c r="K74" s="1"/>
      <c r="L74" s="1"/>
      <c r="M74" s="1"/>
      <c r="N74" s="1"/>
      <c r="O74" s="1"/>
      <c r="P74" s="1"/>
      <c r="Q74" s="1">
        <f>+O74+P74-M74</f>
        <v>0</v>
      </c>
      <c r="R74" s="1"/>
      <c r="S74" s="3"/>
      <c r="T74" s="4"/>
      <c r="U74" s="11">
        <v>1</v>
      </c>
    </row>
    <row r="75" spans="1:21" ht="25.5" x14ac:dyDescent="0.2">
      <c r="A75" s="15"/>
      <c r="B75" s="16"/>
      <c r="C75" s="16"/>
      <c r="D75" s="16"/>
      <c r="E75" s="41" t="s">
        <v>243</v>
      </c>
      <c r="F75" s="42" t="s">
        <v>228</v>
      </c>
      <c r="G75" s="1"/>
      <c r="H75" s="1"/>
      <c r="I75" s="1"/>
      <c r="J75" s="1"/>
      <c r="K75" s="1"/>
      <c r="L75" s="1"/>
      <c r="M75" s="1"/>
      <c r="N75" s="1"/>
      <c r="O75" s="1"/>
      <c r="P75" s="1"/>
      <c r="Q75" s="1">
        <f>+O75+P75-M75</f>
        <v>0</v>
      </c>
      <c r="R75" s="1"/>
      <c r="S75" s="3"/>
      <c r="T75" s="4"/>
      <c r="U75" s="11">
        <v>1</v>
      </c>
    </row>
    <row r="76" spans="1:21" s="25" customFormat="1" x14ac:dyDescent="0.2">
      <c r="A76" s="28">
        <v>1</v>
      </c>
      <c r="B76" s="29">
        <v>0</v>
      </c>
      <c r="C76" s="29">
        <v>5</v>
      </c>
      <c r="D76" s="29">
        <v>2</v>
      </c>
      <c r="E76" s="30"/>
      <c r="F76" s="31" t="s">
        <v>229</v>
      </c>
      <c r="G76" s="71"/>
      <c r="H76" s="71"/>
      <c r="I76" s="71"/>
      <c r="J76" s="32"/>
      <c r="K76" s="32"/>
      <c r="L76" s="32"/>
      <c r="M76" s="32">
        <f>SUM(M77:M83)</f>
        <v>0</v>
      </c>
      <c r="N76" s="32"/>
      <c r="O76" s="32">
        <f>SUM(O77:O83)</f>
        <v>0</v>
      </c>
      <c r="P76" s="32">
        <f>SUM(P77:P83)</f>
        <v>0</v>
      </c>
      <c r="Q76" s="32">
        <f>SUM(Q77:Q83)</f>
        <v>0</v>
      </c>
      <c r="R76" s="71"/>
      <c r="S76" s="72"/>
      <c r="T76" s="73"/>
      <c r="U76" s="25">
        <v>1</v>
      </c>
    </row>
    <row r="77" spans="1:21" x14ac:dyDescent="0.2">
      <c r="A77" s="15"/>
      <c r="B77" s="16"/>
      <c r="C77" s="16"/>
      <c r="D77" s="16"/>
      <c r="E77" s="41" t="s">
        <v>206</v>
      </c>
      <c r="F77" s="42" t="s">
        <v>230</v>
      </c>
      <c r="G77" s="1"/>
      <c r="H77" s="1"/>
      <c r="I77" s="1"/>
      <c r="J77" s="1"/>
      <c r="K77" s="1"/>
      <c r="L77" s="1"/>
      <c r="M77" s="1"/>
      <c r="N77" s="1"/>
      <c r="O77" s="1"/>
      <c r="P77" s="1"/>
      <c r="Q77" s="1">
        <f t="shared" ref="Q77:Q86" si="1">+O77+P77-M77</f>
        <v>0</v>
      </c>
      <c r="R77" s="1"/>
      <c r="S77" s="3"/>
      <c r="T77" s="4"/>
      <c r="U77" s="11">
        <v>1</v>
      </c>
    </row>
    <row r="78" spans="1:21" x14ac:dyDescent="0.2">
      <c r="A78" s="15"/>
      <c r="B78" s="16"/>
      <c r="C78" s="16"/>
      <c r="D78" s="16"/>
      <c r="E78" s="41" t="s">
        <v>208</v>
      </c>
      <c r="F78" s="42" t="s">
        <v>273</v>
      </c>
      <c r="G78" s="1"/>
      <c r="H78" s="1"/>
      <c r="I78" s="1"/>
      <c r="J78" s="1"/>
      <c r="K78" s="1"/>
      <c r="L78" s="1"/>
      <c r="M78" s="1"/>
      <c r="N78" s="1"/>
      <c r="O78" s="1"/>
      <c r="P78" s="1"/>
      <c r="Q78" s="1">
        <f t="shared" si="1"/>
        <v>0</v>
      </c>
      <c r="R78" s="1"/>
      <c r="S78" s="3"/>
      <c r="T78" s="4"/>
      <c r="U78" s="11">
        <v>1</v>
      </c>
    </row>
    <row r="79" spans="1:21" x14ac:dyDescent="0.2">
      <c r="A79" s="15"/>
      <c r="B79" s="16"/>
      <c r="C79" s="16"/>
      <c r="D79" s="16"/>
      <c r="E79" s="41" t="s">
        <v>214</v>
      </c>
      <c r="F79" s="42" t="s">
        <v>274</v>
      </c>
      <c r="G79" s="1"/>
      <c r="H79" s="1"/>
      <c r="I79" s="1"/>
      <c r="J79" s="1"/>
      <c r="K79" s="1"/>
      <c r="L79" s="1"/>
      <c r="M79" s="1"/>
      <c r="N79" s="1"/>
      <c r="O79" s="1"/>
      <c r="P79" s="1"/>
      <c r="Q79" s="1">
        <f t="shared" si="1"/>
        <v>0</v>
      </c>
      <c r="R79" s="1"/>
      <c r="S79" s="3"/>
      <c r="T79" s="4"/>
      <c r="U79" s="11">
        <v>1</v>
      </c>
    </row>
    <row r="80" spans="1:21" x14ac:dyDescent="0.2">
      <c r="A80" s="15"/>
      <c r="B80" s="16"/>
      <c r="C80" s="16"/>
      <c r="D80" s="16"/>
      <c r="E80" s="41" t="s">
        <v>226</v>
      </c>
      <c r="F80" s="42" t="s">
        <v>275</v>
      </c>
      <c r="G80" s="1"/>
      <c r="H80" s="1"/>
      <c r="I80" s="1"/>
      <c r="J80" s="1"/>
      <c r="K80" s="1"/>
      <c r="L80" s="1"/>
      <c r="M80" s="1"/>
      <c r="N80" s="1"/>
      <c r="O80" s="1"/>
      <c r="P80" s="1"/>
      <c r="Q80" s="1">
        <f t="shared" si="1"/>
        <v>0</v>
      </c>
      <c r="R80" s="1"/>
      <c r="S80" s="3"/>
      <c r="T80" s="4"/>
      <c r="U80" s="11">
        <v>1</v>
      </c>
    </row>
    <row r="81" spans="1:21" x14ac:dyDescent="0.2">
      <c r="A81" s="15"/>
      <c r="B81" s="16"/>
      <c r="C81" s="16"/>
      <c r="D81" s="16"/>
      <c r="E81" s="41" t="s">
        <v>243</v>
      </c>
      <c r="F81" s="42" t="s">
        <v>276</v>
      </c>
      <c r="G81" s="1"/>
      <c r="H81" s="1"/>
      <c r="I81" s="1"/>
      <c r="J81" s="1"/>
      <c r="K81" s="1"/>
      <c r="L81" s="1"/>
      <c r="M81" s="1"/>
      <c r="N81" s="1"/>
      <c r="O81" s="1"/>
      <c r="P81" s="1"/>
      <c r="Q81" s="1">
        <f t="shared" si="1"/>
        <v>0</v>
      </c>
      <c r="R81" s="1"/>
      <c r="S81" s="3"/>
      <c r="T81" s="4"/>
      <c r="U81" s="11">
        <v>1</v>
      </c>
    </row>
    <row r="82" spans="1:21" x14ac:dyDescent="0.2">
      <c r="A82" s="15"/>
      <c r="B82" s="16"/>
      <c r="C82" s="16"/>
      <c r="D82" s="16"/>
      <c r="E82" s="41" t="s">
        <v>277</v>
      </c>
      <c r="F82" s="42" t="s">
        <v>278</v>
      </c>
      <c r="G82" s="1"/>
      <c r="H82" s="1"/>
      <c r="I82" s="1"/>
      <c r="J82" s="1"/>
      <c r="K82" s="1"/>
      <c r="L82" s="1"/>
      <c r="M82" s="1"/>
      <c r="N82" s="1"/>
      <c r="O82" s="1"/>
      <c r="P82" s="1"/>
      <c r="Q82" s="1">
        <f t="shared" si="1"/>
        <v>0</v>
      </c>
      <c r="R82" s="1"/>
      <c r="S82" s="3"/>
      <c r="T82" s="4"/>
      <c r="U82" s="11">
        <v>1</v>
      </c>
    </row>
    <row r="83" spans="1:21" ht="25.5" x14ac:dyDescent="0.2">
      <c r="A83" s="15"/>
      <c r="B83" s="16"/>
      <c r="C83" s="16"/>
      <c r="D83" s="16"/>
      <c r="E83" s="41" t="s">
        <v>279</v>
      </c>
      <c r="F83" s="42" t="s">
        <v>280</v>
      </c>
      <c r="G83" s="1"/>
      <c r="H83" s="1"/>
      <c r="I83" s="1"/>
      <c r="J83" s="1"/>
      <c r="K83" s="1"/>
      <c r="L83" s="1"/>
      <c r="M83" s="1"/>
      <c r="N83" s="1"/>
      <c r="O83" s="1"/>
      <c r="P83" s="1"/>
      <c r="Q83" s="1">
        <f t="shared" si="1"/>
        <v>0</v>
      </c>
      <c r="R83" s="1"/>
      <c r="S83" s="3"/>
      <c r="T83" s="4"/>
      <c r="U83" s="11">
        <v>1</v>
      </c>
    </row>
    <row r="84" spans="1:21" x14ac:dyDescent="0.2">
      <c r="A84" s="15">
        <v>1</v>
      </c>
      <c r="B84" s="16">
        <v>0</v>
      </c>
      <c r="C84" s="16">
        <v>5</v>
      </c>
      <c r="D84" s="16">
        <v>6</v>
      </c>
      <c r="E84" s="17"/>
      <c r="F84" s="38" t="s">
        <v>281</v>
      </c>
      <c r="G84" s="1"/>
      <c r="H84" s="1"/>
      <c r="I84" s="1"/>
      <c r="J84" s="1"/>
      <c r="K84" s="1"/>
      <c r="L84" s="1"/>
      <c r="M84" s="1"/>
      <c r="N84" s="1"/>
      <c r="O84" s="1"/>
      <c r="P84" s="1"/>
      <c r="Q84" s="1">
        <f t="shared" si="1"/>
        <v>0</v>
      </c>
      <c r="R84" s="1"/>
      <c r="S84" s="3"/>
      <c r="T84" s="4"/>
      <c r="U84" s="11">
        <v>1</v>
      </c>
    </row>
    <row r="85" spans="1:21" x14ac:dyDescent="0.2">
      <c r="A85" s="15">
        <v>1</v>
      </c>
      <c r="B85" s="16">
        <v>0</v>
      </c>
      <c r="C85" s="16">
        <v>5</v>
      </c>
      <c r="D85" s="16">
        <v>7</v>
      </c>
      <c r="E85" s="17"/>
      <c r="F85" s="38" t="s">
        <v>282</v>
      </c>
      <c r="G85" s="1"/>
      <c r="H85" s="1"/>
      <c r="I85" s="1"/>
      <c r="J85" s="1"/>
      <c r="K85" s="1"/>
      <c r="L85" s="1"/>
      <c r="M85" s="1"/>
      <c r="N85" s="1"/>
      <c r="O85" s="1"/>
      <c r="P85" s="1"/>
      <c r="Q85" s="1">
        <f t="shared" si="1"/>
        <v>0</v>
      </c>
      <c r="R85" s="1"/>
      <c r="S85" s="3"/>
      <c r="T85" s="4"/>
      <c r="U85" s="11">
        <v>1</v>
      </c>
    </row>
    <row r="86" spans="1:21" x14ac:dyDescent="0.2">
      <c r="A86" s="15">
        <v>1</v>
      </c>
      <c r="B86" s="16">
        <v>0</v>
      </c>
      <c r="C86" s="16">
        <v>5</v>
      </c>
      <c r="D86" s="16">
        <v>8</v>
      </c>
      <c r="E86" s="17"/>
      <c r="F86" s="38" t="s">
        <v>283</v>
      </c>
      <c r="G86" s="1"/>
      <c r="H86" s="1"/>
      <c r="I86" s="1"/>
      <c r="J86" s="1"/>
      <c r="K86" s="1"/>
      <c r="L86" s="1"/>
      <c r="M86" s="1"/>
      <c r="N86" s="1"/>
      <c r="O86" s="1"/>
      <c r="P86" s="1"/>
      <c r="Q86" s="1">
        <f t="shared" si="1"/>
        <v>0</v>
      </c>
      <c r="R86" s="1"/>
      <c r="S86" s="3"/>
      <c r="T86" s="4"/>
      <c r="U86" s="11">
        <v>1</v>
      </c>
    </row>
    <row r="87" spans="1:21" ht="25.5" x14ac:dyDescent="0.2">
      <c r="A87" s="15">
        <v>1</v>
      </c>
      <c r="B87" s="16">
        <v>0</v>
      </c>
      <c r="C87" s="16">
        <v>5</v>
      </c>
      <c r="D87" s="16">
        <v>9</v>
      </c>
      <c r="E87" s="17"/>
      <c r="F87" s="38" t="s">
        <v>284</v>
      </c>
      <c r="G87" s="1"/>
      <c r="H87" s="1"/>
      <c r="I87" s="1"/>
      <c r="J87" s="1"/>
      <c r="K87" s="1"/>
      <c r="L87" s="1"/>
      <c r="M87" s="1"/>
      <c r="N87" s="1"/>
      <c r="O87" s="1"/>
      <c r="P87" s="1"/>
      <c r="Q87" s="1">
        <f>+O87+P87-M87</f>
        <v>0</v>
      </c>
      <c r="R87" s="1"/>
      <c r="S87" s="3"/>
      <c r="T87" s="4"/>
      <c r="U87" s="11">
        <v>1</v>
      </c>
    </row>
    <row r="88" spans="1:21" x14ac:dyDescent="0.2">
      <c r="A88" s="47"/>
      <c r="B88" s="14"/>
      <c r="C88" s="14"/>
      <c r="D88" s="14"/>
      <c r="E88" s="48"/>
      <c r="F88" s="38"/>
      <c r="G88" s="1"/>
      <c r="H88" s="1"/>
      <c r="I88" s="1"/>
      <c r="J88" s="1"/>
      <c r="K88" s="1"/>
      <c r="L88" s="1"/>
      <c r="M88" s="1"/>
      <c r="N88" s="1"/>
      <c r="O88" s="1"/>
      <c r="P88" s="2"/>
      <c r="Q88" s="2"/>
      <c r="R88" s="2"/>
      <c r="S88" s="2"/>
      <c r="T88" s="5"/>
      <c r="U88" s="11">
        <v>1</v>
      </c>
    </row>
    <row r="89" spans="1:21" ht="40.5" customHeight="1" x14ac:dyDescent="0.2">
      <c r="A89" s="47"/>
      <c r="B89" s="14"/>
      <c r="C89" s="14"/>
      <c r="D89" s="14"/>
      <c r="E89" s="48"/>
      <c r="F89" s="80" t="s">
        <v>9</v>
      </c>
      <c r="G89" s="78"/>
      <c r="H89" s="78"/>
      <c r="I89" s="78"/>
      <c r="J89" s="78"/>
      <c r="K89" s="79"/>
      <c r="L89" s="79"/>
      <c r="M89" s="79"/>
      <c r="N89" s="79"/>
      <c r="O89" s="79"/>
      <c r="P89" s="79"/>
      <c r="Q89" s="89">
        <f>+Q91+Q102</f>
        <v>92064000</v>
      </c>
      <c r="R89" s="79"/>
      <c r="S89" s="79"/>
      <c r="T89" s="79"/>
    </row>
    <row r="90" spans="1:21" x14ac:dyDescent="0.2">
      <c r="A90" s="47"/>
      <c r="B90" s="14"/>
      <c r="C90" s="14"/>
      <c r="D90" s="14"/>
      <c r="E90" s="48"/>
      <c r="F90" s="38"/>
      <c r="G90" s="1"/>
      <c r="H90" s="1"/>
      <c r="I90" s="1"/>
      <c r="J90" s="1"/>
      <c r="K90" s="1"/>
      <c r="L90" s="1"/>
      <c r="M90" s="1"/>
      <c r="N90" s="1"/>
      <c r="O90" s="1"/>
      <c r="P90" s="2"/>
      <c r="Q90" s="2"/>
      <c r="R90" s="2"/>
      <c r="S90" s="2"/>
      <c r="T90" s="5"/>
      <c r="U90" s="11">
        <v>1</v>
      </c>
    </row>
    <row r="91" spans="1:21" s="25" customFormat="1" ht="15.75" x14ac:dyDescent="0.25">
      <c r="A91" s="57">
        <v>2</v>
      </c>
      <c r="B91" s="58"/>
      <c r="C91" s="58"/>
      <c r="D91" s="58"/>
      <c r="E91" s="74"/>
      <c r="F91" s="75" t="s">
        <v>201</v>
      </c>
      <c r="G91" s="71"/>
      <c r="H91" s="71"/>
      <c r="I91" s="71"/>
      <c r="J91" s="27"/>
      <c r="K91" s="27"/>
      <c r="L91" s="27"/>
      <c r="M91" s="27">
        <f>+M94</f>
        <v>0</v>
      </c>
      <c r="N91" s="27"/>
      <c r="O91" s="27">
        <f>+O94</f>
        <v>0</v>
      </c>
      <c r="P91" s="27">
        <f>+P94</f>
        <v>92064000</v>
      </c>
      <c r="Q91" s="27">
        <f>+Q94</f>
        <v>92064000</v>
      </c>
      <c r="R91" s="71"/>
      <c r="S91" s="72"/>
      <c r="T91" s="73"/>
      <c r="U91" s="25">
        <v>1</v>
      </c>
    </row>
    <row r="92" spans="1:21" x14ac:dyDescent="0.2">
      <c r="A92" s="47"/>
      <c r="B92" s="14"/>
      <c r="C92" s="14"/>
      <c r="D92" s="14"/>
      <c r="E92" s="48"/>
      <c r="F92" s="49"/>
      <c r="G92" s="2"/>
      <c r="H92" s="2"/>
      <c r="I92" s="2"/>
      <c r="J92" s="2"/>
      <c r="K92" s="2"/>
      <c r="L92" s="2"/>
      <c r="M92" s="2"/>
      <c r="N92" s="2"/>
      <c r="O92" s="2"/>
      <c r="P92" s="2"/>
      <c r="Q92" s="2"/>
      <c r="R92" s="2"/>
      <c r="S92" s="2"/>
      <c r="T92" s="5"/>
      <c r="U92" s="11">
        <v>1</v>
      </c>
    </row>
    <row r="93" spans="1:21" x14ac:dyDescent="0.2">
      <c r="A93" s="43"/>
      <c r="B93" s="44"/>
      <c r="C93" s="44"/>
      <c r="D93" s="44"/>
      <c r="E93" s="45"/>
      <c r="F93" s="46"/>
      <c r="G93" s="2"/>
      <c r="H93" s="2"/>
      <c r="I93" s="2"/>
      <c r="J93" s="2"/>
      <c r="K93" s="2"/>
      <c r="L93" s="2"/>
      <c r="M93" s="2"/>
      <c r="N93" s="2"/>
      <c r="O93" s="2"/>
      <c r="P93" s="2"/>
      <c r="Q93" s="2"/>
      <c r="R93" s="2"/>
      <c r="S93" s="2"/>
      <c r="T93" s="5"/>
      <c r="U93" s="11">
        <v>1</v>
      </c>
    </row>
    <row r="94" spans="1:21" s="25" customFormat="1" ht="25.5" x14ac:dyDescent="0.2">
      <c r="A94" s="28">
        <v>2</v>
      </c>
      <c r="B94" s="29">
        <v>0</v>
      </c>
      <c r="C94" s="29">
        <v>4</v>
      </c>
      <c r="D94" s="29">
        <v>41</v>
      </c>
      <c r="E94" s="30"/>
      <c r="F94" s="31" t="s">
        <v>231</v>
      </c>
      <c r="G94" s="71"/>
      <c r="H94" s="71"/>
      <c r="I94" s="71"/>
      <c r="J94" s="32"/>
      <c r="K94" s="32"/>
      <c r="L94" s="32"/>
      <c r="M94" s="32">
        <f>+M95</f>
        <v>0</v>
      </c>
      <c r="N94" s="32"/>
      <c r="O94" s="32">
        <f>+O95</f>
        <v>0</v>
      </c>
      <c r="P94" s="32">
        <f>+P95</f>
        <v>92064000</v>
      </c>
      <c r="Q94" s="32">
        <f>+Q95</f>
        <v>92064000</v>
      </c>
      <c r="R94" s="71"/>
      <c r="S94" s="72"/>
      <c r="T94" s="73"/>
      <c r="U94" s="25">
        <v>1</v>
      </c>
    </row>
    <row r="95" spans="1:21" ht="30.75" customHeight="1" x14ac:dyDescent="0.3">
      <c r="A95" s="39"/>
      <c r="B95" s="40"/>
      <c r="C95" s="40"/>
      <c r="D95" s="40"/>
      <c r="E95" s="41" t="s">
        <v>208</v>
      </c>
      <c r="F95" s="42" t="s">
        <v>266</v>
      </c>
      <c r="G95" s="7"/>
      <c r="H95" s="100" t="s">
        <v>1</v>
      </c>
      <c r="I95" s="42"/>
      <c r="J95" s="7"/>
      <c r="K95" s="1"/>
      <c r="L95" s="1"/>
      <c r="M95" s="1">
        <f>SUM(M96:M100)</f>
        <v>0</v>
      </c>
      <c r="N95" s="1"/>
      <c r="O95" s="1">
        <f>SUM(O96:O100)</f>
        <v>0</v>
      </c>
      <c r="P95" s="1">
        <f>SUM(P96:P100)</f>
        <v>92064000</v>
      </c>
      <c r="Q95" s="1">
        <f>SUM(Q96:Q100)</f>
        <v>92064000</v>
      </c>
      <c r="R95" s="1"/>
      <c r="S95" s="1"/>
      <c r="T95" s="1"/>
      <c r="U95" s="1">
        <v>1</v>
      </c>
    </row>
    <row r="96" spans="1:21" x14ac:dyDescent="0.2">
      <c r="A96" s="39"/>
      <c r="B96" s="40"/>
      <c r="C96" s="40"/>
      <c r="D96" s="40"/>
      <c r="E96" s="41"/>
      <c r="F96" s="42"/>
      <c r="G96" s="7"/>
      <c r="H96" s="1"/>
      <c r="I96" s="1"/>
      <c r="J96" s="1"/>
      <c r="K96" s="1"/>
      <c r="L96" s="1"/>
      <c r="M96" s="1"/>
      <c r="N96" s="1"/>
      <c r="O96" s="1">
        <v>0</v>
      </c>
      <c r="P96" s="1">
        <f t="shared" ref="P96:P101" si="2">+J96*K96*L96</f>
        <v>0</v>
      </c>
      <c r="Q96" s="1">
        <f t="shared" ref="Q96:Q101" si="3">+O96+P96-M96</f>
        <v>0</v>
      </c>
      <c r="R96" s="1"/>
      <c r="S96" s="3"/>
      <c r="T96" s="4"/>
      <c r="U96" s="11">
        <v>1</v>
      </c>
    </row>
    <row r="97" spans="1:21" x14ac:dyDescent="0.2">
      <c r="A97" s="39"/>
      <c r="B97" s="40"/>
      <c r="C97" s="40"/>
      <c r="D97" s="40"/>
      <c r="E97" s="41"/>
      <c r="F97" s="42"/>
      <c r="G97" s="7">
        <v>0</v>
      </c>
      <c r="H97" s="81" t="s">
        <v>270</v>
      </c>
      <c r="I97" s="81" t="s">
        <v>271</v>
      </c>
      <c r="J97" s="99">
        <v>1</v>
      </c>
      <c r="K97" s="1">
        <v>0</v>
      </c>
      <c r="L97" s="1">
        <v>0</v>
      </c>
      <c r="M97" s="1">
        <v>0</v>
      </c>
      <c r="N97" s="1"/>
      <c r="O97" s="1">
        <v>0</v>
      </c>
      <c r="P97" s="1">
        <f t="shared" si="2"/>
        <v>0</v>
      </c>
      <c r="Q97" s="1">
        <f t="shared" si="3"/>
        <v>0</v>
      </c>
      <c r="R97" s="1"/>
      <c r="S97" s="3"/>
      <c r="T97" s="4"/>
      <c r="U97" s="11">
        <v>1</v>
      </c>
    </row>
    <row r="98" spans="1:21" x14ac:dyDescent="0.2">
      <c r="A98" s="39"/>
      <c r="B98" s="40"/>
      <c r="C98" s="40"/>
      <c r="D98" s="40"/>
      <c r="E98" s="41"/>
      <c r="F98" s="42"/>
      <c r="G98" s="7"/>
      <c r="H98" s="1" t="s">
        <v>0</v>
      </c>
      <c r="I98" s="1">
        <v>4</v>
      </c>
      <c r="J98" s="99">
        <v>5</v>
      </c>
      <c r="K98" s="1">
        <v>6</v>
      </c>
      <c r="L98" s="1">
        <v>1644000</v>
      </c>
      <c r="M98" s="1"/>
      <c r="N98" s="1"/>
      <c r="O98" s="1"/>
      <c r="P98" s="1">
        <f t="shared" si="2"/>
        <v>49320000</v>
      </c>
      <c r="Q98" s="1">
        <f t="shared" si="3"/>
        <v>49320000</v>
      </c>
      <c r="R98" s="1"/>
      <c r="S98" s="3"/>
      <c r="T98" s="4"/>
    </row>
    <row r="99" spans="1:21" x14ac:dyDescent="0.2">
      <c r="A99" s="39"/>
      <c r="B99" s="40"/>
      <c r="C99" s="40"/>
      <c r="D99" s="40"/>
      <c r="E99" s="41"/>
      <c r="F99" s="42"/>
      <c r="G99" s="7"/>
      <c r="H99" s="1" t="s">
        <v>0</v>
      </c>
      <c r="I99" s="1">
        <v>4</v>
      </c>
      <c r="J99" s="99">
        <v>4</v>
      </c>
      <c r="K99" s="1">
        <v>2.5</v>
      </c>
      <c r="L99" s="1">
        <v>1644000</v>
      </c>
      <c r="M99" s="1"/>
      <c r="N99" s="1"/>
      <c r="O99" s="1"/>
      <c r="P99" s="1">
        <f t="shared" si="2"/>
        <v>16440000</v>
      </c>
      <c r="Q99" s="1">
        <f t="shared" si="3"/>
        <v>16440000</v>
      </c>
      <c r="R99" s="1"/>
      <c r="S99" s="3"/>
      <c r="T99" s="4"/>
      <c r="U99" s="11">
        <v>1</v>
      </c>
    </row>
    <row r="100" spans="1:21" x14ac:dyDescent="0.2">
      <c r="A100" s="39"/>
      <c r="B100" s="40"/>
      <c r="C100" s="40"/>
      <c r="D100" s="40"/>
      <c r="E100" s="41"/>
      <c r="F100" s="42"/>
      <c r="G100" s="7"/>
      <c r="H100" s="1" t="s">
        <v>0</v>
      </c>
      <c r="I100" s="81">
        <v>4</v>
      </c>
      <c r="J100" s="99">
        <v>2</v>
      </c>
      <c r="K100" s="1">
        <v>8</v>
      </c>
      <c r="L100" s="1">
        <v>1644000</v>
      </c>
      <c r="M100" s="1"/>
      <c r="N100" s="1"/>
      <c r="O100" s="1"/>
      <c r="P100" s="1">
        <f t="shared" si="2"/>
        <v>26304000</v>
      </c>
      <c r="Q100" s="1">
        <f t="shared" si="3"/>
        <v>26304000</v>
      </c>
      <c r="R100" s="1"/>
      <c r="S100" s="3"/>
      <c r="T100" s="4"/>
      <c r="U100" s="11">
        <v>1</v>
      </c>
    </row>
    <row r="101" spans="1:21" x14ac:dyDescent="0.2">
      <c r="A101" s="39"/>
      <c r="B101" s="40"/>
      <c r="C101" s="40"/>
      <c r="D101" s="40"/>
      <c r="E101" s="41"/>
      <c r="F101" s="42"/>
      <c r="G101" s="7"/>
      <c r="H101" s="1" t="s">
        <v>0</v>
      </c>
      <c r="I101" s="1">
        <v>4</v>
      </c>
      <c r="J101" s="99">
        <v>1</v>
      </c>
      <c r="K101" s="1">
        <v>9.5</v>
      </c>
      <c r="L101" s="1">
        <v>1644000</v>
      </c>
      <c r="M101" s="1"/>
      <c r="N101" s="1"/>
      <c r="O101" s="1"/>
      <c r="P101" s="1">
        <f t="shared" si="2"/>
        <v>15618000</v>
      </c>
      <c r="Q101" s="1">
        <f t="shared" si="3"/>
        <v>15618000</v>
      </c>
      <c r="R101" s="1"/>
      <c r="S101" s="3"/>
      <c r="T101" s="4"/>
      <c r="U101" s="11">
        <v>1</v>
      </c>
    </row>
    <row r="102" spans="1:21" ht="40.5" customHeight="1" x14ac:dyDescent="0.2">
      <c r="A102" s="47"/>
      <c r="B102" s="14"/>
      <c r="C102" s="14"/>
      <c r="D102" s="14"/>
      <c r="E102" s="48"/>
      <c r="F102" s="80" t="s">
        <v>10</v>
      </c>
      <c r="G102" s="78"/>
      <c r="H102" s="78"/>
      <c r="I102" s="78"/>
      <c r="J102" s="78"/>
      <c r="K102" s="79"/>
      <c r="L102" s="79"/>
      <c r="M102" s="79"/>
      <c r="N102" s="79"/>
      <c r="O102" s="79"/>
      <c r="P102" s="79"/>
      <c r="Q102" s="79"/>
      <c r="R102" s="79"/>
      <c r="S102" s="79"/>
      <c r="T102" s="79"/>
    </row>
    <row r="103" spans="1:21" x14ac:dyDescent="0.2">
      <c r="A103" s="47"/>
      <c r="B103" s="14"/>
      <c r="C103" s="14"/>
      <c r="D103" s="14"/>
      <c r="E103" s="48"/>
      <c r="F103" s="38"/>
      <c r="G103" s="1"/>
      <c r="H103" s="1"/>
      <c r="I103" s="1"/>
      <c r="J103" s="1"/>
      <c r="K103" s="1"/>
      <c r="L103" s="1"/>
      <c r="M103" s="1"/>
      <c r="N103" s="1"/>
      <c r="O103" s="1"/>
      <c r="P103" s="2"/>
      <c r="Q103" s="2"/>
      <c r="R103" s="2"/>
      <c r="S103" s="2"/>
      <c r="T103" s="5"/>
      <c r="U103" s="11">
        <v>1</v>
      </c>
    </row>
    <row r="104" spans="1:21" s="25" customFormat="1" ht="15.75" x14ac:dyDescent="0.25">
      <c r="A104" s="57">
        <v>2</v>
      </c>
      <c r="B104" s="58"/>
      <c r="C104" s="58"/>
      <c r="D104" s="58"/>
      <c r="E104" s="74"/>
      <c r="F104" s="75" t="s">
        <v>201</v>
      </c>
      <c r="G104" s="71"/>
      <c r="H104" s="71"/>
      <c r="I104" s="71"/>
      <c r="J104" s="27"/>
      <c r="K104" s="27"/>
      <c r="L104" s="27"/>
      <c r="M104" s="27">
        <f>+M107</f>
        <v>0</v>
      </c>
      <c r="N104" s="27"/>
      <c r="O104" s="27">
        <f>+O107</f>
        <v>0</v>
      </c>
      <c r="P104" s="27">
        <f>+P107</f>
        <v>0</v>
      </c>
      <c r="Q104" s="27">
        <f>+Q107</f>
        <v>0</v>
      </c>
      <c r="R104" s="71"/>
      <c r="S104" s="72"/>
      <c r="T104" s="73"/>
      <c r="U104" s="25">
        <v>1</v>
      </c>
    </row>
    <row r="105" spans="1:21" x14ac:dyDescent="0.2">
      <c r="A105" s="47"/>
      <c r="B105" s="14"/>
      <c r="C105" s="14"/>
      <c r="D105" s="14"/>
      <c r="E105" s="48"/>
      <c r="F105" s="49"/>
      <c r="G105" s="2"/>
      <c r="H105" s="2"/>
      <c r="I105" s="2"/>
      <c r="J105" s="2"/>
      <c r="K105" s="2"/>
      <c r="L105" s="2"/>
      <c r="M105" s="2"/>
      <c r="N105" s="2"/>
      <c r="O105" s="2"/>
      <c r="P105" s="2"/>
      <c r="Q105" s="2"/>
      <c r="R105" s="2"/>
      <c r="S105" s="2"/>
      <c r="T105" s="5"/>
      <c r="U105" s="11">
        <v>1</v>
      </c>
    </row>
    <row r="106" spans="1:21" x14ac:dyDescent="0.2">
      <c r="A106" s="43"/>
      <c r="B106" s="44"/>
      <c r="C106" s="44"/>
      <c r="D106" s="44"/>
      <c r="E106" s="45"/>
      <c r="F106" s="46"/>
      <c r="G106" s="2"/>
      <c r="H106" s="2"/>
      <c r="I106" s="2"/>
      <c r="J106" s="2"/>
      <c r="K106" s="2"/>
      <c r="L106" s="2"/>
      <c r="M106" s="2"/>
      <c r="N106" s="2"/>
      <c r="O106" s="2"/>
      <c r="P106" s="2"/>
      <c r="Q106" s="2"/>
      <c r="R106" s="2"/>
      <c r="S106" s="2"/>
      <c r="T106" s="5"/>
      <c r="U106" s="11">
        <v>1</v>
      </c>
    </row>
    <row r="107" spans="1:21" s="25" customFormat="1" ht="25.5" x14ac:dyDescent="0.2">
      <c r="A107" s="28">
        <v>2</v>
      </c>
      <c r="B107" s="29">
        <v>0</v>
      </c>
      <c r="C107" s="29">
        <v>4</v>
      </c>
      <c r="D107" s="29">
        <v>41</v>
      </c>
      <c r="E107" s="30"/>
      <c r="F107" s="31" t="s">
        <v>231</v>
      </c>
      <c r="G107" s="71"/>
      <c r="H107" s="71"/>
      <c r="I107" s="71"/>
      <c r="J107" s="32"/>
      <c r="K107" s="32"/>
      <c r="L107" s="32"/>
      <c r="M107" s="32">
        <f>+M108</f>
        <v>0</v>
      </c>
      <c r="N107" s="32"/>
      <c r="O107" s="32">
        <f>+O108</f>
        <v>0</v>
      </c>
      <c r="P107" s="32">
        <f>+P108</f>
        <v>0</v>
      </c>
      <c r="Q107" s="32">
        <f>+Q108</f>
        <v>0</v>
      </c>
      <c r="R107" s="71"/>
      <c r="S107" s="72"/>
      <c r="T107" s="73"/>
      <c r="U107" s="25">
        <v>1</v>
      </c>
    </row>
    <row r="108" spans="1:21" ht="30.75" customHeight="1" x14ac:dyDescent="0.2">
      <c r="A108" s="39"/>
      <c r="B108" s="40"/>
      <c r="C108" s="40"/>
      <c r="D108" s="40"/>
      <c r="E108" s="41" t="s">
        <v>208</v>
      </c>
      <c r="F108" s="42" t="s">
        <v>266</v>
      </c>
      <c r="G108" s="7"/>
      <c r="H108" s="1"/>
      <c r="I108" s="42"/>
      <c r="J108" s="7"/>
      <c r="K108" s="1"/>
      <c r="L108" s="1"/>
      <c r="M108" s="1">
        <f>SUM(M109:M112)</f>
        <v>0</v>
      </c>
      <c r="N108" s="1"/>
      <c r="O108" s="1">
        <f>SUM(O109:O112)</f>
        <v>0</v>
      </c>
      <c r="P108" s="1">
        <f>SUM(P109:P112)</f>
        <v>0</v>
      </c>
      <c r="Q108" s="1">
        <f>SUM(Q109:Q112)</f>
        <v>0</v>
      </c>
      <c r="R108" s="1"/>
      <c r="S108" s="1"/>
      <c r="T108" s="1"/>
      <c r="U108" s="1">
        <v>1</v>
      </c>
    </row>
    <row r="109" spans="1:21" x14ac:dyDescent="0.2">
      <c r="A109" s="39"/>
      <c r="B109" s="40"/>
      <c r="C109" s="40"/>
      <c r="D109" s="40"/>
      <c r="E109" s="41"/>
      <c r="F109" s="42"/>
      <c r="G109" s="7"/>
      <c r="H109" s="1"/>
      <c r="I109" s="1"/>
      <c r="J109" s="1"/>
      <c r="K109" s="1"/>
      <c r="L109" s="1"/>
      <c r="M109" s="1"/>
      <c r="N109" s="1"/>
      <c r="O109" s="1"/>
      <c r="P109" s="1">
        <f>+J109*K109*L109</f>
        <v>0</v>
      </c>
      <c r="Q109" s="1">
        <f>+O109+P109-M109</f>
        <v>0</v>
      </c>
      <c r="R109" s="1"/>
      <c r="S109" s="3"/>
      <c r="T109" s="4"/>
      <c r="U109" s="11">
        <v>1</v>
      </c>
    </row>
    <row r="110" spans="1:21" x14ac:dyDescent="0.2">
      <c r="A110" s="39"/>
      <c r="B110" s="40"/>
      <c r="C110" s="40"/>
      <c r="D110" s="40"/>
      <c r="E110" s="41"/>
      <c r="F110" s="42"/>
      <c r="G110" s="7">
        <v>0</v>
      </c>
      <c r="H110" s="81" t="s">
        <v>12</v>
      </c>
      <c r="I110" s="81" t="s">
        <v>270</v>
      </c>
      <c r="J110" s="1"/>
      <c r="K110" s="1"/>
      <c r="L110" s="1"/>
      <c r="M110" s="1"/>
      <c r="N110" s="1"/>
      <c r="O110" s="1"/>
      <c r="P110" s="1">
        <f>+J110*K110*L110</f>
        <v>0</v>
      </c>
      <c r="Q110" s="1">
        <f>+O110+P110-M110</f>
        <v>0</v>
      </c>
      <c r="R110" s="1"/>
      <c r="S110" s="3"/>
      <c r="T110" s="4"/>
      <c r="U110" s="11">
        <v>1</v>
      </c>
    </row>
    <row r="111" spans="1:21" x14ac:dyDescent="0.2">
      <c r="A111" s="39"/>
      <c r="B111" s="40"/>
      <c r="C111" s="40"/>
      <c r="D111" s="40"/>
      <c r="E111" s="41"/>
      <c r="F111" s="42"/>
      <c r="G111" s="7"/>
      <c r="H111" s="81" t="s">
        <v>11</v>
      </c>
      <c r="I111" s="1"/>
      <c r="J111" s="1"/>
      <c r="K111" s="1"/>
      <c r="L111" s="1"/>
      <c r="M111" s="1"/>
      <c r="N111" s="1"/>
      <c r="O111" s="1"/>
      <c r="P111" s="1">
        <f>+J111*K111*L111</f>
        <v>0</v>
      </c>
      <c r="Q111" s="1">
        <f>+O111+P111-M111</f>
        <v>0</v>
      </c>
      <c r="R111" s="1"/>
      <c r="S111" s="3"/>
      <c r="T111" s="4"/>
    </row>
    <row r="112" spans="1:21" x14ac:dyDescent="0.2">
      <c r="A112" s="39"/>
      <c r="B112" s="40"/>
      <c r="C112" s="40"/>
      <c r="D112" s="40"/>
      <c r="E112" s="41"/>
      <c r="F112" s="42"/>
      <c r="G112" s="7"/>
      <c r="H112" s="1"/>
      <c r="I112" s="1"/>
      <c r="J112" s="1"/>
      <c r="K112" s="1"/>
      <c r="L112" s="1"/>
      <c r="M112" s="1"/>
      <c r="N112" s="1"/>
      <c r="O112" s="1"/>
      <c r="P112" s="1">
        <f>+J112*K112*L112</f>
        <v>0</v>
      </c>
      <c r="Q112" s="1">
        <f>+O112+P112-M112</f>
        <v>0</v>
      </c>
      <c r="R112" s="1"/>
      <c r="S112" s="3"/>
      <c r="T112" s="4"/>
      <c r="U112" s="11">
        <v>1</v>
      </c>
    </row>
    <row r="113" spans="1:21" x14ac:dyDescent="0.2">
      <c r="A113" s="39"/>
      <c r="B113" s="40"/>
      <c r="C113" s="40"/>
      <c r="D113" s="40"/>
      <c r="E113" s="41"/>
      <c r="F113" s="42"/>
      <c r="G113" s="7"/>
      <c r="H113" s="81" t="s">
        <v>270</v>
      </c>
      <c r="I113" s="81" t="s">
        <v>270</v>
      </c>
      <c r="J113" s="1"/>
      <c r="K113" s="1"/>
      <c r="L113" s="1"/>
      <c r="M113" s="1"/>
      <c r="N113" s="1"/>
      <c r="O113" s="1"/>
      <c r="P113" s="1"/>
      <c r="Q113" s="1"/>
      <c r="R113" s="1"/>
      <c r="S113" s="3"/>
      <c r="T113" s="4"/>
      <c r="U113" s="11">
        <v>1</v>
      </c>
    </row>
    <row r="114" spans="1:21" x14ac:dyDescent="0.2">
      <c r="A114" s="39"/>
      <c r="B114" s="40"/>
      <c r="C114" s="40"/>
      <c r="D114" s="40"/>
      <c r="E114" s="41"/>
      <c r="F114" s="42"/>
      <c r="G114" s="7"/>
      <c r="H114" s="1"/>
      <c r="I114" s="1"/>
      <c r="J114" s="1"/>
      <c r="K114" s="1"/>
      <c r="L114" s="1"/>
      <c r="M114" s="1"/>
      <c r="N114" s="1"/>
      <c r="O114" s="1"/>
      <c r="P114" s="1"/>
      <c r="Q114" s="1"/>
      <c r="R114" s="1"/>
      <c r="S114" s="3"/>
      <c r="T114" s="4"/>
      <c r="U114" s="11">
        <v>1</v>
      </c>
    </row>
    <row r="115" spans="1:21" x14ac:dyDescent="0.2">
      <c r="A115" s="18"/>
      <c r="B115" s="18"/>
      <c r="C115" s="18"/>
      <c r="D115" s="18"/>
      <c r="E115" s="18"/>
      <c r="F115" s="50" t="s">
        <v>233</v>
      </c>
      <c r="G115" s="20"/>
      <c r="H115" s="20"/>
      <c r="I115" s="21"/>
      <c r="M115" s="19"/>
      <c r="N115" s="19"/>
      <c r="O115" s="19"/>
      <c r="P115" s="19"/>
      <c r="Q115" s="19"/>
      <c r="U115" s="11">
        <v>1</v>
      </c>
    </row>
    <row r="116" spans="1:21" x14ac:dyDescent="0.2">
      <c r="A116" s="18"/>
      <c r="B116" s="18"/>
      <c r="C116" s="18"/>
      <c r="D116" s="18"/>
      <c r="E116" s="18"/>
      <c r="F116" s="22"/>
      <c r="G116" s="23" t="s">
        <v>235</v>
      </c>
      <c r="M116" s="19"/>
      <c r="N116" s="19"/>
      <c r="O116" s="19"/>
      <c r="P116" s="19"/>
      <c r="Q116" s="19"/>
      <c r="U116" s="11">
        <v>1</v>
      </c>
    </row>
    <row r="117" spans="1:21" x14ac:dyDescent="0.2">
      <c r="A117" s="18"/>
      <c r="B117" s="18"/>
      <c r="C117" s="18"/>
      <c r="D117" s="18"/>
      <c r="E117" s="18"/>
      <c r="F117" s="50" t="s">
        <v>234</v>
      </c>
      <c r="G117" s="24"/>
      <c r="H117" s="20"/>
      <c r="I117" s="20"/>
      <c r="M117" s="19"/>
      <c r="N117" s="19"/>
      <c r="O117" s="19"/>
      <c r="P117" s="19"/>
      <c r="Q117" s="19"/>
      <c r="U117" s="11">
        <v>1</v>
      </c>
    </row>
    <row r="118" spans="1:21" x14ac:dyDescent="0.2">
      <c r="A118" s="18"/>
      <c r="B118" s="18"/>
      <c r="C118" s="18"/>
      <c r="D118" s="18"/>
      <c r="E118" s="18"/>
      <c r="F118" s="22"/>
      <c r="G118" s="23" t="s">
        <v>235</v>
      </c>
      <c r="M118" s="19"/>
      <c r="N118" s="19"/>
      <c r="O118" s="19"/>
      <c r="P118" s="19"/>
      <c r="Q118" s="19"/>
      <c r="U118" s="11">
        <v>1</v>
      </c>
    </row>
    <row r="119" spans="1:21" ht="21" customHeight="1" x14ac:dyDescent="0.2">
      <c r="A119" s="18"/>
      <c r="B119" s="18"/>
      <c r="C119" s="18"/>
      <c r="D119" s="18"/>
      <c r="E119" s="18"/>
      <c r="F119" s="50" t="s">
        <v>236</v>
      </c>
      <c r="G119" s="24"/>
      <c r="H119" s="20"/>
      <c r="I119" s="20"/>
      <c r="M119" s="19"/>
      <c r="N119" s="19"/>
      <c r="O119" s="19"/>
      <c r="P119" s="19"/>
      <c r="Q119" s="19"/>
      <c r="U119" s="11">
        <v>1</v>
      </c>
    </row>
    <row r="120" spans="1:21" x14ac:dyDescent="0.2">
      <c r="A120" s="18"/>
      <c r="B120" s="18"/>
      <c r="C120" s="18"/>
      <c r="D120" s="18"/>
      <c r="E120" s="18"/>
      <c r="F120" s="22"/>
      <c r="G120" s="23" t="s">
        <v>235</v>
      </c>
      <c r="M120" s="19"/>
      <c r="N120" s="19"/>
      <c r="O120" s="19"/>
      <c r="P120" s="19"/>
      <c r="Q120" s="19"/>
      <c r="U120" s="11">
        <v>1</v>
      </c>
    </row>
    <row r="121" spans="1:21" x14ac:dyDescent="0.2">
      <c r="A121" s="18"/>
      <c r="B121" s="18"/>
      <c r="C121" s="18"/>
      <c r="D121" s="18"/>
      <c r="E121" s="18"/>
      <c r="F121" s="18"/>
      <c r="G121" s="24"/>
      <c r="H121" s="20"/>
      <c r="I121" s="20"/>
      <c r="M121" s="19"/>
      <c r="N121" s="19"/>
      <c r="O121" s="19"/>
      <c r="P121" s="19"/>
      <c r="Q121" s="19"/>
      <c r="U121" s="11">
        <v>1</v>
      </c>
    </row>
    <row r="122" spans="1:21" x14ac:dyDescent="0.2">
      <c r="A122" s="18"/>
      <c r="B122" s="18"/>
      <c r="C122" s="18"/>
      <c r="D122" s="18"/>
      <c r="E122" s="18"/>
      <c r="F122" s="50" t="s">
        <v>195</v>
      </c>
      <c r="G122" s="23" t="s">
        <v>235</v>
      </c>
      <c r="M122" s="19"/>
      <c r="N122" s="19"/>
      <c r="O122" s="19"/>
      <c r="P122" s="19"/>
      <c r="Q122" s="19"/>
      <c r="U122" s="11">
        <v>1</v>
      </c>
    </row>
    <row r="123" spans="1:21" x14ac:dyDescent="0.2">
      <c r="A123" s="18"/>
      <c r="B123" s="18"/>
      <c r="C123" s="18"/>
      <c r="D123" s="18"/>
      <c r="E123" s="18"/>
      <c r="F123" s="18"/>
      <c r="M123" s="19"/>
      <c r="N123" s="19"/>
      <c r="O123" s="19"/>
      <c r="P123" s="19"/>
      <c r="Q123" s="19"/>
      <c r="U123" s="11">
        <v>1</v>
      </c>
    </row>
    <row r="124" spans="1:21" x14ac:dyDescent="0.2">
      <c r="A124" s="18"/>
      <c r="B124" s="18"/>
      <c r="C124" s="18"/>
      <c r="D124" s="18"/>
      <c r="E124" s="18"/>
      <c r="F124" s="18"/>
      <c r="M124" s="19"/>
      <c r="N124" s="19"/>
      <c r="O124" s="19"/>
      <c r="P124" s="19"/>
      <c r="Q124" s="19"/>
      <c r="U124" s="11">
        <v>1</v>
      </c>
    </row>
    <row r="125" spans="1:21" x14ac:dyDescent="0.2">
      <c r="A125" s="18"/>
      <c r="B125" s="18"/>
      <c r="C125" s="18"/>
      <c r="D125" s="18"/>
      <c r="E125" s="18"/>
      <c r="F125" s="18"/>
      <c r="M125" s="19"/>
      <c r="N125" s="19"/>
      <c r="O125" s="19"/>
      <c r="P125" s="19"/>
      <c r="Q125" s="19"/>
      <c r="U125" s="11">
        <v>1</v>
      </c>
    </row>
    <row r="126" spans="1:21" x14ac:dyDescent="0.2">
      <c r="A126" s="18"/>
      <c r="B126" s="18"/>
      <c r="C126" s="18"/>
      <c r="D126" s="18"/>
      <c r="E126" s="18"/>
      <c r="F126" s="18"/>
      <c r="M126" s="19"/>
      <c r="N126" s="19"/>
      <c r="O126" s="19"/>
      <c r="P126" s="19"/>
      <c r="Q126" s="19"/>
      <c r="U126" s="11">
        <v>1</v>
      </c>
    </row>
    <row r="127" spans="1:21" x14ac:dyDescent="0.2">
      <c r="A127" s="18"/>
      <c r="B127" s="18"/>
      <c r="C127" s="18"/>
      <c r="D127" s="18"/>
      <c r="E127" s="18"/>
      <c r="F127" s="18"/>
      <c r="U127" s="11">
        <v>1</v>
      </c>
    </row>
    <row r="128" spans="1:21" x14ac:dyDescent="0.2">
      <c r="A128" s="18"/>
      <c r="B128" s="18"/>
      <c r="C128" s="18"/>
      <c r="D128" s="18"/>
      <c r="E128" s="18"/>
      <c r="F128" s="18"/>
      <c r="U128" s="11">
        <v>1</v>
      </c>
    </row>
    <row r="129" spans="1:21" x14ac:dyDescent="0.2">
      <c r="A129" s="18"/>
      <c r="B129" s="18"/>
      <c r="C129" s="18"/>
      <c r="D129" s="18"/>
      <c r="E129" s="18"/>
      <c r="F129" s="18"/>
      <c r="U129" s="11">
        <v>1</v>
      </c>
    </row>
    <row r="130" spans="1:21" x14ac:dyDescent="0.2">
      <c r="A130" s="18"/>
      <c r="B130" s="18"/>
      <c r="C130" s="18"/>
      <c r="D130" s="18"/>
      <c r="E130" s="18"/>
      <c r="F130" s="18"/>
    </row>
    <row r="131" spans="1:21" x14ac:dyDescent="0.2">
      <c r="A131" s="18"/>
      <c r="B131" s="18"/>
      <c r="C131" s="18"/>
      <c r="D131" s="18"/>
      <c r="E131" s="18"/>
      <c r="F131" s="18"/>
    </row>
    <row r="132" spans="1:21" x14ac:dyDescent="0.2">
      <c r="A132" s="18"/>
      <c r="B132" s="18"/>
      <c r="C132" s="18"/>
      <c r="D132" s="18"/>
      <c r="E132" s="18"/>
      <c r="F132" s="18"/>
    </row>
    <row r="133" spans="1:21" x14ac:dyDescent="0.2">
      <c r="A133" s="18"/>
      <c r="B133" s="18"/>
      <c r="C133" s="18"/>
      <c r="D133" s="18"/>
      <c r="E133" s="18"/>
      <c r="F133" s="18"/>
    </row>
    <row r="134" spans="1:21" x14ac:dyDescent="0.2">
      <c r="A134" s="18"/>
      <c r="B134" s="18"/>
      <c r="C134" s="18"/>
      <c r="D134" s="18"/>
      <c r="E134" s="18"/>
      <c r="F134" s="18"/>
    </row>
    <row r="135" spans="1:21" x14ac:dyDescent="0.2">
      <c r="A135" s="18"/>
      <c r="B135" s="18"/>
      <c r="C135" s="18"/>
      <c r="D135" s="18"/>
      <c r="E135" s="18"/>
      <c r="F135" s="18"/>
    </row>
    <row r="136" spans="1:21" x14ac:dyDescent="0.2">
      <c r="A136" s="18"/>
      <c r="B136" s="18"/>
      <c r="C136" s="18"/>
      <c r="D136" s="18"/>
      <c r="E136" s="18"/>
      <c r="F136" s="18"/>
    </row>
    <row r="137" spans="1:21" x14ac:dyDescent="0.2">
      <c r="A137" s="18"/>
      <c r="B137" s="18"/>
      <c r="C137" s="18"/>
      <c r="D137" s="18"/>
      <c r="E137" s="18"/>
      <c r="F137" s="18"/>
    </row>
    <row r="138" spans="1:21" x14ac:dyDescent="0.2">
      <c r="A138" s="18"/>
      <c r="B138" s="18"/>
      <c r="C138" s="18"/>
      <c r="D138" s="18"/>
      <c r="E138" s="18"/>
      <c r="F138" s="18"/>
    </row>
    <row r="139" spans="1:21" x14ac:dyDescent="0.2">
      <c r="A139" s="18"/>
      <c r="B139" s="18"/>
      <c r="C139" s="18"/>
      <c r="D139" s="18"/>
      <c r="E139" s="18"/>
      <c r="F139" s="18"/>
    </row>
    <row r="140" spans="1:21" x14ac:dyDescent="0.2">
      <c r="A140" s="18"/>
      <c r="B140" s="18"/>
      <c r="C140" s="18"/>
      <c r="D140" s="18"/>
      <c r="E140" s="18"/>
      <c r="F140" s="18"/>
    </row>
    <row r="141" spans="1:21" x14ac:dyDescent="0.2">
      <c r="A141" s="18"/>
      <c r="B141" s="18"/>
      <c r="C141" s="18"/>
      <c r="D141" s="18"/>
      <c r="E141" s="18"/>
      <c r="F141" s="18"/>
    </row>
    <row r="142" spans="1:21" x14ac:dyDescent="0.2">
      <c r="A142" s="18"/>
      <c r="B142" s="18"/>
      <c r="C142" s="18"/>
      <c r="D142" s="18"/>
      <c r="E142" s="18"/>
      <c r="F142" s="18"/>
    </row>
    <row r="143" spans="1:21" x14ac:dyDescent="0.2">
      <c r="A143" s="18"/>
      <c r="B143" s="18"/>
      <c r="C143" s="18"/>
      <c r="D143" s="18"/>
      <c r="E143" s="18"/>
      <c r="F143" s="18"/>
    </row>
    <row r="144" spans="1:21" x14ac:dyDescent="0.2">
      <c r="A144" s="18"/>
      <c r="B144" s="18"/>
      <c r="C144" s="18"/>
      <c r="D144" s="18"/>
      <c r="E144" s="18"/>
      <c r="F144" s="18"/>
    </row>
    <row r="145" spans="1:6" x14ac:dyDescent="0.2">
      <c r="A145" s="18"/>
      <c r="B145" s="18"/>
      <c r="C145" s="18"/>
      <c r="D145" s="18"/>
      <c r="E145" s="18"/>
      <c r="F145" s="18"/>
    </row>
    <row r="146" spans="1:6" x14ac:dyDescent="0.2">
      <c r="A146" s="18"/>
      <c r="B146" s="18"/>
      <c r="C146" s="18"/>
      <c r="D146" s="18"/>
      <c r="E146" s="18"/>
      <c r="F146" s="18"/>
    </row>
    <row r="147" spans="1:6" x14ac:dyDescent="0.2">
      <c r="A147" s="18"/>
      <c r="B147" s="18"/>
      <c r="C147" s="18"/>
      <c r="D147" s="18"/>
      <c r="E147" s="18"/>
      <c r="F147" s="18"/>
    </row>
    <row r="148" spans="1:6" x14ac:dyDescent="0.2">
      <c r="A148" s="18"/>
      <c r="B148" s="18"/>
      <c r="C148" s="18"/>
      <c r="D148" s="18"/>
      <c r="E148" s="18"/>
      <c r="F148" s="18"/>
    </row>
    <row r="149" spans="1:6" x14ac:dyDescent="0.2">
      <c r="A149" s="18"/>
      <c r="B149" s="18"/>
      <c r="C149" s="18"/>
      <c r="D149" s="18"/>
      <c r="E149" s="18"/>
      <c r="F149" s="18"/>
    </row>
    <row r="150" spans="1:6" x14ac:dyDescent="0.2">
      <c r="A150" s="18"/>
      <c r="B150" s="18"/>
      <c r="C150" s="18"/>
      <c r="D150" s="18"/>
      <c r="E150" s="18"/>
      <c r="F150" s="18"/>
    </row>
    <row r="151" spans="1:6" x14ac:dyDescent="0.2">
      <c r="A151" s="18"/>
      <c r="B151" s="18"/>
      <c r="C151" s="18"/>
      <c r="D151" s="18"/>
      <c r="E151" s="18"/>
      <c r="F151" s="18"/>
    </row>
    <row r="152" spans="1:6" x14ac:dyDescent="0.2">
      <c r="A152" s="18"/>
      <c r="B152" s="18"/>
      <c r="C152" s="18"/>
      <c r="D152" s="18"/>
      <c r="E152" s="18"/>
      <c r="F152" s="18"/>
    </row>
    <row r="153" spans="1:6" x14ac:dyDescent="0.2">
      <c r="A153" s="18"/>
      <c r="B153" s="18"/>
      <c r="C153" s="18"/>
      <c r="D153" s="18"/>
      <c r="E153" s="18"/>
      <c r="F153" s="18"/>
    </row>
    <row r="154" spans="1:6" x14ac:dyDescent="0.2">
      <c r="A154" s="18"/>
      <c r="B154" s="18"/>
      <c r="C154" s="18"/>
      <c r="D154" s="18"/>
      <c r="E154" s="18"/>
      <c r="F154" s="18"/>
    </row>
    <row r="155" spans="1:6" x14ac:dyDescent="0.2">
      <c r="A155" s="18"/>
      <c r="B155" s="18"/>
      <c r="C155" s="18"/>
      <c r="D155" s="18"/>
      <c r="E155" s="18"/>
      <c r="F155" s="18"/>
    </row>
    <row r="156" spans="1:6" x14ac:dyDescent="0.2">
      <c r="A156" s="18"/>
      <c r="B156" s="18"/>
      <c r="C156" s="18"/>
      <c r="D156" s="18"/>
      <c r="E156" s="18"/>
      <c r="F156" s="18"/>
    </row>
    <row r="157" spans="1:6" x14ac:dyDescent="0.2">
      <c r="A157" s="18"/>
      <c r="B157" s="18"/>
      <c r="C157" s="18"/>
      <c r="D157" s="18"/>
      <c r="E157" s="18"/>
      <c r="F157" s="18"/>
    </row>
    <row r="158" spans="1:6" x14ac:dyDescent="0.2">
      <c r="A158" s="18"/>
      <c r="B158" s="18"/>
      <c r="C158" s="18"/>
      <c r="D158" s="18"/>
      <c r="E158" s="18"/>
      <c r="F158" s="18"/>
    </row>
    <row r="159" spans="1:6" x14ac:dyDescent="0.2">
      <c r="A159" s="18"/>
      <c r="B159" s="18"/>
      <c r="C159" s="18"/>
      <c r="D159" s="18"/>
      <c r="E159" s="18"/>
      <c r="F159" s="18"/>
    </row>
    <row r="160" spans="1:6" x14ac:dyDescent="0.2">
      <c r="A160" s="18"/>
      <c r="B160" s="18"/>
      <c r="C160" s="18"/>
      <c r="D160" s="18"/>
      <c r="E160" s="18"/>
      <c r="F160" s="18"/>
    </row>
    <row r="161" spans="1:6" x14ac:dyDescent="0.2">
      <c r="A161" s="18"/>
      <c r="B161" s="18"/>
      <c r="C161" s="18"/>
      <c r="D161" s="18"/>
      <c r="E161" s="18"/>
      <c r="F161" s="18"/>
    </row>
    <row r="162" spans="1:6" x14ac:dyDescent="0.2">
      <c r="A162" s="18"/>
      <c r="B162" s="18"/>
      <c r="C162" s="18"/>
      <c r="D162" s="18"/>
      <c r="E162" s="18"/>
      <c r="F162" s="18"/>
    </row>
    <row r="163" spans="1:6" x14ac:dyDescent="0.2">
      <c r="A163" s="18"/>
      <c r="B163" s="18"/>
      <c r="C163" s="18"/>
      <c r="D163" s="18"/>
      <c r="E163" s="18"/>
      <c r="F163" s="18"/>
    </row>
    <row r="164" spans="1:6" x14ac:dyDescent="0.2">
      <c r="A164" s="18"/>
      <c r="B164" s="18"/>
      <c r="C164" s="18"/>
      <c r="D164" s="18"/>
      <c r="E164" s="18"/>
      <c r="F164" s="18"/>
    </row>
    <row r="165" spans="1:6" x14ac:dyDescent="0.2">
      <c r="A165" s="18"/>
      <c r="B165" s="18"/>
      <c r="C165" s="18"/>
      <c r="D165" s="18"/>
      <c r="E165" s="18"/>
      <c r="F165" s="18"/>
    </row>
    <row r="166" spans="1:6" x14ac:dyDescent="0.2">
      <c r="A166" s="18"/>
      <c r="B166" s="18"/>
      <c r="C166" s="18"/>
      <c r="D166" s="18"/>
      <c r="E166" s="18"/>
      <c r="F166" s="18"/>
    </row>
    <row r="167" spans="1:6" x14ac:dyDescent="0.2">
      <c r="A167" s="18"/>
      <c r="B167" s="18"/>
      <c r="C167" s="18"/>
      <c r="D167" s="18"/>
      <c r="E167" s="18"/>
      <c r="F167" s="18"/>
    </row>
    <row r="168" spans="1:6" x14ac:dyDescent="0.2">
      <c r="A168" s="18"/>
      <c r="B168" s="18"/>
      <c r="C168" s="18"/>
      <c r="D168" s="18"/>
      <c r="E168" s="18"/>
      <c r="F168" s="18"/>
    </row>
    <row r="169" spans="1:6" x14ac:dyDescent="0.2">
      <c r="A169" s="18"/>
      <c r="B169" s="18"/>
      <c r="C169" s="18"/>
      <c r="D169" s="18"/>
      <c r="E169" s="18"/>
      <c r="F169" s="18"/>
    </row>
    <row r="170" spans="1:6" x14ac:dyDescent="0.2">
      <c r="A170" s="18"/>
      <c r="B170" s="18"/>
      <c r="C170" s="18"/>
      <c r="D170" s="18"/>
      <c r="E170" s="18"/>
      <c r="F170" s="18"/>
    </row>
    <row r="171" spans="1:6" x14ac:dyDescent="0.2">
      <c r="A171" s="18"/>
      <c r="B171" s="18"/>
      <c r="C171" s="18"/>
      <c r="D171" s="18"/>
      <c r="E171" s="18"/>
      <c r="F171" s="18"/>
    </row>
    <row r="172" spans="1:6" x14ac:dyDescent="0.2">
      <c r="A172" s="18"/>
      <c r="B172" s="18"/>
      <c r="C172" s="18"/>
      <c r="D172" s="18"/>
      <c r="E172" s="18"/>
      <c r="F172" s="18"/>
    </row>
    <row r="173" spans="1:6" x14ac:dyDescent="0.2">
      <c r="A173" s="18"/>
      <c r="B173" s="18"/>
      <c r="C173" s="18"/>
      <c r="D173" s="18"/>
      <c r="E173" s="18"/>
      <c r="F173" s="18"/>
    </row>
    <row r="174" spans="1:6" x14ac:dyDescent="0.2">
      <c r="A174" s="18"/>
      <c r="B174" s="18"/>
      <c r="C174" s="18"/>
      <c r="D174" s="18"/>
      <c r="E174" s="18"/>
      <c r="F174" s="18"/>
    </row>
    <row r="175" spans="1:6" x14ac:dyDescent="0.2">
      <c r="A175" s="18"/>
      <c r="B175" s="18"/>
      <c r="C175" s="18"/>
      <c r="D175" s="18"/>
      <c r="E175" s="18"/>
      <c r="F175" s="18"/>
    </row>
    <row r="176" spans="1:6" x14ac:dyDescent="0.2">
      <c r="A176" s="18"/>
      <c r="B176" s="18"/>
      <c r="C176" s="18"/>
      <c r="D176" s="18"/>
      <c r="E176" s="18"/>
      <c r="F176" s="18"/>
    </row>
    <row r="177" spans="1:6" x14ac:dyDescent="0.2">
      <c r="A177" s="18"/>
      <c r="B177" s="18"/>
      <c r="C177" s="18"/>
      <c r="D177" s="18"/>
      <c r="E177" s="18"/>
      <c r="F177" s="18"/>
    </row>
    <row r="178" spans="1:6" x14ac:dyDescent="0.2">
      <c r="A178" s="18"/>
      <c r="B178" s="18"/>
      <c r="C178" s="18"/>
      <c r="D178" s="18"/>
      <c r="E178" s="18"/>
      <c r="F178" s="18"/>
    </row>
    <row r="179" spans="1:6" x14ac:dyDescent="0.2">
      <c r="A179" s="18"/>
      <c r="B179" s="18"/>
      <c r="C179" s="18"/>
      <c r="D179" s="18"/>
      <c r="E179" s="18"/>
      <c r="F179" s="18"/>
    </row>
    <row r="180" spans="1:6" x14ac:dyDescent="0.2">
      <c r="A180" s="18"/>
      <c r="B180" s="18"/>
      <c r="C180" s="18"/>
      <c r="D180" s="18"/>
      <c r="E180" s="18"/>
      <c r="F180" s="18"/>
    </row>
    <row r="181" spans="1:6" x14ac:dyDescent="0.2">
      <c r="A181" s="18"/>
      <c r="B181" s="18"/>
      <c r="C181" s="18"/>
      <c r="D181" s="18"/>
      <c r="E181" s="18"/>
      <c r="F181" s="18"/>
    </row>
    <row r="182" spans="1:6" x14ac:dyDescent="0.2">
      <c r="A182" s="18"/>
      <c r="B182" s="18"/>
      <c r="C182" s="18"/>
      <c r="D182" s="18"/>
      <c r="E182" s="18"/>
      <c r="F182" s="18"/>
    </row>
    <row r="183" spans="1:6" x14ac:dyDescent="0.2">
      <c r="A183" s="18"/>
      <c r="B183" s="18"/>
      <c r="C183" s="18"/>
      <c r="D183" s="18"/>
      <c r="E183" s="18"/>
      <c r="F183" s="18"/>
    </row>
    <row r="184" spans="1:6" x14ac:dyDescent="0.2">
      <c r="A184" s="18"/>
      <c r="B184" s="18"/>
      <c r="C184" s="18"/>
      <c r="D184" s="18"/>
      <c r="E184" s="18"/>
      <c r="F184" s="18"/>
    </row>
    <row r="185" spans="1:6" x14ac:dyDescent="0.2">
      <c r="A185" s="18"/>
      <c r="B185" s="18"/>
      <c r="C185" s="18"/>
      <c r="D185" s="18"/>
      <c r="E185" s="18"/>
      <c r="F185" s="18"/>
    </row>
    <row r="186" spans="1:6" x14ac:dyDescent="0.2">
      <c r="A186" s="18"/>
      <c r="B186" s="18"/>
      <c r="C186" s="18"/>
      <c r="D186" s="18"/>
      <c r="E186" s="18"/>
      <c r="F186" s="18"/>
    </row>
    <row r="187" spans="1:6" x14ac:dyDescent="0.2">
      <c r="A187" s="18"/>
      <c r="B187" s="18"/>
      <c r="C187" s="18"/>
      <c r="D187" s="18"/>
      <c r="E187" s="18"/>
      <c r="F187" s="18"/>
    </row>
    <row r="706" spans="8:8" x14ac:dyDescent="0.2">
      <c r="H706" s="90" t="s">
        <v>144</v>
      </c>
    </row>
    <row r="707" spans="8:8" x14ac:dyDescent="0.2">
      <c r="H707" s="90" t="s">
        <v>145</v>
      </c>
    </row>
    <row r="708" spans="8:8" x14ac:dyDescent="0.2">
      <c r="H708" s="90" t="s">
        <v>146</v>
      </c>
    </row>
    <row r="709" spans="8:8" x14ac:dyDescent="0.2">
      <c r="H709" s="90" t="s">
        <v>147</v>
      </c>
    </row>
    <row r="710" spans="8:8" x14ac:dyDescent="0.2">
      <c r="H710" s="90" t="s">
        <v>148</v>
      </c>
    </row>
    <row r="711" spans="8:8" x14ac:dyDescent="0.2">
      <c r="H711" s="90" t="s">
        <v>149</v>
      </c>
    </row>
    <row r="712" spans="8:8" x14ac:dyDescent="0.2">
      <c r="H712" s="90" t="s">
        <v>150</v>
      </c>
    </row>
    <row r="1275" spans="8:8" hidden="1" x14ac:dyDescent="0.2"/>
    <row r="1276" spans="8:8" x14ac:dyDescent="0.2">
      <c r="H1276" s="90" t="s">
        <v>16</v>
      </c>
    </row>
    <row r="1278" spans="8:8" x14ac:dyDescent="0.2">
      <c r="H1278" s="90" t="s">
        <v>17</v>
      </c>
    </row>
    <row r="1279" spans="8:8" x14ac:dyDescent="0.2">
      <c r="H1279" s="91"/>
    </row>
    <row r="1289" spans="8:8" x14ac:dyDescent="0.2">
      <c r="H1289" s="90" t="s">
        <v>18</v>
      </c>
    </row>
    <row r="1492" spans="8:9" x14ac:dyDescent="0.2">
      <c r="H1492" s="91"/>
    </row>
    <row r="1493" spans="8:9" x14ac:dyDescent="0.2">
      <c r="H1493" s="91"/>
    </row>
    <row r="1494" spans="8:9" x14ac:dyDescent="0.2">
      <c r="H1494" s="91"/>
    </row>
    <row r="1495" spans="8:9" x14ac:dyDescent="0.2">
      <c r="H1495" s="91"/>
    </row>
    <row r="1496" spans="8:9" x14ac:dyDescent="0.2">
      <c r="H1496" s="91"/>
      <c r="I1496" s="18" t="s">
        <v>19</v>
      </c>
    </row>
    <row r="1497" spans="8:9" x14ac:dyDescent="0.2">
      <c r="H1497" s="91"/>
    </row>
    <row r="1498" spans="8:9" x14ac:dyDescent="0.2">
      <c r="H1498" s="91"/>
    </row>
    <row r="1499" spans="8:9" x14ac:dyDescent="0.2">
      <c r="H1499" s="91"/>
    </row>
    <row r="1500" spans="8:9" x14ac:dyDescent="0.2">
      <c r="H1500" s="91"/>
    </row>
    <row r="1501" spans="8:9" x14ac:dyDescent="0.2">
      <c r="H1501" s="91"/>
    </row>
    <row r="1502" spans="8:9" x14ac:dyDescent="0.2">
      <c r="H1502" s="91"/>
    </row>
    <row r="1503" spans="8:9" x14ac:dyDescent="0.2">
      <c r="H1503" s="91"/>
    </row>
    <row r="1504" spans="8:9" x14ac:dyDescent="0.2">
      <c r="H1504" s="91"/>
    </row>
    <row r="1512" spans="8:8" x14ac:dyDescent="0.2">
      <c r="H1512" s="90" t="s">
        <v>21</v>
      </c>
    </row>
    <row r="1513" spans="8:8" x14ac:dyDescent="0.2">
      <c r="H1513" s="90" t="s">
        <v>20</v>
      </c>
    </row>
    <row r="1514" spans="8:8" x14ac:dyDescent="0.2">
      <c r="H1514" s="90" t="s">
        <v>22</v>
      </c>
    </row>
    <row r="1515" spans="8:8" x14ac:dyDescent="0.2">
      <c r="H1515" s="90" t="s">
        <v>23</v>
      </c>
    </row>
    <row r="1516" spans="8:8" x14ac:dyDescent="0.2">
      <c r="H1516" s="92" t="s">
        <v>24</v>
      </c>
    </row>
    <row r="1570" spans="8:8" x14ac:dyDescent="0.2">
      <c r="H1570" s="90" t="s">
        <v>26</v>
      </c>
    </row>
    <row r="1571" spans="8:8" x14ac:dyDescent="0.2">
      <c r="H1571" s="90" t="s">
        <v>27</v>
      </c>
    </row>
    <row r="1572" spans="8:8" x14ac:dyDescent="0.2">
      <c r="H1572" s="90" t="s">
        <v>28</v>
      </c>
    </row>
    <row r="1573" spans="8:8" x14ac:dyDescent="0.2">
      <c r="H1573" s="90" t="s">
        <v>29</v>
      </c>
    </row>
    <row r="1574" spans="8:8" x14ac:dyDescent="0.2">
      <c r="H1574" s="90" t="s">
        <v>30</v>
      </c>
    </row>
    <row r="1575" spans="8:8" x14ac:dyDescent="0.2">
      <c r="H1575" s="90" t="s">
        <v>31</v>
      </c>
    </row>
    <row r="1576" spans="8:8" x14ac:dyDescent="0.2">
      <c r="H1576" s="90" t="s">
        <v>32</v>
      </c>
    </row>
    <row r="1577" spans="8:8" x14ac:dyDescent="0.2">
      <c r="H1577" s="90" t="s">
        <v>33</v>
      </c>
    </row>
    <row r="1578" spans="8:8" x14ac:dyDescent="0.2">
      <c r="H1578" s="90" t="s">
        <v>34</v>
      </c>
    </row>
    <row r="1581" spans="8:8" x14ac:dyDescent="0.2">
      <c r="H1581" s="90" t="s">
        <v>25</v>
      </c>
    </row>
    <row r="1582" spans="8:8" x14ac:dyDescent="0.2">
      <c r="H1582" s="90" t="s">
        <v>35</v>
      </c>
    </row>
    <row r="1583" spans="8:8" x14ac:dyDescent="0.2">
      <c r="H1583" s="90" t="s">
        <v>36</v>
      </c>
    </row>
    <row r="1584" spans="8:8" x14ac:dyDescent="0.2">
      <c r="H1584" s="90" t="s">
        <v>267</v>
      </c>
    </row>
    <row r="1585" spans="8:8" x14ac:dyDescent="0.2">
      <c r="H1585" s="90" t="s">
        <v>37</v>
      </c>
    </row>
    <row r="1586" spans="8:8" x14ac:dyDescent="0.2">
      <c r="H1586" s="90" t="s">
        <v>38</v>
      </c>
    </row>
    <row r="1587" spans="8:8" x14ac:dyDescent="0.2">
      <c r="H1587" s="90" t="s">
        <v>39</v>
      </c>
    </row>
    <row r="1588" spans="8:8" x14ac:dyDescent="0.2">
      <c r="H1588" s="90" t="s">
        <v>40</v>
      </c>
    </row>
    <row r="1589" spans="8:8" x14ac:dyDescent="0.2">
      <c r="H1589" s="90" t="s">
        <v>41</v>
      </c>
    </row>
    <row r="1590" spans="8:8" x14ac:dyDescent="0.2">
      <c r="H1590" s="90" t="s">
        <v>42</v>
      </c>
    </row>
    <row r="1591" spans="8:8" x14ac:dyDescent="0.2">
      <c r="H1591" s="90" t="s">
        <v>42</v>
      </c>
    </row>
    <row r="1592" spans="8:8" x14ac:dyDescent="0.2">
      <c r="H1592" s="90" t="s">
        <v>43</v>
      </c>
    </row>
    <row r="1593" spans="8:8" x14ac:dyDescent="0.2">
      <c r="H1593" s="90" t="s">
        <v>44</v>
      </c>
    </row>
    <row r="1594" spans="8:8" x14ac:dyDescent="0.2">
      <c r="H1594" s="90" t="s">
        <v>45</v>
      </c>
    </row>
    <row r="1595" spans="8:8" x14ac:dyDescent="0.2">
      <c r="H1595" s="90" t="s">
        <v>46</v>
      </c>
    </row>
    <row r="1596" spans="8:8" x14ac:dyDescent="0.2">
      <c r="H1596" s="90" t="s">
        <v>46</v>
      </c>
    </row>
    <row r="1598" spans="8:8" x14ac:dyDescent="0.2">
      <c r="H1598" s="90" t="s">
        <v>47</v>
      </c>
    </row>
    <row r="1599" spans="8:8" x14ac:dyDescent="0.2">
      <c r="H1599" s="90" t="s">
        <v>48</v>
      </c>
    </row>
    <row r="1600" spans="8:8" x14ac:dyDescent="0.2">
      <c r="H1600" s="90" t="s">
        <v>49</v>
      </c>
    </row>
    <row r="1601" spans="8:8" x14ac:dyDescent="0.2">
      <c r="H1601" s="90" t="s">
        <v>264</v>
      </c>
    </row>
    <row r="1602" spans="8:8" x14ac:dyDescent="0.2">
      <c r="H1602" s="90" t="s">
        <v>265</v>
      </c>
    </row>
    <row r="1604" spans="8:8" x14ac:dyDescent="0.2">
      <c r="H1604" s="90" t="s">
        <v>50</v>
      </c>
    </row>
    <row r="1605" spans="8:8" x14ac:dyDescent="0.2">
      <c r="H1605" s="90" t="s">
        <v>51</v>
      </c>
    </row>
    <row r="1606" spans="8:8" x14ac:dyDescent="0.2">
      <c r="H1606" s="90" t="s">
        <v>52</v>
      </c>
    </row>
    <row r="1607" spans="8:8" x14ac:dyDescent="0.2">
      <c r="H1607" s="90" t="s">
        <v>53</v>
      </c>
    </row>
    <row r="1608" spans="8:8" x14ac:dyDescent="0.2">
      <c r="H1608" s="90" t="s">
        <v>54</v>
      </c>
    </row>
    <row r="1609" spans="8:8" x14ac:dyDescent="0.2">
      <c r="H1609" s="90" t="s">
        <v>55</v>
      </c>
    </row>
    <row r="1610" spans="8:8" x14ac:dyDescent="0.2">
      <c r="H1610" s="90" t="s">
        <v>56</v>
      </c>
    </row>
    <row r="1611" spans="8:8" x14ac:dyDescent="0.2">
      <c r="H1611" s="90" t="s">
        <v>57</v>
      </c>
    </row>
    <row r="1612" spans="8:8" x14ac:dyDescent="0.2">
      <c r="H1612" s="90" t="s">
        <v>57</v>
      </c>
    </row>
    <row r="1613" spans="8:8" x14ac:dyDescent="0.2">
      <c r="H1613" s="90" t="s">
        <v>58</v>
      </c>
    </row>
    <row r="1614" spans="8:8" x14ac:dyDescent="0.2">
      <c r="H1614" s="90" t="s">
        <v>59</v>
      </c>
    </row>
    <row r="1615" spans="8:8" x14ac:dyDescent="0.2">
      <c r="H1615" s="90" t="s">
        <v>60</v>
      </c>
    </row>
    <row r="1616" spans="8:8" x14ac:dyDescent="0.2">
      <c r="H1616" s="90" t="s">
        <v>61</v>
      </c>
    </row>
    <row r="1617" spans="8:8" x14ac:dyDescent="0.2">
      <c r="H1617" s="90" t="s">
        <v>62</v>
      </c>
    </row>
    <row r="1619" spans="8:8" x14ac:dyDescent="0.2">
      <c r="H1619" s="90" t="s">
        <v>63</v>
      </c>
    </row>
    <row r="1620" spans="8:8" x14ac:dyDescent="0.2">
      <c r="H1620" s="90" t="s">
        <v>64</v>
      </c>
    </row>
    <row r="1621" spans="8:8" x14ac:dyDescent="0.2">
      <c r="H1621" s="90" t="s">
        <v>65</v>
      </c>
    </row>
    <row r="1622" spans="8:8" x14ac:dyDescent="0.2">
      <c r="H1622" s="90" t="s">
        <v>66</v>
      </c>
    </row>
    <row r="1623" spans="8:8" x14ac:dyDescent="0.2">
      <c r="H1623" s="90" t="s">
        <v>67</v>
      </c>
    </row>
    <row r="1624" spans="8:8" x14ac:dyDescent="0.2">
      <c r="H1624" s="90" t="s">
        <v>68</v>
      </c>
    </row>
    <row r="1625" spans="8:8" x14ac:dyDescent="0.2">
      <c r="H1625" s="90" t="s">
        <v>69</v>
      </c>
    </row>
    <row r="1626" spans="8:8" x14ac:dyDescent="0.2">
      <c r="H1626" s="90" t="s">
        <v>70</v>
      </c>
    </row>
    <row r="1628" spans="8:8" x14ac:dyDescent="0.2">
      <c r="H1628" s="90" t="s">
        <v>71</v>
      </c>
    </row>
    <row r="1629" spans="8:8" x14ac:dyDescent="0.2">
      <c r="H1629" s="90" t="s">
        <v>72</v>
      </c>
    </row>
    <row r="1630" spans="8:8" x14ac:dyDescent="0.2">
      <c r="H1630" s="90" t="s">
        <v>73</v>
      </c>
    </row>
    <row r="1631" spans="8:8" x14ac:dyDescent="0.2">
      <c r="H1631" s="90" t="s">
        <v>74</v>
      </c>
    </row>
    <row r="1632" spans="8:8" x14ac:dyDescent="0.2">
      <c r="H1632" s="90" t="s">
        <v>74</v>
      </c>
    </row>
    <row r="1633" spans="8:8" x14ac:dyDescent="0.2">
      <c r="H1633" s="90" t="s">
        <v>75</v>
      </c>
    </row>
    <row r="1634" spans="8:8" x14ac:dyDescent="0.2">
      <c r="H1634" s="90" t="s">
        <v>76</v>
      </c>
    </row>
    <row r="1635" spans="8:8" x14ac:dyDescent="0.2">
      <c r="H1635" s="90" t="s">
        <v>77</v>
      </c>
    </row>
    <row r="1636" spans="8:8" x14ac:dyDescent="0.2">
      <c r="H1636" s="90" t="s">
        <v>78</v>
      </c>
    </row>
    <row r="1637" spans="8:8" x14ac:dyDescent="0.2">
      <c r="H1637" s="90" t="s">
        <v>79</v>
      </c>
    </row>
    <row r="1638" spans="8:8" x14ac:dyDescent="0.2">
      <c r="H1638" s="90" t="s">
        <v>80</v>
      </c>
    </row>
    <row r="1639" spans="8:8" x14ac:dyDescent="0.2">
      <c r="H1639" s="90" t="s">
        <v>81</v>
      </c>
    </row>
    <row r="1640" spans="8:8" x14ac:dyDescent="0.2">
      <c r="H1640" s="90" t="s">
        <v>82</v>
      </c>
    </row>
    <row r="1641" spans="8:8" x14ac:dyDescent="0.2">
      <c r="H1641" s="90" t="s">
        <v>83</v>
      </c>
    </row>
    <row r="1642" spans="8:8" x14ac:dyDescent="0.2">
      <c r="H1642" s="90" t="s">
        <v>84</v>
      </c>
    </row>
    <row r="1643" spans="8:8" x14ac:dyDescent="0.2">
      <c r="H1643" s="90" t="s">
        <v>85</v>
      </c>
    </row>
    <row r="1645" spans="8:8" x14ac:dyDescent="0.2">
      <c r="H1645" s="90" t="s">
        <v>86</v>
      </c>
    </row>
    <row r="1646" spans="8:8" x14ac:dyDescent="0.2">
      <c r="H1646" s="90" t="s">
        <v>87</v>
      </c>
    </row>
    <row r="1647" spans="8:8" x14ac:dyDescent="0.2">
      <c r="H1647" s="90" t="s">
        <v>88</v>
      </c>
    </row>
    <row r="1648" spans="8:8" x14ac:dyDescent="0.2">
      <c r="H1648" s="90" t="s">
        <v>89</v>
      </c>
    </row>
    <row r="1649" spans="8:8" x14ac:dyDescent="0.2">
      <c r="H1649" s="90" t="s">
        <v>90</v>
      </c>
    </row>
    <row r="1650" spans="8:8" x14ac:dyDescent="0.2">
      <c r="H1650" s="90" t="s">
        <v>91</v>
      </c>
    </row>
    <row r="1651" spans="8:8" x14ac:dyDescent="0.2">
      <c r="H1651" s="90" t="s">
        <v>92</v>
      </c>
    </row>
    <row r="1652" spans="8:8" x14ac:dyDescent="0.2">
      <c r="H1652" s="90" t="s">
        <v>93</v>
      </c>
    </row>
    <row r="1654" spans="8:8" x14ac:dyDescent="0.2">
      <c r="H1654" s="90" t="s">
        <v>94</v>
      </c>
    </row>
    <row r="1655" spans="8:8" x14ac:dyDescent="0.2">
      <c r="H1655" s="90" t="s">
        <v>95</v>
      </c>
    </row>
    <row r="1656" spans="8:8" x14ac:dyDescent="0.2">
      <c r="H1656" s="90" t="s">
        <v>96</v>
      </c>
    </row>
    <row r="1657" spans="8:8" x14ac:dyDescent="0.2">
      <c r="H1657" s="90" t="s">
        <v>97</v>
      </c>
    </row>
    <row r="1658" spans="8:8" x14ac:dyDescent="0.2">
      <c r="H1658" s="90" t="s">
        <v>98</v>
      </c>
    </row>
    <row r="1659" spans="8:8" x14ac:dyDescent="0.2">
      <c r="H1659" s="90" t="s">
        <v>99</v>
      </c>
    </row>
    <row r="1660" spans="8:8" x14ac:dyDescent="0.2">
      <c r="H1660" s="90" t="s">
        <v>100</v>
      </c>
    </row>
    <row r="1661" spans="8:8" x14ac:dyDescent="0.2">
      <c r="H1661" s="90" t="s">
        <v>101</v>
      </c>
    </row>
    <row r="1662" spans="8:8" x14ac:dyDescent="0.2">
      <c r="H1662" s="90" t="s">
        <v>102</v>
      </c>
    </row>
    <row r="1663" spans="8:8" x14ac:dyDescent="0.2">
      <c r="H1663" s="90" t="s">
        <v>103</v>
      </c>
    </row>
    <row r="1664" spans="8:8" x14ac:dyDescent="0.2">
      <c r="H1664" s="90" t="s">
        <v>104</v>
      </c>
    </row>
    <row r="1665" spans="8:8" x14ac:dyDescent="0.2">
      <c r="H1665" s="90" t="s">
        <v>105</v>
      </c>
    </row>
    <row r="1666" spans="8:8" x14ac:dyDescent="0.2">
      <c r="H1666" s="90" t="s">
        <v>106</v>
      </c>
    </row>
    <row r="1667" spans="8:8" x14ac:dyDescent="0.2">
      <c r="H1667" s="90" t="s">
        <v>107</v>
      </c>
    </row>
    <row r="1668" spans="8:8" x14ac:dyDescent="0.2">
      <c r="H1668" s="90" t="s">
        <v>108</v>
      </c>
    </row>
    <row r="1669" spans="8:8" x14ac:dyDescent="0.2">
      <c r="H1669" s="90" t="s">
        <v>109</v>
      </c>
    </row>
    <row r="1670" spans="8:8" x14ac:dyDescent="0.2">
      <c r="H1670" s="90" t="s">
        <v>110</v>
      </c>
    </row>
    <row r="1671" spans="8:8" x14ac:dyDescent="0.2">
      <c r="H1671" s="90" t="s">
        <v>111</v>
      </c>
    </row>
    <row r="1672" spans="8:8" x14ac:dyDescent="0.2">
      <c r="H1672" s="90" t="s">
        <v>112</v>
      </c>
    </row>
    <row r="1673" spans="8:8" x14ac:dyDescent="0.2">
      <c r="H1673" s="90" t="s">
        <v>113</v>
      </c>
    </row>
    <row r="1674" spans="8:8" x14ac:dyDescent="0.2">
      <c r="H1674" s="90" t="s">
        <v>114</v>
      </c>
    </row>
    <row r="1675" spans="8:8" x14ac:dyDescent="0.2">
      <c r="H1675" s="90" t="s">
        <v>115</v>
      </c>
    </row>
    <row r="1676" spans="8:8" x14ac:dyDescent="0.2">
      <c r="H1676" s="90" t="s">
        <v>116</v>
      </c>
    </row>
    <row r="1677" spans="8:8" x14ac:dyDescent="0.2">
      <c r="H1677" s="90" t="s">
        <v>117</v>
      </c>
    </row>
    <row r="1678" spans="8:8" x14ac:dyDescent="0.2">
      <c r="H1678" s="90" t="s">
        <v>118</v>
      </c>
    </row>
    <row r="1679" spans="8:8" x14ac:dyDescent="0.2">
      <c r="H1679" s="90" t="s">
        <v>119</v>
      </c>
    </row>
    <row r="1680" spans="8:8" x14ac:dyDescent="0.2">
      <c r="H1680" s="90" t="s">
        <v>120</v>
      </c>
    </row>
    <row r="1681" spans="8:8" x14ac:dyDescent="0.2">
      <c r="H1681" s="90" t="s">
        <v>121</v>
      </c>
    </row>
    <row r="1682" spans="8:8" x14ac:dyDescent="0.2">
      <c r="H1682" s="90" t="s">
        <v>122</v>
      </c>
    </row>
    <row r="1683" spans="8:8" x14ac:dyDescent="0.2">
      <c r="H1683" s="90" t="s">
        <v>123</v>
      </c>
    </row>
    <row r="1684" spans="8:8" x14ac:dyDescent="0.2">
      <c r="H1684" s="90" t="s">
        <v>124</v>
      </c>
    </row>
    <row r="1685" spans="8:8" x14ac:dyDescent="0.2">
      <c r="H1685" s="90" t="s">
        <v>125</v>
      </c>
    </row>
    <row r="1686" spans="8:8" x14ac:dyDescent="0.2">
      <c r="H1686" s="90" t="s">
        <v>126</v>
      </c>
    </row>
    <row r="1687" spans="8:8" x14ac:dyDescent="0.2">
      <c r="H1687" s="90" t="s">
        <v>127</v>
      </c>
    </row>
    <row r="1688" spans="8:8" x14ac:dyDescent="0.2">
      <c r="H1688" s="90" t="s">
        <v>128</v>
      </c>
    </row>
    <row r="1689" spans="8:8" x14ac:dyDescent="0.2">
      <c r="H1689" s="90" t="s">
        <v>129</v>
      </c>
    </row>
    <row r="1690" spans="8:8" x14ac:dyDescent="0.2">
      <c r="H1690" s="90" t="s">
        <v>130</v>
      </c>
    </row>
    <row r="1691" spans="8:8" x14ac:dyDescent="0.2">
      <c r="H1691" s="90" t="s">
        <v>131</v>
      </c>
    </row>
    <row r="1692" spans="8:8" x14ac:dyDescent="0.2">
      <c r="H1692" s="90" t="s">
        <v>132</v>
      </c>
    </row>
    <row r="1693" spans="8:8" x14ac:dyDescent="0.2">
      <c r="H1693" s="90" t="s">
        <v>133</v>
      </c>
    </row>
    <row r="1694" spans="8:8" x14ac:dyDescent="0.2">
      <c r="H1694" s="90" t="s">
        <v>134</v>
      </c>
    </row>
    <row r="1695" spans="8:8" x14ac:dyDescent="0.2">
      <c r="H1695" s="90" t="s">
        <v>135</v>
      </c>
    </row>
    <row r="1696" spans="8:8" x14ac:dyDescent="0.2">
      <c r="H1696" s="90" t="s">
        <v>136</v>
      </c>
    </row>
    <row r="1697" spans="8:8" x14ac:dyDescent="0.2">
      <c r="H1697" s="90" t="s">
        <v>137</v>
      </c>
    </row>
    <row r="1698" spans="8:8" x14ac:dyDescent="0.2">
      <c r="H1698" s="90" t="s">
        <v>138</v>
      </c>
    </row>
    <row r="1699" spans="8:8" x14ac:dyDescent="0.2">
      <c r="H1699" s="90" t="s">
        <v>139</v>
      </c>
    </row>
    <row r="1700" spans="8:8" x14ac:dyDescent="0.2">
      <c r="H1700" s="90" t="s">
        <v>140</v>
      </c>
    </row>
    <row r="1701" spans="8:8" x14ac:dyDescent="0.2">
      <c r="H1701" s="90" t="s">
        <v>141</v>
      </c>
    </row>
    <row r="1702" spans="8:8" x14ac:dyDescent="0.2">
      <c r="H1702" s="93" t="s">
        <v>8</v>
      </c>
    </row>
    <row r="1703" spans="8:8" x14ac:dyDescent="0.2">
      <c r="H1703" s="94"/>
    </row>
    <row r="1704" spans="8:8" x14ac:dyDescent="0.2">
      <c r="H1704" s="94"/>
    </row>
    <row r="1705" spans="8:8" x14ac:dyDescent="0.2">
      <c r="H1705" s="94"/>
    </row>
    <row r="1706" spans="8:8" x14ac:dyDescent="0.2">
      <c r="H1706" s="94"/>
    </row>
    <row r="1707" spans="8:8" x14ac:dyDescent="0.2">
      <c r="H1707" s="94"/>
    </row>
    <row r="1708" spans="8:8" x14ac:dyDescent="0.2">
      <c r="H1708" s="94"/>
    </row>
    <row r="1709" spans="8:8" x14ac:dyDescent="0.2">
      <c r="H1709" s="94"/>
    </row>
    <row r="1710" spans="8:8" x14ac:dyDescent="0.2">
      <c r="H1710" s="94"/>
    </row>
    <row r="1711" spans="8:8" x14ac:dyDescent="0.2">
      <c r="H1711" s="94"/>
    </row>
    <row r="1712" spans="8:8" x14ac:dyDescent="0.2">
      <c r="H1712" s="94"/>
    </row>
    <row r="1713" spans="8:8" x14ac:dyDescent="0.2">
      <c r="H1713" s="94"/>
    </row>
    <row r="1714" spans="8:8" x14ac:dyDescent="0.2">
      <c r="H1714" s="94"/>
    </row>
    <row r="1715" spans="8:8" x14ac:dyDescent="0.2">
      <c r="H1715" s="94"/>
    </row>
    <row r="1716" spans="8:8" x14ac:dyDescent="0.2">
      <c r="H1716" s="94"/>
    </row>
    <row r="1717" spans="8:8" x14ac:dyDescent="0.2">
      <c r="H1717" s="94"/>
    </row>
    <row r="1718" spans="8:8" x14ac:dyDescent="0.2">
      <c r="H1718" s="94"/>
    </row>
    <row r="1719" spans="8:8" x14ac:dyDescent="0.2">
      <c r="H1719" s="94"/>
    </row>
    <row r="1720" spans="8:8" x14ac:dyDescent="0.2">
      <c r="H1720" s="94"/>
    </row>
    <row r="1721" spans="8:8" x14ac:dyDescent="0.2">
      <c r="H1721" s="94"/>
    </row>
    <row r="1722" spans="8:8" x14ac:dyDescent="0.2">
      <c r="H1722" s="94"/>
    </row>
    <row r="1723" spans="8:8" x14ac:dyDescent="0.2">
      <c r="H1723" s="94"/>
    </row>
    <row r="1724" spans="8:8" x14ac:dyDescent="0.2">
      <c r="H1724" s="94"/>
    </row>
    <row r="1725" spans="8:8" x14ac:dyDescent="0.2">
      <c r="H1725" s="94"/>
    </row>
    <row r="1726" spans="8:8" x14ac:dyDescent="0.2">
      <c r="H1726" s="94"/>
    </row>
    <row r="1727" spans="8:8" x14ac:dyDescent="0.2">
      <c r="H1727" s="94"/>
    </row>
    <row r="1728" spans="8:8" x14ac:dyDescent="0.2">
      <c r="H1728" s="94"/>
    </row>
    <row r="1729" spans="8:8" x14ac:dyDescent="0.2">
      <c r="H1729" s="94"/>
    </row>
    <row r="1730" spans="8:8" x14ac:dyDescent="0.2">
      <c r="H1730" s="94"/>
    </row>
    <row r="1731" spans="8:8" x14ac:dyDescent="0.2">
      <c r="H1731" s="94"/>
    </row>
    <row r="1732" spans="8:8" x14ac:dyDescent="0.2">
      <c r="H1732" s="94"/>
    </row>
    <row r="1733" spans="8:8" x14ac:dyDescent="0.2">
      <c r="H1733" s="94"/>
    </row>
    <row r="1734" spans="8:8" x14ac:dyDescent="0.2">
      <c r="H1734" s="94"/>
    </row>
    <row r="1735" spans="8:8" x14ac:dyDescent="0.2">
      <c r="H1735" s="94"/>
    </row>
    <row r="1736" spans="8:8" x14ac:dyDescent="0.2">
      <c r="H1736" s="94"/>
    </row>
    <row r="1737" spans="8:8" x14ac:dyDescent="0.2">
      <c r="H1737" s="94"/>
    </row>
    <row r="1738" spans="8:8" x14ac:dyDescent="0.2">
      <c r="H1738" s="94"/>
    </row>
    <row r="1739" spans="8:8" x14ac:dyDescent="0.2">
      <c r="H1739" s="94"/>
    </row>
    <row r="1740" spans="8:8" x14ac:dyDescent="0.2">
      <c r="H1740" s="94"/>
    </row>
    <row r="1741" spans="8:8" x14ac:dyDescent="0.2">
      <c r="H1741" s="94"/>
    </row>
    <row r="1742" spans="8:8" x14ac:dyDescent="0.2">
      <c r="H1742" s="94"/>
    </row>
    <row r="1743" spans="8:8" x14ac:dyDescent="0.2">
      <c r="H1743" s="94"/>
    </row>
    <row r="1744" spans="8:8" x14ac:dyDescent="0.2">
      <c r="H1744" s="94"/>
    </row>
    <row r="1745" spans="8:8" x14ac:dyDescent="0.2">
      <c r="H1745" s="94"/>
    </row>
    <row r="1746" spans="8:8" x14ac:dyDescent="0.2">
      <c r="H1746" s="94"/>
    </row>
    <row r="1747" spans="8:8" x14ac:dyDescent="0.2">
      <c r="H1747" s="94"/>
    </row>
    <row r="1748" spans="8:8" x14ac:dyDescent="0.2">
      <c r="H1748" s="94"/>
    </row>
    <row r="1749" spans="8:8" x14ac:dyDescent="0.2">
      <c r="H1749" s="94"/>
    </row>
    <row r="1750" spans="8:8" x14ac:dyDescent="0.2">
      <c r="H1750" s="94"/>
    </row>
    <row r="1751" spans="8:8" x14ac:dyDescent="0.2">
      <c r="H1751" s="94"/>
    </row>
    <row r="1752" spans="8:8" x14ac:dyDescent="0.2">
      <c r="H1752" s="94"/>
    </row>
    <row r="1753" spans="8:8" x14ac:dyDescent="0.2">
      <c r="H1753" s="94"/>
    </row>
    <row r="1754" spans="8:8" x14ac:dyDescent="0.2">
      <c r="H1754" s="94"/>
    </row>
    <row r="1755" spans="8:8" x14ac:dyDescent="0.2">
      <c r="H1755" s="94"/>
    </row>
    <row r="1756" spans="8:8" x14ac:dyDescent="0.2">
      <c r="H1756" s="94"/>
    </row>
    <row r="1757" spans="8:8" x14ac:dyDescent="0.2">
      <c r="H1757" s="94"/>
    </row>
    <row r="1758" spans="8:8" x14ac:dyDescent="0.2">
      <c r="H1758" s="94"/>
    </row>
    <row r="1759" spans="8:8" x14ac:dyDescent="0.2">
      <c r="H1759" s="94"/>
    </row>
    <row r="1760" spans="8:8" x14ac:dyDescent="0.2">
      <c r="H1760" s="94"/>
    </row>
    <row r="1761" spans="8:8" x14ac:dyDescent="0.2">
      <c r="H1761" s="94"/>
    </row>
    <row r="1762" spans="8:8" x14ac:dyDescent="0.2">
      <c r="H1762" s="94"/>
    </row>
    <row r="1763" spans="8:8" x14ac:dyDescent="0.2">
      <c r="H1763" s="94"/>
    </row>
    <row r="1764" spans="8:8" x14ac:dyDescent="0.2">
      <c r="H1764" s="94"/>
    </row>
    <row r="1765" spans="8:8" x14ac:dyDescent="0.2">
      <c r="H1765" s="94"/>
    </row>
    <row r="1766" spans="8:8" x14ac:dyDescent="0.2">
      <c r="H1766" s="94"/>
    </row>
    <row r="1768" spans="8:8" x14ac:dyDescent="0.2">
      <c r="H1768" s="90" t="s">
        <v>142</v>
      </c>
    </row>
    <row r="1770" spans="8:8" x14ac:dyDescent="0.2">
      <c r="H1770" s="90" t="s">
        <v>269</v>
      </c>
    </row>
    <row r="1771" spans="8:8" x14ac:dyDescent="0.2">
      <c r="H1771" s="92" t="s">
        <v>143</v>
      </c>
    </row>
    <row r="1772" spans="8:8" x14ac:dyDescent="0.2">
      <c r="H1772" s="92" t="s">
        <v>151</v>
      </c>
    </row>
    <row r="1942" spans="8:8" x14ac:dyDescent="0.2">
      <c r="H1942" s="91"/>
    </row>
    <row r="1944" spans="8:8" x14ac:dyDescent="0.2">
      <c r="H1944" s="90" t="s">
        <v>152</v>
      </c>
    </row>
    <row r="1946" spans="8:8" x14ac:dyDescent="0.2">
      <c r="H1946" s="90" t="s">
        <v>153</v>
      </c>
    </row>
    <row r="1947" spans="8:8" x14ac:dyDescent="0.2">
      <c r="H1947" s="90" t="s">
        <v>154</v>
      </c>
    </row>
    <row r="1949" spans="8:8" x14ac:dyDescent="0.2">
      <c r="H1949" s="90" t="s">
        <v>155</v>
      </c>
    </row>
    <row r="1950" spans="8:8" x14ac:dyDescent="0.2">
      <c r="H1950" s="90" t="s">
        <v>156</v>
      </c>
    </row>
    <row r="1951" spans="8:8" x14ac:dyDescent="0.2">
      <c r="H1951" s="90" t="s">
        <v>157</v>
      </c>
    </row>
    <row r="1952" spans="8:8" x14ac:dyDescent="0.2">
      <c r="H1952" s="90" t="s">
        <v>158</v>
      </c>
    </row>
    <row r="1953" spans="8:8" x14ac:dyDescent="0.2">
      <c r="H1953" s="90" t="s">
        <v>159</v>
      </c>
    </row>
    <row r="1954" spans="8:8" x14ac:dyDescent="0.2">
      <c r="H1954" s="90" t="s">
        <v>160</v>
      </c>
    </row>
    <row r="1955" spans="8:8" x14ac:dyDescent="0.2">
      <c r="H1955" s="90" t="s">
        <v>161</v>
      </c>
    </row>
    <row r="1956" spans="8:8" x14ac:dyDescent="0.2">
      <c r="H1956" s="90" t="s">
        <v>162</v>
      </c>
    </row>
    <row r="1957" spans="8:8" x14ac:dyDescent="0.2">
      <c r="H1957" s="90" t="s">
        <v>163</v>
      </c>
    </row>
    <row r="1959" spans="8:8" x14ac:dyDescent="0.2">
      <c r="H1959" s="90" t="s">
        <v>164</v>
      </c>
    </row>
    <row r="1960" spans="8:8" x14ac:dyDescent="0.2">
      <c r="H1960" s="90" t="s">
        <v>165</v>
      </c>
    </row>
    <row r="1964" spans="8:8" x14ac:dyDescent="0.2">
      <c r="H1964" s="94"/>
    </row>
    <row r="1965" spans="8:8" x14ac:dyDescent="0.2">
      <c r="H1965" s="94"/>
    </row>
    <row r="1966" spans="8:8" x14ac:dyDescent="0.2">
      <c r="H1966" s="94"/>
    </row>
    <row r="1967" spans="8:8" x14ac:dyDescent="0.2">
      <c r="H1967" s="94"/>
    </row>
    <row r="1968" spans="8:8" x14ac:dyDescent="0.2">
      <c r="H1968" s="94"/>
    </row>
    <row r="1969" spans="8:8" x14ac:dyDescent="0.2">
      <c r="H1969" s="94"/>
    </row>
    <row r="1970" spans="8:8" x14ac:dyDescent="0.2">
      <c r="H1970" s="94"/>
    </row>
    <row r="1971" spans="8:8" x14ac:dyDescent="0.2">
      <c r="H1971" s="94"/>
    </row>
    <row r="1972" spans="8:8" x14ac:dyDescent="0.2">
      <c r="H1972" s="94"/>
    </row>
    <row r="1973" spans="8:8" x14ac:dyDescent="0.2">
      <c r="H1973" s="94"/>
    </row>
    <row r="1974" spans="8:8" x14ac:dyDescent="0.2">
      <c r="H1974" s="94"/>
    </row>
    <row r="1975" spans="8:8" x14ac:dyDescent="0.2">
      <c r="H1975" s="94"/>
    </row>
    <row r="1976" spans="8:8" x14ac:dyDescent="0.2">
      <c r="H1976" s="94"/>
    </row>
    <row r="1977" spans="8:8" x14ac:dyDescent="0.2">
      <c r="H1977" s="94"/>
    </row>
    <row r="1978" spans="8:8" x14ac:dyDescent="0.2">
      <c r="H1978" s="94"/>
    </row>
    <row r="1979" spans="8:8" x14ac:dyDescent="0.2">
      <c r="H1979" s="94"/>
    </row>
    <row r="1980" spans="8:8" x14ac:dyDescent="0.2">
      <c r="H1980" s="94"/>
    </row>
    <row r="1981" spans="8:8" x14ac:dyDescent="0.2">
      <c r="H1981" s="94"/>
    </row>
    <row r="1982" spans="8:8" x14ac:dyDescent="0.2">
      <c r="H1982" s="94"/>
    </row>
    <row r="1983" spans="8:8" x14ac:dyDescent="0.2">
      <c r="H1983" s="94"/>
    </row>
    <row r="1984" spans="8:8" x14ac:dyDescent="0.2">
      <c r="H1984" s="94"/>
    </row>
    <row r="1985" spans="8:8" x14ac:dyDescent="0.2">
      <c r="H1985" s="94"/>
    </row>
    <row r="1986" spans="8:8" x14ac:dyDescent="0.2">
      <c r="H1986" s="94"/>
    </row>
    <row r="1987" spans="8:8" x14ac:dyDescent="0.2">
      <c r="H1987" s="94"/>
    </row>
    <row r="1988" spans="8:8" x14ac:dyDescent="0.2">
      <c r="H1988" s="94"/>
    </row>
    <row r="1989" spans="8:8" x14ac:dyDescent="0.2">
      <c r="H1989" s="94"/>
    </row>
    <row r="1990" spans="8:8" x14ac:dyDescent="0.2">
      <c r="H1990" s="94"/>
    </row>
    <row r="1991" spans="8:8" x14ac:dyDescent="0.2">
      <c r="H1991" s="94"/>
    </row>
    <row r="1992" spans="8:8" x14ac:dyDescent="0.2">
      <c r="H1992" s="94"/>
    </row>
    <row r="1993" spans="8:8" x14ac:dyDescent="0.2">
      <c r="H1993" s="94"/>
    </row>
    <row r="1998" spans="8:8" x14ac:dyDescent="0.2">
      <c r="H1998" s="92" t="s">
        <v>166</v>
      </c>
    </row>
    <row r="1999" spans="8:8" x14ac:dyDescent="0.2">
      <c r="H1999" s="91"/>
    </row>
    <row r="2010" spans="8:8" x14ac:dyDescent="0.2">
      <c r="H2010" s="90" t="s">
        <v>185</v>
      </c>
    </row>
    <row r="2011" spans="8:8" x14ac:dyDescent="0.2">
      <c r="H2011" s="90" t="s">
        <v>186</v>
      </c>
    </row>
    <row r="2012" spans="8:8" x14ac:dyDescent="0.2">
      <c r="H2012" s="90" t="s">
        <v>187</v>
      </c>
    </row>
    <row r="2020" spans="8:8" x14ac:dyDescent="0.2">
      <c r="H2020" s="90" t="s">
        <v>188</v>
      </c>
    </row>
    <row r="2021" spans="8:8" x14ac:dyDescent="0.2">
      <c r="H2021" s="90" t="s">
        <v>189</v>
      </c>
    </row>
    <row r="2022" spans="8:8" x14ac:dyDescent="0.2">
      <c r="H2022" s="90" t="s">
        <v>190</v>
      </c>
    </row>
    <row r="2023" spans="8:8" x14ac:dyDescent="0.2">
      <c r="H2023" s="91"/>
    </row>
    <row r="5686" spans="5:5" x14ac:dyDescent="0.2">
      <c r="E5686" s="11"/>
    </row>
    <row r="5714" spans="8:8" ht="15.75" customHeight="1" x14ac:dyDescent="0.2"/>
    <row r="5715" spans="8:8" x14ac:dyDescent="0.2">
      <c r="H5715" s="90" t="s">
        <v>167</v>
      </c>
    </row>
    <row r="5716" spans="8:8" x14ac:dyDescent="0.2">
      <c r="H5716" s="90" t="s">
        <v>168</v>
      </c>
    </row>
    <row r="5717" spans="8:8" x14ac:dyDescent="0.2">
      <c r="H5717" s="90" t="s">
        <v>169</v>
      </c>
    </row>
    <row r="5718" spans="8:8" x14ac:dyDescent="0.2">
      <c r="H5718" s="90" t="s">
        <v>170</v>
      </c>
    </row>
    <row r="5719" spans="8:8" x14ac:dyDescent="0.2">
      <c r="H5719" s="90" t="s">
        <v>171</v>
      </c>
    </row>
    <row r="5720" spans="8:8" x14ac:dyDescent="0.2">
      <c r="H5720" s="90" t="s">
        <v>172</v>
      </c>
    </row>
    <row r="5722" spans="8:8" x14ac:dyDescent="0.2">
      <c r="H5722" s="90" t="s">
        <v>173</v>
      </c>
    </row>
    <row r="5723" spans="8:8" x14ac:dyDescent="0.2">
      <c r="H5723" s="90" t="s">
        <v>174</v>
      </c>
    </row>
    <row r="5724" spans="8:8" x14ac:dyDescent="0.2">
      <c r="H5724" s="90" t="s">
        <v>175</v>
      </c>
    </row>
    <row r="5725" spans="8:8" x14ac:dyDescent="0.2">
      <c r="H5725" s="90" t="s">
        <v>176</v>
      </c>
    </row>
    <row r="5730" spans="8:8" x14ac:dyDescent="0.2">
      <c r="H5730" s="90" t="s">
        <v>177</v>
      </c>
    </row>
    <row r="5731" spans="8:8" x14ac:dyDescent="0.2">
      <c r="H5731" s="90" t="s">
        <v>178</v>
      </c>
    </row>
    <row r="5732" spans="8:8" x14ac:dyDescent="0.2">
      <c r="H5732" s="90" t="s">
        <v>179</v>
      </c>
    </row>
    <row r="5733" spans="8:8" x14ac:dyDescent="0.2">
      <c r="H5733" s="90" t="s">
        <v>180</v>
      </c>
    </row>
    <row r="5737" spans="8:8" x14ac:dyDescent="0.2">
      <c r="H5737" s="90" t="s">
        <v>181</v>
      </c>
    </row>
    <row r="5738" spans="8:8" x14ac:dyDescent="0.2">
      <c r="H5738" s="90" t="s">
        <v>182</v>
      </c>
    </row>
    <row r="5739" spans="8:8" x14ac:dyDescent="0.2">
      <c r="H5739" s="90" t="s">
        <v>183</v>
      </c>
    </row>
    <row r="5740" spans="8:8" x14ac:dyDescent="0.2">
      <c r="H5740" s="90" t="s">
        <v>184</v>
      </c>
    </row>
  </sheetData>
  <sheetProtection insertRows="0" autoFilter="0"/>
  <mergeCells count="23">
    <mergeCell ref="A15:F15"/>
    <mergeCell ref="L11:L13"/>
    <mergeCell ref="M11:M13"/>
    <mergeCell ref="N11:Q11"/>
    <mergeCell ref="I11:I13"/>
    <mergeCell ref="J11:J13"/>
    <mergeCell ref="K11:K13"/>
    <mergeCell ref="R11:R13"/>
    <mergeCell ref="S11:S13"/>
    <mergeCell ref="A13:E13"/>
    <mergeCell ref="T11:T13"/>
    <mergeCell ref="N12:O12"/>
    <mergeCell ref="P12:P13"/>
    <mergeCell ref="Q12:Q13"/>
    <mergeCell ref="A11:F11"/>
    <mergeCell ref="G11:G13"/>
    <mergeCell ref="H11:H13"/>
    <mergeCell ref="A6:T6"/>
    <mergeCell ref="A9:T9"/>
    <mergeCell ref="A2:T2"/>
    <mergeCell ref="A3:T3"/>
    <mergeCell ref="A4:T4"/>
    <mergeCell ref="A5:T5"/>
  </mergeCells>
  <phoneticPr fontId="21" type="noConversion"/>
  <conditionalFormatting sqref="F19:F23 F25:F27 F29:F39 F41:F56 I95 I108">
    <cfRule type="cellIs" dxfId="1" priority="2" stopIfTrue="1" operator="equal">
      <formula>#REF!</formula>
    </cfRule>
  </conditionalFormatting>
  <conditionalFormatting sqref="F58:F88 F90:F114">
    <cfRule type="cellIs" dxfId="0" priority="1" stopIfTrue="1" operator="equal">
      <formula>#REF!</formula>
    </cfRule>
  </conditionalFormatting>
  <printOptions horizontalCentered="1"/>
  <pageMargins left="0.19685039370078741" right="0.74803149606299213" top="0.39370078740157483" bottom="0.39370078740157483" header="0" footer="0"/>
  <pageSetup paperSize="120" scale="50" orientation="landscape" r:id="rId1"/>
  <headerFooter alignWithMargins="0">
    <oddFooter>&amp;R&amp;P de &amp;N</oddFooter>
  </headerFooter>
  <rowBreaks count="2" manualBreakCount="2">
    <brk id="66" max="15" man="1"/>
    <brk id="123" max="15"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2AB6F-7D18-43EC-A721-DE2499CAE188}">
  <sheetPr>
    <tabColor rgb="FFFFC000"/>
    <pageSetUpPr fitToPage="1"/>
  </sheetPr>
  <dimension ref="A1:BE367"/>
  <sheetViews>
    <sheetView tabSelected="1" zoomScaleNormal="100" zoomScaleSheetLayoutView="85" workbookViewId="0">
      <selection activeCell="BD347" sqref="BD347"/>
    </sheetView>
  </sheetViews>
  <sheetFormatPr baseColWidth="10" defaultRowHeight="12.75" x14ac:dyDescent="0.2"/>
  <cols>
    <col min="1" max="1" width="6.85546875" style="134" customWidth="1"/>
    <col min="2" max="2" width="9.28515625" style="115" customWidth="1"/>
    <col min="3" max="3" width="11.140625" style="115" customWidth="1"/>
    <col min="4" max="4" width="23.140625" style="115" customWidth="1"/>
    <col min="5" max="5" width="36" style="118" customWidth="1"/>
    <col min="6" max="6" width="16.140625" style="115" customWidth="1"/>
    <col min="7" max="7" width="14.7109375" style="101" customWidth="1"/>
    <col min="8" max="8" width="14.5703125" style="101" customWidth="1"/>
    <col min="9" max="9" width="15.28515625" style="132" customWidth="1"/>
    <col min="10" max="15" width="20.42578125" style="133" customWidth="1"/>
    <col min="16" max="16" width="16.28515625" style="133" customWidth="1"/>
    <col min="17" max="17" width="20" style="133" customWidth="1"/>
    <col min="18" max="18" width="16.28515625" style="133" customWidth="1"/>
    <col min="19" max="19" width="20" style="133" customWidth="1"/>
    <col min="20" max="32" width="20.42578125" style="133" customWidth="1"/>
    <col min="33" max="33" width="21.140625" style="133" customWidth="1"/>
    <col min="34" max="34" width="20.42578125" style="133" customWidth="1"/>
    <col min="35" max="35" width="20.28515625" style="133" customWidth="1"/>
    <col min="36" max="37" width="20.42578125" style="133" customWidth="1"/>
    <col min="38" max="39" width="12.5703125" style="133" customWidth="1"/>
    <col min="40" max="40" width="14" style="101" customWidth="1"/>
    <col min="41" max="41" width="12.5703125" style="101" customWidth="1"/>
    <col min="42" max="42" width="12.7109375" style="101" customWidth="1"/>
    <col min="43" max="43" width="14" style="101" customWidth="1"/>
    <col min="44" max="44" width="15.42578125" style="101" customWidth="1"/>
    <col min="45" max="45" width="14.42578125" style="101" customWidth="1"/>
    <col min="46" max="46" width="16" style="101" customWidth="1"/>
    <col min="47" max="47" width="12.7109375" style="101" customWidth="1"/>
    <col min="48" max="48" width="12.7109375" style="155" customWidth="1"/>
    <col min="49" max="49" width="16.28515625" style="101" customWidth="1"/>
    <col min="50" max="50" width="12.7109375" style="101" customWidth="1"/>
    <col min="51" max="51" width="21" style="155" customWidth="1"/>
    <col min="52" max="54" width="11.5703125" style="101" customWidth="1"/>
    <col min="55" max="56" width="18" style="101" customWidth="1"/>
    <col min="57" max="16384" width="11.42578125" style="134"/>
  </cols>
  <sheetData>
    <row r="1" spans="1:56" s="123" customFormat="1" ht="50.25" customHeight="1" x14ac:dyDescent="0.2">
      <c r="A1" s="223" t="s">
        <v>1065</v>
      </c>
      <c r="B1" s="223"/>
      <c r="C1" s="223"/>
      <c r="D1" s="223"/>
      <c r="E1" s="223"/>
      <c r="F1" s="224"/>
      <c r="G1" s="227" t="s">
        <v>1064</v>
      </c>
      <c r="H1" s="227"/>
      <c r="I1" s="227"/>
      <c r="J1" s="228" t="s">
        <v>1007</v>
      </c>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135" t="s">
        <v>1046</v>
      </c>
      <c r="AN1" s="206" t="s">
        <v>1016</v>
      </c>
      <c r="AO1" s="207"/>
      <c r="AP1" s="207"/>
      <c r="AQ1" s="207"/>
      <c r="AR1" s="207"/>
      <c r="AS1" s="207"/>
      <c r="AT1" s="207"/>
      <c r="AU1" s="208"/>
      <c r="AV1" s="154"/>
      <c r="AW1" s="209" t="s">
        <v>1020</v>
      </c>
      <c r="AX1" s="210"/>
      <c r="AY1" s="162"/>
      <c r="AZ1" s="212" t="s">
        <v>1070</v>
      </c>
      <c r="BA1" s="213"/>
      <c r="BB1" s="213"/>
      <c r="BC1" s="213"/>
      <c r="BD1" s="214"/>
    </row>
    <row r="2" spans="1:56" s="124" customFormat="1" ht="33.75" x14ac:dyDescent="0.2">
      <c r="A2" s="222" t="s">
        <v>1021</v>
      </c>
      <c r="B2" s="226" t="s">
        <v>819</v>
      </c>
      <c r="C2" s="226" t="s">
        <v>820</v>
      </c>
      <c r="D2" s="226" t="s">
        <v>821</v>
      </c>
      <c r="E2" s="226" t="s">
        <v>823</v>
      </c>
      <c r="F2" s="226" t="s">
        <v>822</v>
      </c>
      <c r="G2" s="225" t="s">
        <v>1024</v>
      </c>
      <c r="H2" s="225" t="s">
        <v>1025</v>
      </c>
      <c r="I2" s="225" t="s">
        <v>1026</v>
      </c>
      <c r="J2" s="122" t="s">
        <v>969</v>
      </c>
      <c r="K2" s="122"/>
      <c r="L2" s="122" t="s">
        <v>987</v>
      </c>
      <c r="M2" s="122"/>
      <c r="N2" s="122" t="s">
        <v>988</v>
      </c>
      <c r="O2" s="122"/>
      <c r="P2" s="122" t="s">
        <v>816</v>
      </c>
      <c r="Q2" s="122"/>
      <c r="R2" s="122" t="s">
        <v>818</v>
      </c>
      <c r="S2" s="122"/>
      <c r="T2" s="122" t="s">
        <v>989</v>
      </c>
      <c r="U2" s="122"/>
      <c r="V2" s="122" t="s">
        <v>990</v>
      </c>
      <c r="W2" s="122"/>
      <c r="X2" s="122" t="s">
        <v>817</v>
      </c>
      <c r="Y2" s="122"/>
      <c r="Z2" s="122" t="s">
        <v>991</v>
      </c>
      <c r="AA2" s="122"/>
      <c r="AB2" s="122" t="s">
        <v>997</v>
      </c>
      <c r="AC2" s="122"/>
      <c r="AD2" s="122" t="s">
        <v>998</v>
      </c>
      <c r="AE2" s="122"/>
      <c r="AF2" s="122" t="s">
        <v>969</v>
      </c>
      <c r="AG2" s="122"/>
      <c r="AH2" s="122" t="s">
        <v>992</v>
      </c>
      <c r="AI2" s="122"/>
      <c r="AJ2" s="122" t="s">
        <v>818</v>
      </c>
      <c r="AK2" s="122"/>
      <c r="AL2" s="122"/>
      <c r="AM2" s="136"/>
      <c r="AN2" s="215" t="s">
        <v>965</v>
      </c>
      <c r="AO2" s="215" t="s">
        <v>966</v>
      </c>
      <c r="AP2" s="215" t="s">
        <v>967</v>
      </c>
      <c r="AQ2" s="215" t="s">
        <v>1015</v>
      </c>
      <c r="AR2" s="215" t="s">
        <v>968</v>
      </c>
      <c r="AS2" s="215" t="s">
        <v>975</v>
      </c>
      <c r="AT2" s="215" t="s">
        <v>976</v>
      </c>
      <c r="AU2" s="215" t="s">
        <v>1016</v>
      </c>
      <c r="AV2" s="215" t="s">
        <v>1090</v>
      </c>
      <c r="AW2" s="217" t="s">
        <v>1020</v>
      </c>
      <c r="AX2" s="219" t="s">
        <v>1091</v>
      </c>
      <c r="AY2" s="219" t="s">
        <v>1090</v>
      </c>
      <c r="AZ2" s="211" t="s">
        <v>1067</v>
      </c>
      <c r="BA2" s="211"/>
      <c r="BB2" s="211"/>
      <c r="BC2" s="204" t="s">
        <v>1068</v>
      </c>
      <c r="BD2" s="204" t="s">
        <v>1069</v>
      </c>
    </row>
    <row r="3" spans="1:56" s="124" customFormat="1" ht="33.75" x14ac:dyDescent="0.2">
      <c r="A3" s="222"/>
      <c r="B3" s="226"/>
      <c r="C3" s="226"/>
      <c r="D3" s="226"/>
      <c r="E3" s="226"/>
      <c r="F3" s="226"/>
      <c r="G3" s="225"/>
      <c r="H3" s="225"/>
      <c r="I3" s="225"/>
      <c r="J3" s="122" t="s">
        <v>995</v>
      </c>
      <c r="K3" s="122" t="s">
        <v>1000</v>
      </c>
      <c r="L3" s="122" t="s">
        <v>981</v>
      </c>
      <c r="M3" s="122" t="s">
        <v>1008</v>
      </c>
      <c r="N3" s="122" t="s">
        <v>982</v>
      </c>
      <c r="O3" s="122" t="s">
        <v>1009</v>
      </c>
      <c r="P3" s="122" t="s">
        <v>993</v>
      </c>
      <c r="Q3" s="122" t="s">
        <v>1010</v>
      </c>
      <c r="R3" s="122" t="s">
        <v>985</v>
      </c>
      <c r="S3" s="122" t="s">
        <v>1011</v>
      </c>
      <c r="T3" s="122" t="s">
        <v>977</v>
      </c>
      <c r="U3" s="122" t="s">
        <v>1001</v>
      </c>
      <c r="V3" s="122" t="s">
        <v>979</v>
      </c>
      <c r="W3" s="122" t="s">
        <v>1002</v>
      </c>
      <c r="X3" s="122" t="s">
        <v>980</v>
      </c>
      <c r="Y3" s="122" t="s">
        <v>1003</v>
      </c>
      <c r="Z3" s="122" t="s">
        <v>986</v>
      </c>
      <c r="AA3" s="122" t="s">
        <v>1004</v>
      </c>
      <c r="AB3" s="122" t="s">
        <v>996</v>
      </c>
      <c r="AC3" s="122" t="s">
        <v>1005</v>
      </c>
      <c r="AD3" s="122" t="s">
        <v>1017</v>
      </c>
      <c r="AE3" s="122" t="s">
        <v>1018</v>
      </c>
      <c r="AF3" s="122" t="s">
        <v>994</v>
      </c>
      <c r="AG3" s="122" t="s">
        <v>1006</v>
      </c>
      <c r="AH3" s="122" t="s">
        <v>983</v>
      </c>
      <c r="AI3" s="122" t="s">
        <v>1013</v>
      </c>
      <c r="AJ3" s="122" t="s">
        <v>999</v>
      </c>
      <c r="AK3" s="122" t="s">
        <v>1014</v>
      </c>
      <c r="AL3" s="122" t="s">
        <v>1007</v>
      </c>
      <c r="AM3" s="136"/>
      <c r="AN3" s="216"/>
      <c r="AO3" s="216"/>
      <c r="AP3" s="216"/>
      <c r="AQ3" s="216"/>
      <c r="AR3" s="216"/>
      <c r="AS3" s="216"/>
      <c r="AT3" s="216"/>
      <c r="AU3" s="216"/>
      <c r="AV3" s="216"/>
      <c r="AW3" s="218"/>
      <c r="AX3" s="220"/>
      <c r="AY3" s="220"/>
      <c r="AZ3" s="137" t="s">
        <v>646</v>
      </c>
      <c r="BA3" s="137" t="s">
        <v>1019</v>
      </c>
      <c r="BB3" s="137" t="s">
        <v>1071</v>
      </c>
      <c r="BC3" s="205"/>
      <c r="BD3" s="205"/>
    </row>
    <row r="4" spans="1:56" s="125" customFormat="1" ht="33.75" x14ac:dyDescent="0.2">
      <c r="A4" s="149">
        <v>1</v>
      </c>
      <c r="B4" s="148">
        <v>1</v>
      </c>
      <c r="C4" s="105">
        <v>42131600</v>
      </c>
      <c r="D4" s="106" t="s">
        <v>526</v>
      </c>
      <c r="E4" s="105" t="s">
        <v>706</v>
      </c>
      <c r="F4" s="105" t="s">
        <v>300</v>
      </c>
      <c r="G4" s="143" t="s">
        <v>978</v>
      </c>
      <c r="H4" s="143" t="s">
        <v>978</v>
      </c>
      <c r="I4" s="143" t="s">
        <v>978</v>
      </c>
      <c r="J4" s="104" t="s">
        <v>978</v>
      </c>
      <c r="K4" s="104" t="s">
        <v>978</v>
      </c>
      <c r="L4" s="104" t="s">
        <v>978</v>
      </c>
      <c r="M4" s="104" t="s">
        <v>978</v>
      </c>
      <c r="N4" s="104">
        <v>9475</v>
      </c>
      <c r="O4" s="104">
        <f>N4*(1+5.2%)*(1+5.1%)</f>
        <v>10476.0527</v>
      </c>
      <c r="P4" s="104" t="s">
        <v>978</v>
      </c>
      <c r="Q4" s="104" t="s">
        <v>1012</v>
      </c>
      <c r="R4" s="104" t="s">
        <v>978</v>
      </c>
      <c r="S4" s="104" t="s">
        <v>978</v>
      </c>
      <c r="T4" s="104" t="s">
        <v>978</v>
      </c>
      <c r="U4" s="104" t="s">
        <v>978</v>
      </c>
      <c r="V4" s="104">
        <v>8104</v>
      </c>
      <c r="W4" s="104">
        <f>V4*(1+5.1%)</f>
        <v>8517.3040000000001</v>
      </c>
      <c r="X4" s="104" t="s">
        <v>978</v>
      </c>
      <c r="Y4" s="104" t="s">
        <v>978</v>
      </c>
      <c r="Z4" s="104" t="s">
        <v>978</v>
      </c>
      <c r="AA4" s="104" t="s">
        <v>978</v>
      </c>
      <c r="AB4" s="104" t="s">
        <v>978</v>
      </c>
      <c r="AC4" s="104" t="s">
        <v>978</v>
      </c>
      <c r="AD4" s="104" t="s">
        <v>978</v>
      </c>
      <c r="AE4" s="104" t="s">
        <v>978</v>
      </c>
      <c r="AF4" s="104" t="s">
        <v>978</v>
      </c>
      <c r="AG4" s="104" t="s">
        <v>978</v>
      </c>
      <c r="AH4" s="104" t="s">
        <v>978</v>
      </c>
      <c r="AI4" s="104" t="s">
        <v>978</v>
      </c>
      <c r="AJ4" s="104" t="s">
        <v>978</v>
      </c>
      <c r="AK4" s="104" t="s">
        <v>978</v>
      </c>
      <c r="AL4" s="104">
        <f>+AVERAGE(K4,M4,O4,Q4,S4,U4,W4,Y4,AA4,AC4,AE4,AG4,AI4,AK4)</f>
        <v>9496.6783500000001</v>
      </c>
      <c r="AM4" s="120" t="s">
        <v>978</v>
      </c>
      <c r="AN4" s="141">
        <v>14132.69</v>
      </c>
      <c r="AO4" s="119" t="s">
        <v>974</v>
      </c>
      <c r="AP4" s="103" t="s">
        <v>974</v>
      </c>
      <c r="AQ4" s="142">
        <v>11900</v>
      </c>
      <c r="AR4" s="103" t="s">
        <v>974</v>
      </c>
      <c r="AS4" s="103" t="s">
        <v>974</v>
      </c>
      <c r="AT4" s="103" t="s">
        <v>974</v>
      </c>
      <c r="AU4" s="103">
        <f>+MIN(AN4:AT4)</f>
        <v>11900</v>
      </c>
      <c r="AV4" s="158"/>
      <c r="AW4" s="156">
        <f>+AVERAGE(AL4,AU4)</f>
        <v>10698.339175000001</v>
      </c>
      <c r="AX4" s="121">
        <f>+ROUND(AW4,0)</f>
        <v>10698</v>
      </c>
      <c r="AY4" s="163" t="s">
        <v>1073</v>
      </c>
      <c r="AZ4" s="160">
        <v>30</v>
      </c>
      <c r="BA4" s="138">
        <v>0</v>
      </c>
      <c r="BB4" s="138">
        <v>0</v>
      </c>
      <c r="BC4" s="139">
        <f>+AZ4+BA4+BB4</f>
        <v>30</v>
      </c>
      <c r="BD4" s="140">
        <f>+BC4*AX4</f>
        <v>320940</v>
      </c>
    </row>
    <row r="5" spans="1:56" s="125" customFormat="1" ht="45" x14ac:dyDescent="0.2">
      <c r="A5" s="149">
        <v>1</v>
      </c>
      <c r="B5" s="148">
        <v>2</v>
      </c>
      <c r="C5" s="105">
        <v>42131606</v>
      </c>
      <c r="D5" s="106" t="s">
        <v>527</v>
      </c>
      <c r="E5" s="105" t="s">
        <v>824</v>
      </c>
      <c r="F5" s="105" t="s">
        <v>457</v>
      </c>
      <c r="G5" s="143" t="s">
        <v>978</v>
      </c>
      <c r="H5" s="143" t="s">
        <v>978</v>
      </c>
      <c r="I5" s="143" t="s">
        <v>978</v>
      </c>
      <c r="J5" s="104" t="s">
        <v>978</v>
      </c>
      <c r="K5" s="104" t="s">
        <v>978</v>
      </c>
      <c r="L5" s="104" t="s">
        <v>978</v>
      </c>
      <c r="M5" s="104" t="s">
        <v>978</v>
      </c>
      <c r="N5" s="104">
        <v>31362</v>
      </c>
      <c r="O5" s="104">
        <f>N5*(1+5.2%)*(1+5.1%)</f>
        <v>34675.458024</v>
      </c>
      <c r="P5" s="104" t="s">
        <v>978</v>
      </c>
      <c r="Q5" s="104" t="s">
        <v>1012</v>
      </c>
      <c r="R5" s="104" t="s">
        <v>978</v>
      </c>
      <c r="S5" s="104" t="s">
        <v>978</v>
      </c>
      <c r="T5" s="104" t="s">
        <v>978</v>
      </c>
      <c r="U5" s="104" t="s">
        <v>978</v>
      </c>
      <c r="V5" s="104">
        <v>29120</v>
      </c>
      <c r="W5" s="104">
        <f>V5*(1+5.1%)</f>
        <v>30605.119999999999</v>
      </c>
      <c r="X5" s="104" t="s">
        <v>978</v>
      </c>
      <c r="Y5" s="104" t="s">
        <v>978</v>
      </c>
      <c r="Z5" s="104" t="s">
        <v>978</v>
      </c>
      <c r="AA5" s="104" t="s">
        <v>978</v>
      </c>
      <c r="AB5" s="104">
        <v>1059</v>
      </c>
      <c r="AC5" s="104">
        <f>AB5*(1+5.1%)</f>
        <v>1113.009</v>
      </c>
      <c r="AD5" s="104" t="s">
        <v>978</v>
      </c>
      <c r="AE5" s="104" t="s">
        <v>978</v>
      </c>
      <c r="AF5" s="104" t="s">
        <v>978</v>
      </c>
      <c r="AG5" s="104" t="s">
        <v>978</v>
      </c>
      <c r="AH5" s="104" t="s">
        <v>978</v>
      </c>
      <c r="AI5" s="104" t="s">
        <v>978</v>
      </c>
      <c r="AJ5" s="104" t="s">
        <v>978</v>
      </c>
      <c r="AK5" s="104" t="s">
        <v>978</v>
      </c>
      <c r="AL5" s="104">
        <f t="shared" ref="AL5:AL16" si="0">+AVERAGE(K5,M5,O5,Q5,S5,U5,W5,Y5,AA5,AC5,AE5,AG5,AI5,AK5)</f>
        <v>22131.195674666669</v>
      </c>
      <c r="AM5" s="120">
        <v>162500</v>
      </c>
      <c r="AN5" s="141">
        <v>50782.16</v>
      </c>
      <c r="AO5" s="119" t="s">
        <v>974</v>
      </c>
      <c r="AP5" s="103" t="s">
        <v>974</v>
      </c>
      <c r="AQ5" s="142">
        <v>53550</v>
      </c>
      <c r="AR5" s="103" t="s">
        <v>974</v>
      </c>
      <c r="AS5" s="103" t="s">
        <v>974</v>
      </c>
      <c r="AT5" s="103" t="s">
        <v>974</v>
      </c>
      <c r="AU5" s="103">
        <f>+MIN(AN5:AT5)</f>
        <v>50782.16</v>
      </c>
      <c r="AV5" s="158"/>
      <c r="AW5" s="156">
        <f>+AVERAGE(AL5,AU5)</f>
        <v>36456.677837333336</v>
      </c>
      <c r="AX5" s="121">
        <f>+ROUND(AW5,0)</f>
        <v>36457</v>
      </c>
      <c r="AY5" s="163" t="s">
        <v>1079</v>
      </c>
      <c r="AZ5" s="160">
        <v>20</v>
      </c>
      <c r="BA5" s="138">
        <v>1</v>
      </c>
      <c r="BB5" s="138">
        <v>0</v>
      </c>
      <c r="BC5" s="139">
        <f>+AZ5+BA5+BB5</f>
        <v>21</v>
      </c>
      <c r="BD5" s="140">
        <f>+BC5*AX5</f>
        <v>765597</v>
      </c>
    </row>
    <row r="6" spans="1:56" s="125" customFormat="1" ht="22.5" x14ac:dyDescent="0.2">
      <c r="A6" s="149">
        <v>1</v>
      </c>
      <c r="B6" s="148">
        <v>3</v>
      </c>
      <c r="C6" s="105">
        <v>52121512</v>
      </c>
      <c r="D6" s="106" t="s">
        <v>528</v>
      </c>
      <c r="E6" s="105" t="s">
        <v>528</v>
      </c>
      <c r="F6" s="105" t="s">
        <v>302</v>
      </c>
      <c r="G6" s="143" t="s">
        <v>978</v>
      </c>
      <c r="H6" s="143" t="s">
        <v>978</v>
      </c>
      <c r="I6" s="143" t="s">
        <v>978</v>
      </c>
      <c r="J6" s="104" t="s">
        <v>978</v>
      </c>
      <c r="K6" s="104" t="s">
        <v>978</v>
      </c>
      <c r="L6" s="104" t="s">
        <v>978</v>
      </c>
      <c r="M6" s="104" t="s">
        <v>978</v>
      </c>
      <c r="N6" s="104">
        <v>7829</v>
      </c>
      <c r="O6" s="104">
        <f>N6*(1+5.2%)*(1+5.1%)</f>
        <v>8656.1495080000004</v>
      </c>
      <c r="P6" s="104" t="s">
        <v>978</v>
      </c>
      <c r="Q6" s="104" t="s">
        <v>1012</v>
      </c>
      <c r="R6" s="104" t="s">
        <v>978</v>
      </c>
      <c r="S6" s="104" t="s">
        <v>978</v>
      </c>
      <c r="T6" s="104" t="s">
        <v>978</v>
      </c>
      <c r="U6" s="104" t="s">
        <v>978</v>
      </c>
      <c r="V6" s="104" t="s">
        <v>978</v>
      </c>
      <c r="W6" s="104" t="s">
        <v>978</v>
      </c>
      <c r="X6" s="104" t="s">
        <v>978</v>
      </c>
      <c r="Y6" s="104" t="s">
        <v>978</v>
      </c>
      <c r="Z6" s="104" t="s">
        <v>978</v>
      </c>
      <c r="AA6" s="104" t="s">
        <v>978</v>
      </c>
      <c r="AB6" s="104" t="s">
        <v>978</v>
      </c>
      <c r="AC6" s="104" t="s">
        <v>978</v>
      </c>
      <c r="AD6" s="104" t="s">
        <v>978</v>
      </c>
      <c r="AE6" s="104" t="s">
        <v>978</v>
      </c>
      <c r="AF6" s="104" t="s">
        <v>978</v>
      </c>
      <c r="AG6" s="104" t="s">
        <v>978</v>
      </c>
      <c r="AH6" s="104" t="s">
        <v>978</v>
      </c>
      <c r="AI6" s="104" t="s">
        <v>978</v>
      </c>
      <c r="AJ6" s="104" t="s">
        <v>978</v>
      </c>
      <c r="AK6" s="104" t="s">
        <v>978</v>
      </c>
      <c r="AL6" s="104">
        <f t="shared" si="0"/>
        <v>8656.1495080000004</v>
      </c>
      <c r="AM6" s="120" t="s">
        <v>978</v>
      </c>
      <c r="AN6" s="141">
        <v>14300</v>
      </c>
      <c r="AO6" s="119" t="s">
        <v>974</v>
      </c>
      <c r="AP6" s="103">
        <v>17500</v>
      </c>
      <c r="AQ6" s="142">
        <v>11900</v>
      </c>
      <c r="AR6" s="103" t="s">
        <v>974</v>
      </c>
      <c r="AS6" s="103" t="s">
        <v>974</v>
      </c>
      <c r="AT6" s="103" t="s">
        <v>974</v>
      </c>
      <c r="AU6" s="103">
        <f>+MIN(AN6:AT6)</f>
        <v>11900</v>
      </c>
      <c r="AV6" s="158"/>
      <c r="AW6" s="156">
        <f>+AVERAGE(AL6,AU6)</f>
        <v>10278.074754000001</v>
      </c>
      <c r="AX6" s="121">
        <f t="shared" ref="AX5:AX17" si="1">+ROUND(AW6,0)</f>
        <v>10278</v>
      </c>
      <c r="AY6" s="163" t="s">
        <v>1073</v>
      </c>
      <c r="AZ6" s="160">
        <v>10</v>
      </c>
      <c r="BA6" s="138">
        <v>0</v>
      </c>
      <c r="BB6" s="138">
        <v>0</v>
      </c>
      <c r="BC6" s="139">
        <f t="shared" ref="BC6:BC30" si="2">+AZ6+BA6+BB6</f>
        <v>10</v>
      </c>
      <c r="BD6" s="140">
        <f t="shared" ref="BD6:BD68" si="3">+BC6*AX6</f>
        <v>102780</v>
      </c>
    </row>
    <row r="7" spans="1:56" s="125" customFormat="1" ht="22.5" x14ac:dyDescent="0.2">
      <c r="A7" s="149">
        <v>1</v>
      </c>
      <c r="B7" s="148">
        <v>4</v>
      </c>
      <c r="C7" s="105">
        <v>52121509</v>
      </c>
      <c r="D7" s="106" t="s">
        <v>529</v>
      </c>
      <c r="E7" s="105" t="s">
        <v>825</v>
      </c>
      <c r="F7" s="105" t="s">
        <v>303</v>
      </c>
      <c r="G7" s="143" t="s">
        <v>978</v>
      </c>
      <c r="H7" s="143" t="s">
        <v>978</v>
      </c>
      <c r="I7" s="143" t="s">
        <v>978</v>
      </c>
      <c r="J7" s="104" t="s">
        <v>978</v>
      </c>
      <c r="K7" s="104" t="s">
        <v>978</v>
      </c>
      <c r="L7" s="104" t="s">
        <v>978</v>
      </c>
      <c r="M7" s="104" t="s">
        <v>978</v>
      </c>
      <c r="N7" s="104" t="s">
        <v>978</v>
      </c>
      <c r="O7" s="104" t="s">
        <v>978</v>
      </c>
      <c r="P7" s="104" t="s">
        <v>978</v>
      </c>
      <c r="Q7" s="104" t="s">
        <v>1012</v>
      </c>
      <c r="R7" s="104" t="s">
        <v>978</v>
      </c>
      <c r="S7" s="104" t="s">
        <v>978</v>
      </c>
      <c r="T7" s="104" t="s">
        <v>978</v>
      </c>
      <c r="U7" s="104" t="s">
        <v>978</v>
      </c>
      <c r="V7" s="104" t="s">
        <v>978</v>
      </c>
      <c r="W7" s="104" t="s">
        <v>978</v>
      </c>
      <c r="X7" s="104" t="s">
        <v>978</v>
      </c>
      <c r="Y7" s="104" t="s">
        <v>978</v>
      </c>
      <c r="Z7" s="104" t="s">
        <v>978</v>
      </c>
      <c r="AA7" s="104" t="s">
        <v>978</v>
      </c>
      <c r="AB7" s="104">
        <v>49866</v>
      </c>
      <c r="AC7" s="104">
        <f>AB7*(1+5.1%)</f>
        <v>52409.165999999997</v>
      </c>
      <c r="AD7" s="104" t="s">
        <v>978</v>
      </c>
      <c r="AE7" s="104" t="s">
        <v>978</v>
      </c>
      <c r="AF7" s="104" t="s">
        <v>978</v>
      </c>
      <c r="AG7" s="104" t="s">
        <v>978</v>
      </c>
      <c r="AH7" s="104" t="s">
        <v>978</v>
      </c>
      <c r="AI7" s="104" t="s">
        <v>978</v>
      </c>
      <c r="AJ7" s="104" t="s">
        <v>978</v>
      </c>
      <c r="AK7" s="104" t="s">
        <v>978</v>
      </c>
      <c r="AL7" s="104">
        <f t="shared" si="0"/>
        <v>52409.165999999997</v>
      </c>
      <c r="AM7" s="120">
        <v>39900</v>
      </c>
      <c r="AN7" s="141">
        <v>84370</v>
      </c>
      <c r="AO7" s="119" t="s">
        <v>974</v>
      </c>
      <c r="AP7" s="103" t="s">
        <v>974</v>
      </c>
      <c r="AQ7" s="142">
        <v>83300</v>
      </c>
      <c r="AR7" s="103" t="s">
        <v>974</v>
      </c>
      <c r="AS7" s="103" t="s">
        <v>974</v>
      </c>
      <c r="AT7" s="103" t="s">
        <v>974</v>
      </c>
      <c r="AU7" s="103">
        <f>+MIN(AN7:AT7)</f>
        <v>83300</v>
      </c>
      <c r="AV7" s="158"/>
      <c r="AW7" s="156">
        <f>+AVERAGE(I7:AU7)</f>
        <v>63650.618857142857</v>
      </c>
      <c r="AX7" s="121">
        <f t="shared" si="1"/>
        <v>63651</v>
      </c>
      <c r="AY7" s="163" t="s">
        <v>1075</v>
      </c>
      <c r="AZ7" s="160">
        <v>3</v>
      </c>
      <c r="BA7" s="138">
        <v>6</v>
      </c>
      <c r="BB7" s="138">
        <v>0</v>
      </c>
      <c r="BC7" s="139">
        <f t="shared" si="2"/>
        <v>9</v>
      </c>
      <c r="BD7" s="140">
        <f t="shared" si="3"/>
        <v>572859</v>
      </c>
    </row>
    <row r="8" spans="1:56" s="125" customFormat="1" ht="22.5" x14ac:dyDescent="0.2">
      <c r="A8" s="149">
        <v>1</v>
      </c>
      <c r="B8" s="148">
        <v>5</v>
      </c>
      <c r="C8" s="105">
        <v>42131604</v>
      </c>
      <c r="D8" s="106" t="s">
        <v>530</v>
      </c>
      <c r="E8" s="105" t="s">
        <v>826</v>
      </c>
      <c r="F8" s="105" t="s">
        <v>304</v>
      </c>
      <c r="G8" s="143" t="s">
        <v>978</v>
      </c>
      <c r="H8" s="143" t="s">
        <v>978</v>
      </c>
      <c r="I8" s="143" t="s">
        <v>978</v>
      </c>
      <c r="J8" s="104" t="s">
        <v>978</v>
      </c>
      <c r="K8" s="104" t="s">
        <v>978</v>
      </c>
      <c r="L8" s="104" t="s">
        <v>978</v>
      </c>
      <c r="M8" s="104" t="s">
        <v>978</v>
      </c>
      <c r="N8" s="104">
        <f>9457*100</f>
        <v>945700</v>
      </c>
      <c r="O8" s="104">
        <f>N8*(1+5.2%)*(1+5.1%)</f>
        <v>1045615.0963999999</v>
      </c>
      <c r="P8" s="104" t="s">
        <v>978</v>
      </c>
      <c r="Q8" s="104" t="s">
        <v>1012</v>
      </c>
      <c r="R8" s="104" t="s">
        <v>978</v>
      </c>
      <c r="S8" s="104" t="s">
        <v>978</v>
      </c>
      <c r="T8" s="104" t="s">
        <v>978</v>
      </c>
      <c r="U8" s="104" t="s">
        <v>978</v>
      </c>
      <c r="V8" s="104" t="s">
        <v>978</v>
      </c>
      <c r="W8" s="104" t="s">
        <v>978</v>
      </c>
      <c r="X8" s="104" t="s">
        <v>978</v>
      </c>
      <c r="Y8" s="104" t="s">
        <v>978</v>
      </c>
      <c r="Z8" s="104" t="s">
        <v>978</v>
      </c>
      <c r="AA8" s="104" t="s">
        <v>978</v>
      </c>
      <c r="AB8" s="104" t="s">
        <v>978</v>
      </c>
      <c r="AC8" s="104" t="s">
        <v>978</v>
      </c>
      <c r="AD8" s="104" t="s">
        <v>978</v>
      </c>
      <c r="AE8" s="104" t="s">
        <v>978</v>
      </c>
      <c r="AF8" s="104" t="s">
        <v>978</v>
      </c>
      <c r="AG8" s="104" t="s">
        <v>978</v>
      </c>
      <c r="AH8" s="104" t="s">
        <v>978</v>
      </c>
      <c r="AI8" s="104" t="s">
        <v>978</v>
      </c>
      <c r="AJ8" s="104" t="s">
        <v>978</v>
      </c>
      <c r="AK8" s="104" t="s">
        <v>978</v>
      </c>
      <c r="AL8" s="104" t="s">
        <v>978</v>
      </c>
      <c r="AM8" s="120" t="s">
        <v>978</v>
      </c>
      <c r="AN8" s="141">
        <v>573146.86</v>
      </c>
      <c r="AO8" s="119" t="s">
        <v>974</v>
      </c>
      <c r="AP8" s="103">
        <v>20000</v>
      </c>
      <c r="AQ8" s="142">
        <v>892500</v>
      </c>
      <c r="AR8" s="103" t="s">
        <v>974</v>
      </c>
      <c r="AS8" s="103" t="s">
        <v>974</v>
      </c>
      <c r="AT8" s="103" t="s">
        <v>974</v>
      </c>
      <c r="AU8" s="103">
        <f>+MIN(AN8,AO8,AQ8,AR8,AS8,AT8)</f>
        <v>573146.86</v>
      </c>
      <c r="AV8" s="158" t="s">
        <v>1076</v>
      </c>
      <c r="AW8" s="156">
        <f t="shared" ref="AW8:AW14" si="4">+AVERAGE(AL8,AU8)</f>
        <v>573146.86</v>
      </c>
      <c r="AX8" s="121">
        <f t="shared" si="1"/>
        <v>573147</v>
      </c>
      <c r="AY8" s="163" t="s">
        <v>1073</v>
      </c>
      <c r="AZ8" s="160">
        <v>6</v>
      </c>
      <c r="BA8" s="138">
        <v>0</v>
      </c>
      <c r="BB8" s="138">
        <v>0</v>
      </c>
      <c r="BC8" s="139">
        <f t="shared" si="2"/>
        <v>6</v>
      </c>
      <c r="BD8" s="140">
        <f t="shared" si="3"/>
        <v>3438882</v>
      </c>
    </row>
    <row r="9" spans="1:56" s="125" customFormat="1" ht="33.75" x14ac:dyDescent="0.2">
      <c r="A9" s="149">
        <v>1</v>
      </c>
      <c r="B9" s="148">
        <v>6</v>
      </c>
      <c r="C9" s="105">
        <v>42131700</v>
      </c>
      <c r="D9" s="106" t="s">
        <v>534</v>
      </c>
      <c r="E9" s="111" t="s">
        <v>1049</v>
      </c>
      <c r="F9" s="105" t="s">
        <v>300</v>
      </c>
      <c r="G9" s="143" t="s">
        <v>978</v>
      </c>
      <c r="H9" s="143" t="s">
        <v>978</v>
      </c>
      <c r="I9" s="143" t="s">
        <v>978</v>
      </c>
      <c r="J9" s="104" t="s">
        <v>978</v>
      </c>
      <c r="K9" s="104" t="s">
        <v>978</v>
      </c>
      <c r="L9" s="104" t="s">
        <v>978</v>
      </c>
      <c r="M9" s="104" t="s">
        <v>978</v>
      </c>
      <c r="N9" s="104" t="s">
        <v>978</v>
      </c>
      <c r="O9" s="104" t="s">
        <v>978</v>
      </c>
      <c r="P9" s="104" t="s">
        <v>978</v>
      </c>
      <c r="Q9" s="104" t="s">
        <v>1012</v>
      </c>
      <c r="R9" s="104" t="s">
        <v>978</v>
      </c>
      <c r="S9" s="104" t="s">
        <v>978</v>
      </c>
      <c r="T9" s="104" t="s">
        <v>978</v>
      </c>
      <c r="U9" s="104" t="s">
        <v>978</v>
      </c>
      <c r="V9" s="104" t="s">
        <v>978</v>
      </c>
      <c r="W9" s="104" t="s">
        <v>978</v>
      </c>
      <c r="X9" s="104" t="s">
        <v>978</v>
      </c>
      <c r="Y9" s="104" t="s">
        <v>978</v>
      </c>
      <c r="Z9" s="104" t="s">
        <v>978</v>
      </c>
      <c r="AA9" s="104" t="s">
        <v>978</v>
      </c>
      <c r="AB9" s="104" t="s">
        <v>978</v>
      </c>
      <c r="AC9" s="104" t="s">
        <v>978</v>
      </c>
      <c r="AD9" s="104" t="s">
        <v>978</v>
      </c>
      <c r="AE9" s="104" t="s">
        <v>978</v>
      </c>
      <c r="AF9" s="104" t="s">
        <v>978</v>
      </c>
      <c r="AG9" s="104" t="s">
        <v>978</v>
      </c>
      <c r="AH9" s="104" t="s">
        <v>978</v>
      </c>
      <c r="AI9" s="104" t="s">
        <v>978</v>
      </c>
      <c r="AJ9" s="104" t="s">
        <v>978</v>
      </c>
      <c r="AK9" s="104" t="s">
        <v>978</v>
      </c>
      <c r="AL9" s="104" t="s">
        <v>978</v>
      </c>
      <c r="AM9" s="120" t="s">
        <v>978</v>
      </c>
      <c r="AN9" s="141">
        <v>9500</v>
      </c>
      <c r="AO9" s="119" t="s">
        <v>974</v>
      </c>
      <c r="AP9" s="103" t="s">
        <v>974</v>
      </c>
      <c r="AQ9" s="142">
        <v>11900</v>
      </c>
      <c r="AR9" s="103" t="s">
        <v>974</v>
      </c>
      <c r="AS9" s="103" t="s">
        <v>974</v>
      </c>
      <c r="AT9" s="103" t="s">
        <v>974</v>
      </c>
      <c r="AU9" s="103">
        <f>+MIN(AN9:AT9)</f>
        <v>9500</v>
      </c>
      <c r="AV9" s="158"/>
      <c r="AW9" s="156">
        <f t="shared" si="4"/>
        <v>9500</v>
      </c>
      <c r="AX9" s="121">
        <f t="shared" si="1"/>
        <v>9500</v>
      </c>
      <c r="AY9" s="163" t="s">
        <v>1073</v>
      </c>
      <c r="AZ9" s="160">
        <v>30</v>
      </c>
      <c r="BA9" s="138">
        <v>0</v>
      </c>
      <c r="BB9" s="138">
        <v>0</v>
      </c>
      <c r="BC9" s="139">
        <f t="shared" si="2"/>
        <v>30</v>
      </c>
      <c r="BD9" s="140">
        <f t="shared" si="3"/>
        <v>285000</v>
      </c>
    </row>
    <row r="10" spans="1:56" s="125" customFormat="1" ht="22.5" x14ac:dyDescent="0.2">
      <c r="A10" s="149">
        <v>1</v>
      </c>
      <c r="B10" s="148">
        <v>7</v>
      </c>
      <c r="C10" s="105">
        <v>42131700</v>
      </c>
      <c r="D10" s="106" t="s">
        <v>535</v>
      </c>
      <c r="E10" s="111" t="s">
        <v>1050</v>
      </c>
      <c r="F10" s="105" t="s">
        <v>300</v>
      </c>
      <c r="G10" s="143" t="s">
        <v>978</v>
      </c>
      <c r="H10" s="143" t="s">
        <v>978</v>
      </c>
      <c r="I10" s="143" t="s">
        <v>978</v>
      </c>
      <c r="J10" s="104" t="s">
        <v>978</v>
      </c>
      <c r="K10" s="104" t="s">
        <v>978</v>
      </c>
      <c r="L10" s="104" t="s">
        <v>978</v>
      </c>
      <c r="M10" s="104" t="s">
        <v>978</v>
      </c>
      <c r="N10" s="104" t="s">
        <v>978</v>
      </c>
      <c r="O10" s="104" t="s">
        <v>978</v>
      </c>
      <c r="P10" s="104" t="s">
        <v>978</v>
      </c>
      <c r="Q10" s="104" t="s">
        <v>1012</v>
      </c>
      <c r="R10" s="104" t="s">
        <v>978</v>
      </c>
      <c r="S10" s="104" t="s">
        <v>978</v>
      </c>
      <c r="T10" s="104" t="s">
        <v>978</v>
      </c>
      <c r="U10" s="104" t="s">
        <v>978</v>
      </c>
      <c r="V10" s="104" t="s">
        <v>978</v>
      </c>
      <c r="W10" s="104" t="s">
        <v>978</v>
      </c>
      <c r="X10" s="104" t="s">
        <v>978</v>
      </c>
      <c r="Y10" s="104" t="s">
        <v>978</v>
      </c>
      <c r="Z10" s="104" t="s">
        <v>978</v>
      </c>
      <c r="AA10" s="104" t="s">
        <v>978</v>
      </c>
      <c r="AB10" s="104" t="s">
        <v>978</v>
      </c>
      <c r="AC10" s="104" t="s">
        <v>978</v>
      </c>
      <c r="AD10" s="104" t="s">
        <v>978</v>
      </c>
      <c r="AE10" s="104" t="s">
        <v>978</v>
      </c>
      <c r="AF10" s="104" t="s">
        <v>978</v>
      </c>
      <c r="AG10" s="104" t="s">
        <v>978</v>
      </c>
      <c r="AH10" s="104" t="s">
        <v>978</v>
      </c>
      <c r="AI10" s="104" t="s">
        <v>978</v>
      </c>
      <c r="AJ10" s="104" t="s">
        <v>978</v>
      </c>
      <c r="AK10" s="104" t="s">
        <v>978</v>
      </c>
      <c r="AL10" s="104" t="s">
        <v>978</v>
      </c>
      <c r="AM10" s="120" t="s">
        <v>978</v>
      </c>
      <c r="AN10" s="141">
        <v>340000</v>
      </c>
      <c r="AO10" s="119" t="s">
        <v>974</v>
      </c>
      <c r="AP10" s="103" t="s">
        <v>974</v>
      </c>
      <c r="AQ10" s="142" t="s">
        <v>974</v>
      </c>
      <c r="AR10" s="103" t="s">
        <v>974</v>
      </c>
      <c r="AS10" s="103" t="s">
        <v>974</v>
      </c>
      <c r="AT10" s="103" t="s">
        <v>974</v>
      </c>
      <c r="AU10" s="103">
        <f>+MIN(AN10:AT10)</f>
        <v>340000</v>
      </c>
      <c r="AV10" s="158"/>
      <c r="AW10" s="156">
        <f t="shared" si="4"/>
        <v>340000</v>
      </c>
      <c r="AX10" s="121">
        <f t="shared" si="1"/>
        <v>340000</v>
      </c>
      <c r="AY10" s="163" t="s">
        <v>1073</v>
      </c>
      <c r="AZ10" s="160">
        <v>9</v>
      </c>
      <c r="BA10" s="138">
        <v>0</v>
      </c>
      <c r="BB10" s="138">
        <v>0</v>
      </c>
      <c r="BC10" s="139">
        <f t="shared" si="2"/>
        <v>9</v>
      </c>
      <c r="BD10" s="140">
        <f t="shared" si="3"/>
        <v>3060000</v>
      </c>
    </row>
    <row r="11" spans="1:56" s="125" customFormat="1" ht="33.75" x14ac:dyDescent="0.2">
      <c r="A11" s="149">
        <v>1</v>
      </c>
      <c r="B11" s="148">
        <v>8</v>
      </c>
      <c r="C11" s="105">
        <v>53102708</v>
      </c>
      <c r="D11" s="106" t="s">
        <v>539</v>
      </c>
      <c r="E11" s="105" t="s">
        <v>707</v>
      </c>
      <c r="F11" s="105" t="s">
        <v>286</v>
      </c>
      <c r="G11" s="143" t="s">
        <v>978</v>
      </c>
      <c r="H11" s="143" t="s">
        <v>978</v>
      </c>
      <c r="I11" s="143" t="s">
        <v>978</v>
      </c>
      <c r="J11" s="104" t="s">
        <v>978</v>
      </c>
      <c r="K11" s="104" t="s">
        <v>978</v>
      </c>
      <c r="L11" s="104" t="s">
        <v>978</v>
      </c>
      <c r="M11" s="104" t="s">
        <v>978</v>
      </c>
      <c r="N11" s="104" t="s">
        <v>978</v>
      </c>
      <c r="O11" s="104" t="s">
        <v>978</v>
      </c>
      <c r="P11" s="104" t="s">
        <v>978</v>
      </c>
      <c r="Q11" s="104" t="s">
        <v>1012</v>
      </c>
      <c r="R11" s="104" t="s">
        <v>978</v>
      </c>
      <c r="S11" s="104" t="s">
        <v>978</v>
      </c>
      <c r="T11" s="104" t="s">
        <v>978</v>
      </c>
      <c r="U11" s="104" t="s">
        <v>978</v>
      </c>
      <c r="V11" s="104" t="s">
        <v>978</v>
      </c>
      <c r="W11" s="104" t="s">
        <v>978</v>
      </c>
      <c r="X11" s="104" t="s">
        <v>978</v>
      </c>
      <c r="Y11" s="104" t="s">
        <v>978</v>
      </c>
      <c r="Z11" s="104">
        <v>100000</v>
      </c>
      <c r="AA11" s="104">
        <f>Z11*(1+5.1%)</f>
        <v>105100</v>
      </c>
      <c r="AB11" s="104" t="s">
        <v>978</v>
      </c>
      <c r="AC11" s="104" t="s">
        <v>978</v>
      </c>
      <c r="AD11" s="104" t="s">
        <v>978</v>
      </c>
      <c r="AE11" s="104" t="s">
        <v>978</v>
      </c>
      <c r="AF11" s="104" t="s">
        <v>978</v>
      </c>
      <c r="AG11" s="104" t="s">
        <v>978</v>
      </c>
      <c r="AH11" s="104" t="s">
        <v>978</v>
      </c>
      <c r="AI11" s="104" t="s">
        <v>978</v>
      </c>
      <c r="AJ11" s="104" t="s">
        <v>978</v>
      </c>
      <c r="AK11" s="104" t="s">
        <v>978</v>
      </c>
      <c r="AL11" s="104">
        <f t="shared" si="0"/>
        <v>105100</v>
      </c>
      <c r="AM11" s="120" t="s">
        <v>978</v>
      </c>
      <c r="AN11" s="141">
        <v>407550</v>
      </c>
      <c r="AO11" s="119" t="s">
        <v>974</v>
      </c>
      <c r="AP11" s="103" t="s">
        <v>974</v>
      </c>
      <c r="AQ11" s="142">
        <v>963900</v>
      </c>
      <c r="AR11" s="103" t="s">
        <v>974</v>
      </c>
      <c r="AS11" s="103" t="s">
        <v>974</v>
      </c>
      <c r="AT11" s="103" t="s">
        <v>974</v>
      </c>
      <c r="AU11" s="103">
        <f>+MIN(AN11:AT11)</f>
        <v>407550</v>
      </c>
      <c r="AV11" s="158"/>
      <c r="AW11" s="156">
        <f t="shared" si="4"/>
        <v>256325</v>
      </c>
      <c r="AX11" s="121">
        <f t="shared" si="1"/>
        <v>256325</v>
      </c>
      <c r="AY11" s="163" t="s">
        <v>1073</v>
      </c>
      <c r="AZ11" s="160">
        <v>1</v>
      </c>
      <c r="BA11" s="138">
        <v>0</v>
      </c>
      <c r="BB11" s="138">
        <v>0</v>
      </c>
      <c r="BC11" s="139">
        <f t="shared" si="2"/>
        <v>1</v>
      </c>
      <c r="BD11" s="140">
        <f t="shared" si="3"/>
        <v>256325</v>
      </c>
    </row>
    <row r="12" spans="1:56" s="125" customFormat="1" ht="22.5" x14ac:dyDescent="0.2">
      <c r="A12" s="149">
        <v>1</v>
      </c>
      <c r="B12" s="148">
        <v>9</v>
      </c>
      <c r="C12" s="105">
        <v>42131704</v>
      </c>
      <c r="D12" s="106" t="s">
        <v>538</v>
      </c>
      <c r="E12" s="105" t="s">
        <v>1035</v>
      </c>
      <c r="F12" s="105" t="s">
        <v>286</v>
      </c>
      <c r="G12" s="143" t="s">
        <v>978</v>
      </c>
      <c r="H12" s="143" t="s">
        <v>978</v>
      </c>
      <c r="I12" s="143" t="s">
        <v>978</v>
      </c>
      <c r="J12" s="104" t="s">
        <v>978</v>
      </c>
      <c r="K12" s="104" t="s">
        <v>978</v>
      </c>
      <c r="L12" s="104" t="s">
        <v>978</v>
      </c>
      <c r="M12" s="104" t="s">
        <v>978</v>
      </c>
      <c r="N12" s="104" t="s">
        <v>978</v>
      </c>
      <c r="O12" s="104" t="s">
        <v>978</v>
      </c>
      <c r="P12" s="104" t="s">
        <v>978</v>
      </c>
      <c r="Q12" s="104" t="s">
        <v>1012</v>
      </c>
      <c r="R12" s="104" t="s">
        <v>978</v>
      </c>
      <c r="S12" s="104" t="s">
        <v>978</v>
      </c>
      <c r="T12" s="104" t="s">
        <v>978</v>
      </c>
      <c r="U12" s="104" t="s">
        <v>978</v>
      </c>
      <c r="V12" s="104" t="s">
        <v>978</v>
      </c>
      <c r="W12" s="104" t="s">
        <v>978</v>
      </c>
      <c r="X12" s="104" t="s">
        <v>978</v>
      </c>
      <c r="Y12" s="104" t="s">
        <v>978</v>
      </c>
      <c r="Z12" s="104" t="s">
        <v>978</v>
      </c>
      <c r="AA12" s="104" t="s">
        <v>978</v>
      </c>
      <c r="AB12" s="104" t="s">
        <v>978</v>
      </c>
      <c r="AC12" s="104" t="s">
        <v>978</v>
      </c>
      <c r="AD12" s="104" t="s">
        <v>978</v>
      </c>
      <c r="AE12" s="104" t="s">
        <v>978</v>
      </c>
      <c r="AF12" s="104" t="s">
        <v>978</v>
      </c>
      <c r="AG12" s="104" t="s">
        <v>978</v>
      </c>
      <c r="AH12" s="104" t="s">
        <v>978</v>
      </c>
      <c r="AI12" s="104" t="s">
        <v>978</v>
      </c>
      <c r="AJ12" s="104" t="s">
        <v>978</v>
      </c>
      <c r="AK12" s="104" t="s">
        <v>978</v>
      </c>
      <c r="AL12" s="104" t="s">
        <v>978</v>
      </c>
      <c r="AM12" s="120" t="s">
        <v>978</v>
      </c>
      <c r="AN12" s="141">
        <v>36465</v>
      </c>
      <c r="AO12" s="119" t="s">
        <v>974</v>
      </c>
      <c r="AP12" s="103" t="s">
        <v>974</v>
      </c>
      <c r="AQ12" s="142">
        <v>35700</v>
      </c>
      <c r="AR12" s="103" t="s">
        <v>974</v>
      </c>
      <c r="AS12" s="103" t="s">
        <v>974</v>
      </c>
      <c r="AT12" s="103" t="s">
        <v>974</v>
      </c>
      <c r="AU12" s="103">
        <f>+MIN(AN12:AT12)</f>
        <v>35700</v>
      </c>
      <c r="AV12" s="158"/>
      <c r="AW12" s="156">
        <f t="shared" si="4"/>
        <v>35700</v>
      </c>
      <c r="AX12" s="121">
        <f t="shared" si="1"/>
        <v>35700</v>
      </c>
      <c r="AY12" s="163" t="s">
        <v>1073</v>
      </c>
      <c r="AZ12" s="160">
        <v>20</v>
      </c>
      <c r="BA12" s="138">
        <v>0</v>
      </c>
      <c r="BB12" s="138">
        <v>0</v>
      </c>
      <c r="BC12" s="139">
        <f t="shared" si="2"/>
        <v>20</v>
      </c>
      <c r="BD12" s="140">
        <f t="shared" si="3"/>
        <v>714000</v>
      </c>
    </row>
    <row r="13" spans="1:56" s="125" customFormat="1" ht="101.25" x14ac:dyDescent="0.2">
      <c r="A13" s="149">
        <v>1</v>
      </c>
      <c r="B13" s="148">
        <v>10</v>
      </c>
      <c r="C13" s="105">
        <v>53102708</v>
      </c>
      <c r="D13" s="106" t="s">
        <v>537</v>
      </c>
      <c r="E13" s="105" t="s">
        <v>827</v>
      </c>
      <c r="F13" s="105" t="s">
        <v>286</v>
      </c>
      <c r="G13" s="143" t="s">
        <v>978</v>
      </c>
      <c r="H13" s="143" t="s">
        <v>978</v>
      </c>
      <c r="I13" s="143" t="s">
        <v>978</v>
      </c>
      <c r="J13" s="104" t="s">
        <v>978</v>
      </c>
      <c r="K13" s="104" t="s">
        <v>978</v>
      </c>
      <c r="L13" s="104" t="s">
        <v>978</v>
      </c>
      <c r="M13" s="104" t="s">
        <v>978</v>
      </c>
      <c r="N13" s="104" t="s">
        <v>978</v>
      </c>
      <c r="O13" s="104" t="s">
        <v>978</v>
      </c>
      <c r="P13" s="104" t="s">
        <v>978</v>
      </c>
      <c r="Q13" s="104" t="s">
        <v>1012</v>
      </c>
      <c r="R13" s="104" t="s">
        <v>978</v>
      </c>
      <c r="S13" s="104" t="s">
        <v>978</v>
      </c>
      <c r="T13" s="104" t="s">
        <v>978</v>
      </c>
      <c r="U13" s="104" t="s">
        <v>978</v>
      </c>
      <c r="V13" s="104" t="s">
        <v>978</v>
      </c>
      <c r="W13" s="104" t="s">
        <v>978</v>
      </c>
      <c r="X13" s="104" t="s">
        <v>978</v>
      </c>
      <c r="Y13" s="104" t="s">
        <v>978</v>
      </c>
      <c r="Z13" s="104">
        <v>156651</v>
      </c>
      <c r="AA13" s="104">
        <f>Z13*(1+5.1%)</f>
        <v>164640.201</v>
      </c>
      <c r="AB13" s="104" t="s">
        <v>978</v>
      </c>
      <c r="AC13" s="104" t="s">
        <v>978</v>
      </c>
      <c r="AD13" s="104" t="s">
        <v>978</v>
      </c>
      <c r="AE13" s="104" t="s">
        <v>978</v>
      </c>
      <c r="AF13" s="104" t="s">
        <v>978</v>
      </c>
      <c r="AG13" s="104" t="s">
        <v>978</v>
      </c>
      <c r="AH13" s="104" t="s">
        <v>978</v>
      </c>
      <c r="AI13" s="104" t="s">
        <v>978</v>
      </c>
      <c r="AJ13" s="104" t="s">
        <v>978</v>
      </c>
      <c r="AK13" s="104" t="s">
        <v>978</v>
      </c>
      <c r="AL13" s="104">
        <f t="shared" si="0"/>
        <v>164640.201</v>
      </c>
      <c r="AM13" s="120" t="s">
        <v>978</v>
      </c>
      <c r="AN13" s="141">
        <v>221650</v>
      </c>
      <c r="AO13" s="119" t="s">
        <v>974</v>
      </c>
      <c r="AP13" s="103">
        <v>18000</v>
      </c>
      <c r="AQ13" s="142">
        <v>208250</v>
      </c>
      <c r="AR13" s="103" t="s">
        <v>974</v>
      </c>
      <c r="AS13" s="103" t="s">
        <v>974</v>
      </c>
      <c r="AT13" s="103" t="s">
        <v>974</v>
      </c>
      <c r="AU13" s="103">
        <f>+MIN(AN13,AO13,AQ13,AR13,AS13,AT13)</f>
        <v>208250</v>
      </c>
      <c r="AV13" s="158" t="s">
        <v>1076</v>
      </c>
      <c r="AW13" s="156">
        <f t="shared" si="4"/>
        <v>186445.1005</v>
      </c>
      <c r="AX13" s="121">
        <f t="shared" si="1"/>
        <v>186445</v>
      </c>
      <c r="AY13" s="163" t="s">
        <v>1073</v>
      </c>
      <c r="AZ13" s="160">
        <v>12</v>
      </c>
      <c r="BA13" s="138">
        <v>0</v>
      </c>
      <c r="BB13" s="138">
        <v>0</v>
      </c>
      <c r="BC13" s="139">
        <f t="shared" si="2"/>
        <v>12</v>
      </c>
      <c r="BD13" s="140">
        <f t="shared" si="3"/>
        <v>2237340</v>
      </c>
    </row>
    <row r="14" spans="1:56" s="125" customFormat="1" ht="45" x14ac:dyDescent="0.2">
      <c r="A14" s="149">
        <v>1</v>
      </c>
      <c r="B14" s="148">
        <v>11</v>
      </c>
      <c r="C14" s="105">
        <v>42131606</v>
      </c>
      <c r="D14" s="106" t="s">
        <v>567</v>
      </c>
      <c r="E14" s="105" t="s">
        <v>800</v>
      </c>
      <c r="F14" s="105" t="s">
        <v>299</v>
      </c>
      <c r="G14" s="143">
        <f>213*50</f>
        <v>10650</v>
      </c>
      <c r="H14" s="143" t="s">
        <v>978</v>
      </c>
      <c r="I14" s="143">
        <f>+AVERAGE(G14:H14)</f>
        <v>10650</v>
      </c>
      <c r="J14" s="104" t="s">
        <v>978</v>
      </c>
      <c r="K14" s="104" t="s">
        <v>978</v>
      </c>
      <c r="L14" s="104" t="s">
        <v>978</v>
      </c>
      <c r="M14" s="104" t="s">
        <v>978</v>
      </c>
      <c r="N14" s="104">
        <v>7248</v>
      </c>
      <c r="O14" s="104">
        <f>N14*(1+5.2%)*(1+5.1%)</f>
        <v>8013.7656960000004</v>
      </c>
      <c r="P14" s="104" t="s">
        <v>978</v>
      </c>
      <c r="Q14" s="104" t="s">
        <v>1012</v>
      </c>
      <c r="R14" s="104" t="s">
        <v>978</v>
      </c>
      <c r="S14" s="104" t="s">
        <v>978</v>
      </c>
      <c r="T14" s="104" t="s">
        <v>978</v>
      </c>
      <c r="U14" s="104" t="s">
        <v>978</v>
      </c>
      <c r="V14" s="104">
        <v>8035</v>
      </c>
      <c r="W14" s="104">
        <f>V14*(1+5.1%)</f>
        <v>8444.7849999999999</v>
      </c>
      <c r="X14" s="104" t="s">
        <v>978</v>
      </c>
      <c r="Y14" s="104" t="s">
        <v>978</v>
      </c>
      <c r="Z14" s="104" t="s">
        <v>978</v>
      </c>
      <c r="AA14" s="104" t="s">
        <v>978</v>
      </c>
      <c r="AB14" s="104">
        <v>4889</v>
      </c>
      <c r="AC14" s="104">
        <f>AB14*(1+5.1%)</f>
        <v>5138.3389999999999</v>
      </c>
      <c r="AD14" s="104" t="s">
        <v>978</v>
      </c>
      <c r="AE14" s="104" t="s">
        <v>978</v>
      </c>
      <c r="AF14" s="104" t="s">
        <v>978</v>
      </c>
      <c r="AG14" s="104" t="s">
        <v>978</v>
      </c>
      <c r="AH14" s="104" t="s">
        <v>978</v>
      </c>
      <c r="AI14" s="104" t="s">
        <v>978</v>
      </c>
      <c r="AJ14" s="104" t="s">
        <v>978</v>
      </c>
      <c r="AK14" s="104" t="s">
        <v>978</v>
      </c>
      <c r="AL14" s="104">
        <f t="shared" si="0"/>
        <v>7198.9632319999992</v>
      </c>
      <c r="AM14" s="120">
        <v>8240</v>
      </c>
      <c r="AN14" s="141">
        <v>14012.57</v>
      </c>
      <c r="AO14" s="119">
        <v>200.316666666667</v>
      </c>
      <c r="AP14" s="103">
        <v>9000</v>
      </c>
      <c r="AQ14" s="142">
        <v>95200</v>
      </c>
      <c r="AR14" s="103" t="s">
        <v>974</v>
      </c>
      <c r="AS14" s="103" t="s">
        <v>974</v>
      </c>
      <c r="AT14" s="103" t="s">
        <v>974</v>
      </c>
      <c r="AU14" s="103">
        <f>+MIN(AN14,AP14,AQ14,AR14,AS14,AT14)</f>
        <v>9000</v>
      </c>
      <c r="AV14" s="158" t="s">
        <v>1077</v>
      </c>
      <c r="AW14" s="156">
        <f t="shared" si="4"/>
        <v>8099.4816159999991</v>
      </c>
      <c r="AX14" s="121">
        <f>+ROUND(AW14,0)</f>
        <v>8099</v>
      </c>
      <c r="AY14" s="163" t="s">
        <v>1074</v>
      </c>
      <c r="AZ14" s="160">
        <v>100</v>
      </c>
      <c r="BA14" s="138">
        <v>20</v>
      </c>
      <c r="BB14" s="138">
        <v>25</v>
      </c>
      <c r="BC14" s="139">
        <f t="shared" si="2"/>
        <v>145</v>
      </c>
      <c r="BD14" s="140">
        <f t="shared" si="3"/>
        <v>1174355</v>
      </c>
    </row>
    <row r="15" spans="1:56" s="125" customFormat="1" ht="42" customHeight="1" x14ac:dyDescent="0.2">
      <c r="A15" s="149">
        <v>1</v>
      </c>
      <c r="B15" s="148">
        <v>12</v>
      </c>
      <c r="C15" s="105">
        <v>42131702</v>
      </c>
      <c r="D15" s="106" t="s">
        <v>568</v>
      </c>
      <c r="E15" s="105" t="s">
        <v>828</v>
      </c>
      <c r="F15" s="105" t="s">
        <v>570</v>
      </c>
      <c r="G15" s="143">
        <f>3392*10</f>
        <v>33920</v>
      </c>
      <c r="H15" s="143">
        <f>2261*10</f>
        <v>22610</v>
      </c>
      <c r="I15" s="143">
        <f>+AVERAGE(G15:H15)</f>
        <v>28265</v>
      </c>
      <c r="J15" s="104" t="s">
        <v>978</v>
      </c>
      <c r="K15" s="104" t="s">
        <v>978</v>
      </c>
      <c r="L15" s="104" t="s">
        <v>978</v>
      </c>
      <c r="M15" s="104" t="s">
        <v>978</v>
      </c>
      <c r="N15" s="104" t="s">
        <v>978</v>
      </c>
      <c r="O15" s="104" t="s">
        <v>978</v>
      </c>
      <c r="P15" s="104" t="s">
        <v>978</v>
      </c>
      <c r="Q15" s="104" t="s">
        <v>1012</v>
      </c>
      <c r="R15" s="104" t="s">
        <v>978</v>
      </c>
      <c r="S15" s="104" t="s">
        <v>978</v>
      </c>
      <c r="T15" s="104" t="s">
        <v>978</v>
      </c>
      <c r="U15" s="104" t="s">
        <v>978</v>
      </c>
      <c r="V15" s="104" t="s">
        <v>978</v>
      </c>
      <c r="W15" s="104" t="s">
        <v>978</v>
      </c>
      <c r="X15" s="104" t="s">
        <v>978</v>
      </c>
      <c r="Y15" s="104" t="s">
        <v>978</v>
      </c>
      <c r="Z15" s="104" t="s">
        <v>978</v>
      </c>
      <c r="AA15" s="104" t="s">
        <v>978</v>
      </c>
      <c r="AB15" s="104" t="s">
        <v>978</v>
      </c>
      <c r="AC15" s="104" t="s">
        <v>978</v>
      </c>
      <c r="AD15" s="104" t="s">
        <v>978</v>
      </c>
      <c r="AE15" s="104" t="s">
        <v>978</v>
      </c>
      <c r="AF15" s="104" t="s">
        <v>978</v>
      </c>
      <c r="AG15" s="104" t="s">
        <v>978</v>
      </c>
      <c r="AH15" s="104" t="s">
        <v>978</v>
      </c>
      <c r="AI15" s="104" t="s">
        <v>978</v>
      </c>
      <c r="AJ15" s="104" t="s">
        <v>978</v>
      </c>
      <c r="AK15" s="104" t="s">
        <v>978</v>
      </c>
      <c r="AL15" s="104" t="s">
        <v>978</v>
      </c>
      <c r="AM15" s="120">
        <v>25900</v>
      </c>
      <c r="AN15" s="141">
        <f>5577*10</f>
        <v>55770</v>
      </c>
      <c r="AO15" s="119">
        <f>2431.56666666667*10</f>
        <v>24315.666666666697</v>
      </c>
      <c r="AP15" s="103">
        <f>4000*10</f>
        <v>40000</v>
      </c>
      <c r="AQ15" s="142" t="s">
        <v>974</v>
      </c>
      <c r="AR15" s="103" t="s">
        <v>974</v>
      </c>
      <c r="AS15" s="103" t="s">
        <v>974</v>
      </c>
      <c r="AT15" s="103" t="s">
        <v>974</v>
      </c>
      <c r="AU15" s="103">
        <f t="shared" ref="AU15:AU28" si="5">+MIN(AN15:AT15)</f>
        <v>24315.666666666697</v>
      </c>
      <c r="AV15" s="158"/>
      <c r="AW15" s="156">
        <f>+AU15</f>
        <v>24315.666666666697</v>
      </c>
      <c r="AX15" s="121">
        <f>+ROUND(AW15,0)</f>
        <v>24316</v>
      </c>
      <c r="AY15" s="163" t="s">
        <v>1078</v>
      </c>
      <c r="AZ15" s="160">
        <v>24</v>
      </c>
      <c r="BA15" s="138">
        <v>0</v>
      </c>
      <c r="BB15" s="138">
        <v>0</v>
      </c>
      <c r="BC15" s="139">
        <f t="shared" si="2"/>
        <v>24</v>
      </c>
      <c r="BD15" s="140">
        <f t="shared" si="3"/>
        <v>583584</v>
      </c>
    </row>
    <row r="16" spans="1:56" s="125" customFormat="1" ht="22.5" x14ac:dyDescent="0.2">
      <c r="A16" s="149">
        <v>1</v>
      </c>
      <c r="B16" s="148">
        <v>13</v>
      </c>
      <c r="C16" s="105">
        <v>42152502</v>
      </c>
      <c r="D16" s="106" t="s">
        <v>569</v>
      </c>
      <c r="E16" s="105" t="s">
        <v>801</v>
      </c>
      <c r="F16" s="105" t="s">
        <v>571</v>
      </c>
      <c r="G16" s="143" t="s">
        <v>978</v>
      </c>
      <c r="H16" s="143" t="s">
        <v>978</v>
      </c>
      <c r="I16" s="143" t="s">
        <v>978</v>
      </c>
      <c r="J16" s="104" t="s">
        <v>978</v>
      </c>
      <c r="K16" s="104" t="s">
        <v>978</v>
      </c>
      <c r="L16" s="104" t="s">
        <v>978</v>
      </c>
      <c r="M16" s="104" t="s">
        <v>978</v>
      </c>
      <c r="N16" s="104" t="s">
        <v>978</v>
      </c>
      <c r="O16" s="104" t="s">
        <v>978</v>
      </c>
      <c r="P16" s="104" t="s">
        <v>978</v>
      </c>
      <c r="Q16" s="104" t="s">
        <v>1012</v>
      </c>
      <c r="R16" s="104">
        <v>63397</v>
      </c>
      <c r="S16" s="104">
        <f>R16*(1+5.2%)*(1+5.1%)</f>
        <v>70095.019843999995</v>
      </c>
      <c r="T16" s="104" t="s">
        <v>978</v>
      </c>
      <c r="U16" s="104" t="s">
        <v>978</v>
      </c>
      <c r="V16" s="104" t="s">
        <v>978</v>
      </c>
      <c r="W16" s="104" t="s">
        <v>978</v>
      </c>
      <c r="X16" s="104" t="s">
        <v>978</v>
      </c>
      <c r="Y16" s="104" t="s">
        <v>978</v>
      </c>
      <c r="Z16" s="104" t="s">
        <v>978</v>
      </c>
      <c r="AA16" s="104" t="s">
        <v>978</v>
      </c>
      <c r="AB16" s="104">
        <v>57090</v>
      </c>
      <c r="AC16" s="104">
        <f>AB16*(1+5.1%)</f>
        <v>60001.59</v>
      </c>
      <c r="AD16" s="104" t="s">
        <v>978</v>
      </c>
      <c r="AE16" s="104" t="s">
        <v>978</v>
      </c>
      <c r="AF16" s="104" t="s">
        <v>978</v>
      </c>
      <c r="AG16" s="104" t="s">
        <v>978</v>
      </c>
      <c r="AH16" s="104" t="s">
        <v>978</v>
      </c>
      <c r="AI16" s="104" t="s">
        <v>978</v>
      </c>
      <c r="AJ16" s="104" t="s">
        <v>978</v>
      </c>
      <c r="AK16" s="104" t="s">
        <v>978</v>
      </c>
      <c r="AL16" s="104">
        <f t="shared" si="0"/>
        <v>65048.304921999996</v>
      </c>
      <c r="AM16" s="120">
        <v>82000</v>
      </c>
      <c r="AN16" s="141">
        <v>117260</v>
      </c>
      <c r="AO16" s="119" t="s">
        <v>974</v>
      </c>
      <c r="AP16" s="103" t="s">
        <v>974</v>
      </c>
      <c r="AQ16" s="142">
        <v>113050</v>
      </c>
      <c r="AR16" s="103" t="s">
        <v>974</v>
      </c>
      <c r="AS16" s="103" t="s">
        <v>974</v>
      </c>
      <c r="AT16" s="103" t="s">
        <v>974</v>
      </c>
      <c r="AU16" s="103">
        <f t="shared" si="5"/>
        <v>113050</v>
      </c>
      <c r="AV16" s="158"/>
      <c r="AW16" s="156">
        <f>+AVERAGE(I16:AU16)</f>
        <v>82332.434974000003</v>
      </c>
      <c r="AX16" s="121">
        <f t="shared" ref="AX16" si="6">+ROUND(AW16,0)</f>
        <v>82332</v>
      </c>
      <c r="AY16" s="163" t="s">
        <v>1075</v>
      </c>
      <c r="AZ16" s="160">
        <v>40</v>
      </c>
      <c r="BA16" s="138">
        <v>30</v>
      </c>
      <c r="BB16" s="138">
        <v>20</v>
      </c>
      <c r="BC16" s="139">
        <f t="shared" si="2"/>
        <v>90</v>
      </c>
      <c r="BD16" s="140">
        <f t="shared" si="3"/>
        <v>7409880</v>
      </c>
    </row>
    <row r="17" spans="1:56" s="125" customFormat="1" ht="22.5" x14ac:dyDescent="0.2">
      <c r="A17" s="149">
        <v>1</v>
      </c>
      <c r="B17" s="148">
        <v>14</v>
      </c>
      <c r="C17" s="105">
        <v>42131700</v>
      </c>
      <c r="D17" s="106" t="s">
        <v>572</v>
      </c>
      <c r="E17" s="105" t="s">
        <v>802</v>
      </c>
      <c r="F17" s="105" t="s">
        <v>286</v>
      </c>
      <c r="G17" s="143" t="s">
        <v>978</v>
      </c>
      <c r="H17" s="143" t="s">
        <v>978</v>
      </c>
      <c r="I17" s="143" t="s">
        <v>978</v>
      </c>
      <c r="J17" s="104" t="s">
        <v>978</v>
      </c>
      <c r="K17" s="104" t="s">
        <v>978</v>
      </c>
      <c r="L17" s="104" t="s">
        <v>978</v>
      </c>
      <c r="M17" s="104" t="s">
        <v>978</v>
      </c>
      <c r="N17" s="104" t="s">
        <v>978</v>
      </c>
      <c r="O17" s="104" t="s">
        <v>978</v>
      </c>
      <c r="P17" s="104" t="s">
        <v>978</v>
      </c>
      <c r="Q17" s="104" t="s">
        <v>1012</v>
      </c>
      <c r="R17" s="104" t="s">
        <v>978</v>
      </c>
      <c r="S17" s="104" t="s">
        <v>978</v>
      </c>
      <c r="T17" s="104" t="s">
        <v>978</v>
      </c>
      <c r="U17" s="104" t="s">
        <v>978</v>
      </c>
      <c r="V17" s="104" t="s">
        <v>978</v>
      </c>
      <c r="W17" s="104" t="s">
        <v>978</v>
      </c>
      <c r="X17" s="104" t="s">
        <v>978</v>
      </c>
      <c r="Y17" s="104" t="s">
        <v>978</v>
      </c>
      <c r="Z17" s="104" t="s">
        <v>978</v>
      </c>
      <c r="AA17" s="104" t="s">
        <v>978</v>
      </c>
      <c r="AB17" s="104" t="s">
        <v>978</v>
      </c>
      <c r="AC17" s="104" t="s">
        <v>978</v>
      </c>
      <c r="AD17" s="104" t="s">
        <v>978</v>
      </c>
      <c r="AE17" s="104" t="s">
        <v>978</v>
      </c>
      <c r="AF17" s="104" t="s">
        <v>978</v>
      </c>
      <c r="AG17" s="104" t="s">
        <v>978</v>
      </c>
      <c r="AH17" s="104" t="s">
        <v>978</v>
      </c>
      <c r="AI17" s="104" t="s">
        <v>978</v>
      </c>
      <c r="AJ17" s="104" t="s">
        <v>978</v>
      </c>
      <c r="AK17" s="104" t="s">
        <v>978</v>
      </c>
      <c r="AL17" s="104" t="s">
        <v>978</v>
      </c>
      <c r="AM17" s="120" t="s">
        <v>978</v>
      </c>
      <c r="AN17" s="141">
        <v>64350</v>
      </c>
      <c r="AO17" s="119" t="s">
        <v>974</v>
      </c>
      <c r="AP17" s="103" t="s">
        <v>974</v>
      </c>
      <c r="AQ17" s="142">
        <v>61880</v>
      </c>
      <c r="AR17" s="103" t="s">
        <v>974</v>
      </c>
      <c r="AS17" s="103" t="s">
        <v>974</v>
      </c>
      <c r="AT17" s="103" t="s">
        <v>974</v>
      </c>
      <c r="AU17" s="103">
        <f t="shared" si="5"/>
        <v>61880</v>
      </c>
      <c r="AV17" s="158"/>
      <c r="AW17" s="156">
        <f>+AVERAGE(AL17,AU17)</f>
        <v>61880</v>
      </c>
      <c r="AX17" s="121">
        <f t="shared" si="1"/>
        <v>61880</v>
      </c>
      <c r="AY17" s="163" t="s">
        <v>1073</v>
      </c>
      <c r="AZ17" s="160">
        <v>25</v>
      </c>
      <c r="BA17" s="138">
        <v>0</v>
      </c>
      <c r="BB17" s="138">
        <v>0</v>
      </c>
      <c r="BC17" s="139">
        <f t="shared" si="2"/>
        <v>25</v>
      </c>
      <c r="BD17" s="140">
        <f t="shared" si="3"/>
        <v>1547000</v>
      </c>
    </row>
    <row r="18" spans="1:56" s="125" customFormat="1" ht="22.5" x14ac:dyDescent="0.2">
      <c r="A18" s="149">
        <v>1</v>
      </c>
      <c r="B18" s="148">
        <v>15</v>
      </c>
      <c r="C18" s="105">
        <v>42131700</v>
      </c>
      <c r="D18" s="106" t="s">
        <v>536</v>
      </c>
      <c r="E18" s="111" t="s">
        <v>1051</v>
      </c>
      <c r="F18" s="111" t="s">
        <v>1052</v>
      </c>
      <c r="G18" s="143" t="s">
        <v>978</v>
      </c>
      <c r="H18" s="143" t="s">
        <v>978</v>
      </c>
      <c r="I18" s="143" t="s">
        <v>978</v>
      </c>
      <c r="J18" s="104" t="s">
        <v>978</v>
      </c>
      <c r="K18" s="104" t="s">
        <v>978</v>
      </c>
      <c r="L18" s="104" t="s">
        <v>978</v>
      </c>
      <c r="M18" s="104" t="s">
        <v>978</v>
      </c>
      <c r="N18" s="104" t="s">
        <v>978</v>
      </c>
      <c r="O18" s="104" t="s">
        <v>978</v>
      </c>
      <c r="P18" s="104" t="s">
        <v>978</v>
      </c>
      <c r="Q18" s="104" t="s">
        <v>1012</v>
      </c>
      <c r="R18" s="104" t="s">
        <v>978</v>
      </c>
      <c r="S18" s="104" t="s">
        <v>978</v>
      </c>
      <c r="T18" s="104" t="s">
        <v>978</v>
      </c>
      <c r="U18" s="104" t="s">
        <v>978</v>
      </c>
      <c r="V18" s="104">
        <v>30900</v>
      </c>
      <c r="W18" s="104">
        <f>V18*(1+5.1%)</f>
        <v>32475.899999999998</v>
      </c>
      <c r="X18" s="104" t="s">
        <v>978</v>
      </c>
      <c r="Y18" s="104" t="s">
        <v>978</v>
      </c>
      <c r="Z18" s="104" t="s">
        <v>978</v>
      </c>
      <c r="AA18" s="104" t="s">
        <v>978</v>
      </c>
      <c r="AB18" s="104" t="s">
        <v>978</v>
      </c>
      <c r="AC18" s="104" t="s">
        <v>978</v>
      </c>
      <c r="AD18" s="104" t="s">
        <v>978</v>
      </c>
      <c r="AE18" s="104" t="s">
        <v>978</v>
      </c>
      <c r="AF18" s="104" t="s">
        <v>978</v>
      </c>
      <c r="AG18" s="104" t="s">
        <v>978</v>
      </c>
      <c r="AH18" s="104" t="s">
        <v>978</v>
      </c>
      <c r="AI18" s="104" t="s">
        <v>978</v>
      </c>
      <c r="AJ18" s="104" t="s">
        <v>978</v>
      </c>
      <c r="AK18" s="104" t="s">
        <v>978</v>
      </c>
      <c r="AL18" s="104">
        <f>+AVERAGE(K18,M18,O18,Q18,S18,U18,W18,Y18,AA18,AC18,AE18,AG18,AI18,AK18)</f>
        <v>32475.899999999998</v>
      </c>
      <c r="AM18" s="120" t="s">
        <v>978</v>
      </c>
      <c r="AN18" s="141">
        <v>59500</v>
      </c>
      <c r="AO18" s="119" t="s">
        <v>974</v>
      </c>
      <c r="AP18" s="103" t="s">
        <v>974</v>
      </c>
      <c r="AQ18" s="142">
        <v>53550</v>
      </c>
      <c r="AR18" s="103" t="s">
        <v>974</v>
      </c>
      <c r="AS18" s="103" t="s">
        <v>974</v>
      </c>
      <c r="AT18" s="103" t="s">
        <v>974</v>
      </c>
      <c r="AU18" s="103">
        <f t="shared" si="5"/>
        <v>53550</v>
      </c>
      <c r="AV18" s="158"/>
      <c r="AW18" s="156">
        <f>+AVERAGE(I18,AL18,AU18)</f>
        <v>43012.95</v>
      </c>
      <c r="AX18" s="121">
        <f>+ROUND(AW18,0)</f>
        <v>43013</v>
      </c>
      <c r="AY18" s="163" t="s">
        <v>1073</v>
      </c>
      <c r="AZ18" s="160">
        <v>100</v>
      </c>
      <c r="BA18" s="138">
        <v>0</v>
      </c>
      <c r="BB18" s="138">
        <v>0</v>
      </c>
      <c r="BC18" s="139">
        <f t="shared" si="2"/>
        <v>100</v>
      </c>
      <c r="BD18" s="140">
        <f t="shared" si="3"/>
        <v>4301300</v>
      </c>
    </row>
    <row r="19" spans="1:56" s="126" customFormat="1" ht="45" x14ac:dyDescent="0.2">
      <c r="A19" s="149">
        <v>2</v>
      </c>
      <c r="B19" s="148">
        <v>16</v>
      </c>
      <c r="C19" s="105">
        <v>42295409</v>
      </c>
      <c r="D19" s="106" t="s">
        <v>308</v>
      </c>
      <c r="E19" s="105" t="s">
        <v>708</v>
      </c>
      <c r="F19" s="105" t="s">
        <v>288</v>
      </c>
      <c r="G19" s="143" t="s">
        <v>978</v>
      </c>
      <c r="H19" s="143">
        <v>3951</v>
      </c>
      <c r="I19" s="143">
        <f>+AVERAGE(G19:H19)</f>
        <v>3951</v>
      </c>
      <c r="J19" s="104" t="s">
        <v>978</v>
      </c>
      <c r="K19" s="104" t="s">
        <v>978</v>
      </c>
      <c r="L19" s="104" t="s">
        <v>978</v>
      </c>
      <c r="M19" s="104" t="s">
        <v>978</v>
      </c>
      <c r="N19" s="104" t="s">
        <v>978</v>
      </c>
      <c r="O19" s="104" t="s">
        <v>978</v>
      </c>
      <c r="P19" s="104">
        <v>2998</v>
      </c>
      <c r="Q19" s="104">
        <f>P19*(1+5.2%)*(1+5.1%)</f>
        <v>3314.7446960000002</v>
      </c>
      <c r="R19" s="104" t="s">
        <v>978</v>
      </c>
      <c r="S19" s="104" t="s">
        <v>978</v>
      </c>
      <c r="T19" s="104" t="s">
        <v>978</v>
      </c>
      <c r="U19" s="104" t="s">
        <v>978</v>
      </c>
      <c r="V19" s="104">
        <v>3174</v>
      </c>
      <c r="W19" s="104">
        <f>V19*(1+5.1%)</f>
        <v>3335.8739999999998</v>
      </c>
      <c r="X19" s="104" t="s">
        <v>978</v>
      </c>
      <c r="Y19" s="104" t="s">
        <v>978</v>
      </c>
      <c r="Z19" s="104" t="s">
        <v>978</v>
      </c>
      <c r="AA19" s="104" t="s">
        <v>978</v>
      </c>
      <c r="AB19" s="104">
        <v>3664</v>
      </c>
      <c r="AC19" s="104">
        <f>AB19*(1+5.1%)</f>
        <v>3850.8639999999996</v>
      </c>
      <c r="AD19" s="104" t="s">
        <v>978</v>
      </c>
      <c r="AE19" s="104" t="s">
        <v>978</v>
      </c>
      <c r="AF19" s="104">
        <v>931</v>
      </c>
      <c r="AG19" s="104">
        <f>AF19*(1+5.1%)</f>
        <v>978.48099999999999</v>
      </c>
      <c r="AH19" s="104" t="s">
        <v>978</v>
      </c>
      <c r="AI19" s="104" t="s">
        <v>978</v>
      </c>
      <c r="AJ19" s="104" t="s">
        <v>978</v>
      </c>
      <c r="AK19" s="104" t="s">
        <v>978</v>
      </c>
      <c r="AL19" s="104">
        <f>+AVERAGE(K19,M19,O19,Q19,S19,U19,W19,Y19,AA19,AC19,AE19,AG19,AI19,AK19)</f>
        <v>2869.9909239999997</v>
      </c>
      <c r="AM19" s="120">
        <v>5820</v>
      </c>
      <c r="AN19" s="141">
        <v>6006</v>
      </c>
      <c r="AO19" s="119" t="s">
        <v>974</v>
      </c>
      <c r="AP19" s="103">
        <v>4000</v>
      </c>
      <c r="AQ19" s="142">
        <v>4165</v>
      </c>
      <c r="AR19" s="103" t="s">
        <v>974</v>
      </c>
      <c r="AS19" s="103" t="s">
        <v>974</v>
      </c>
      <c r="AT19" s="103" t="s">
        <v>974</v>
      </c>
      <c r="AU19" s="103">
        <f t="shared" si="5"/>
        <v>4000</v>
      </c>
      <c r="AV19" s="158"/>
      <c r="AW19" s="156">
        <f>+AVERAGE(I19,AL19,AU19)</f>
        <v>3606.9969746666666</v>
      </c>
      <c r="AX19" s="121">
        <f>+ROUND(AW19,0)</f>
        <v>3607</v>
      </c>
      <c r="AY19" s="163" t="s">
        <v>1079</v>
      </c>
      <c r="AZ19" s="160">
        <v>21</v>
      </c>
      <c r="BA19" s="138">
        <v>24</v>
      </c>
      <c r="BB19" s="138">
        <v>1</v>
      </c>
      <c r="BC19" s="139">
        <f t="shared" si="2"/>
        <v>46</v>
      </c>
      <c r="BD19" s="140">
        <f t="shared" si="3"/>
        <v>165922</v>
      </c>
    </row>
    <row r="20" spans="1:56" s="126" customFormat="1" ht="45" x14ac:dyDescent="0.2">
      <c r="A20" s="149">
        <v>2</v>
      </c>
      <c r="B20" s="148">
        <v>17</v>
      </c>
      <c r="C20" s="105">
        <v>42295409</v>
      </c>
      <c r="D20" s="106" t="s">
        <v>531</v>
      </c>
      <c r="E20" s="105" t="s">
        <v>829</v>
      </c>
      <c r="F20" s="105" t="s">
        <v>704</v>
      </c>
      <c r="G20" s="143" t="s">
        <v>978</v>
      </c>
      <c r="H20" s="143" t="s">
        <v>978</v>
      </c>
      <c r="I20" s="143" t="s">
        <v>978</v>
      </c>
      <c r="J20" s="104" t="s">
        <v>978</v>
      </c>
      <c r="K20" s="104" t="s">
        <v>978</v>
      </c>
      <c r="L20" s="104" t="s">
        <v>978</v>
      </c>
      <c r="M20" s="104" t="s">
        <v>978</v>
      </c>
      <c r="N20" s="104" t="s">
        <v>978</v>
      </c>
      <c r="O20" s="104" t="s">
        <v>978</v>
      </c>
      <c r="P20" s="104">
        <v>43968</v>
      </c>
      <c r="Q20" s="104">
        <f>P20*(1+5.2%)*(1+5.1%)</f>
        <v>48613.307136000003</v>
      </c>
      <c r="R20" s="104" t="s">
        <v>978</v>
      </c>
      <c r="S20" s="104" t="s">
        <v>978</v>
      </c>
      <c r="T20" s="104" t="s">
        <v>978</v>
      </c>
      <c r="U20" s="104" t="s">
        <v>978</v>
      </c>
      <c r="V20" s="104">
        <v>42182</v>
      </c>
      <c r="W20" s="104">
        <f>V20*(1+5.1%)</f>
        <v>44333.281999999999</v>
      </c>
      <c r="X20" s="104" t="s">
        <v>978</v>
      </c>
      <c r="Y20" s="104" t="s">
        <v>978</v>
      </c>
      <c r="Z20" s="104" t="s">
        <v>978</v>
      </c>
      <c r="AA20" s="104" t="s">
        <v>978</v>
      </c>
      <c r="AB20" s="104" t="s">
        <v>978</v>
      </c>
      <c r="AC20" s="104" t="s">
        <v>978</v>
      </c>
      <c r="AD20" s="104" t="s">
        <v>978</v>
      </c>
      <c r="AE20" s="104" t="s">
        <v>978</v>
      </c>
      <c r="AF20" s="104" t="s">
        <v>978</v>
      </c>
      <c r="AG20" s="104" t="s">
        <v>978</v>
      </c>
      <c r="AH20" s="104" t="s">
        <v>978</v>
      </c>
      <c r="AI20" s="104" t="s">
        <v>978</v>
      </c>
      <c r="AJ20" s="104" t="s">
        <v>978</v>
      </c>
      <c r="AK20" s="104" t="s">
        <v>978</v>
      </c>
      <c r="AL20" s="104">
        <f>+AVERAGE(K20,M20,O20,Q20,S20,U20,W20,Y20,AA20,AC20,AE20,AG20,AI20,AK20)</f>
        <v>46473.294567999998</v>
      </c>
      <c r="AM20" s="120">
        <v>35294</v>
      </c>
      <c r="AN20" s="141">
        <v>73560.63</v>
      </c>
      <c r="AO20" s="119" t="s">
        <v>974</v>
      </c>
      <c r="AP20" s="103">
        <v>45000</v>
      </c>
      <c r="AQ20" s="142">
        <v>40460</v>
      </c>
      <c r="AR20" s="103" t="s">
        <v>974</v>
      </c>
      <c r="AS20" s="103" t="s">
        <v>974</v>
      </c>
      <c r="AT20" s="103" t="s">
        <v>974</v>
      </c>
      <c r="AU20" s="103">
        <f t="shared" si="5"/>
        <v>40460</v>
      </c>
      <c r="AV20" s="158"/>
      <c r="AW20" s="156">
        <f>+AVERAGE(AM20:AU20)</f>
        <v>46954.925999999999</v>
      </c>
      <c r="AX20" s="121">
        <f>+ROUND(AW20,0)</f>
        <v>46955</v>
      </c>
      <c r="AY20" s="163" t="s">
        <v>1080</v>
      </c>
      <c r="AZ20" s="160">
        <v>5</v>
      </c>
      <c r="BA20" s="138">
        <v>20</v>
      </c>
      <c r="BB20" s="138">
        <v>5</v>
      </c>
      <c r="BC20" s="139">
        <f t="shared" si="2"/>
        <v>30</v>
      </c>
      <c r="BD20" s="140">
        <f t="shared" si="3"/>
        <v>1408650</v>
      </c>
    </row>
    <row r="21" spans="1:56" s="127" customFormat="1" ht="33.75" x14ac:dyDescent="0.2">
      <c r="A21" s="149">
        <v>3</v>
      </c>
      <c r="B21" s="148">
        <v>18</v>
      </c>
      <c r="C21" s="105">
        <v>14111539</v>
      </c>
      <c r="D21" s="106" t="s">
        <v>491</v>
      </c>
      <c r="E21" s="105" t="s">
        <v>830</v>
      </c>
      <c r="F21" s="105" t="s">
        <v>286</v>
      </c>
      <c r="G21" s="143" t="s">
        <v>978</v>
      </c>
      <c r="H21" s="143" t="s">
        <v>978</v>
      </c>
      <c r="I21" s="143" t="s">
        <v>978</v>
      </c>
      <c r="J21" s="104" t="s">
        <v>978</v>
      </c>
      <c r="K21" s="104" t="s">
        <v>978</v>
      </c>
      <c r="L21" s="104" t="s">
        <v>978</v>
      </c>
      <c r="M21" s="104" t="s">
        <v>978</v>
      </c>
      <c r="N21" s="104" t="s">
        <v>978</v>
      </c>
      <c r="O21" s="104" t="s">
        <v>978</v>
      </c>
      <c r="P21" s="104" t="s">
        <v>978</v>
      </c>
      <c r="Q21" s="104" t="s">
        <v>1012</v>
      </c>
      <c r="R21" s="104" t="s">
        <v>978</v>
      </c>
      <c r="S21" s="104" t="s">
        <v>978</v>
      </c>
      <c r="T21" s="104" t="s">
        <v>978</v>
      </c>
      <c r="U21" s="104" t="s">
        <v>978</v>
      </c>
      <c r="V21" s="104" t="s">
        <v>978</v>
      </c>
      <c r="W21" s="104" t="s">
        <v>978</v>
      </c>
      <c r="X21" s="104" t="s">
        <v>978</v>
      </c>
      <c r="Y21" s="104" t="s">
        <v>978</v>
      </c>
      <c r="Z21" s="104" t="s">
        <v>978</v>
      </c>
      <c r="AA21" s="104" t="s">
        <v>978</v>
      </c>
      <c r="AB21" s="104" t="s">
        <v>978</v>
      </c>
      <c r="AC21" s="104" t="s">
        <v>978</v>
      </c>
      <c r="AD21" s="104" t="s">
        <v>978</v>
      </c>
      <c r="AE21" s="104" t="s">
        <v>978</v>
      </c>
      <c r="AF21" s="104" t="s">
        <v>978</v>
      </c>
      <c r="AG21" s="104" t="s">
        <v>978</v>
      </c>
      <c r="AH21" s="104" t="s">
        <v>978</v>
      </c>
      <c r="AI21" s="104" t="s">
        <v>978</v>
      </c>
      <c r="AJ21" s="104" t="s">
        <v>978</v>
      </c>
      <c r="AK21" s="104" t="s">
        <v>978</v>
      </c>
      <c r="AL21" s="104" t="s">
        <v>978</v>
      </c>
      <c r="AM21" s="120" t="s">
        <v>978</v>
      </c>
      <c r="AN21" s="141">
        <v>88660</v>
      </c>
      <c r="AO21" s="119" t="s">
        <v>974</v>
      </c>
      <c r="AP21" s="103" t="s">
        <v>974</v>
      </c>
      <c r="AQ21" s="142">
        <v>52360</v>
      </c>
      <c r="AR21" s="103" t="s">
        <v>974</v>
      </c>
      <c r="AS21" s="103" t="s">
        <v>974</v>
      </c>
      <c r="AT21" s="103" t="s">
        <v>974</v>
      </c>
      <c r="AU21" s="103">
        <f t="shared" si="5"/>
        <v>52360</v>
      </c>
      <c r="AV21" s="158"/>
      <c r="AW21" s="156">
        <f>+AVERAGE(AL21,AU21)</f>
        <v>52360</v>
      </c>
      <c r="AX21" s="121">
        <f t="shared" ref="AX21:AX32" si="7">+ROUND(AW21,0)</f>
        <v>52360</v>
      </c>
      <c r="AY21" s="163" t="s">
        <v>1073</v>
      </c>
      <c r="AZ21" s="160">
        <v>60</v>
      </c>
      <c r="BA21" s="138">
        <v>0</v>
      </c>
      <c r="BB21" s="138">
        <v>0</v>
      </c>
      <c r="BC21" s="139">
        <f t="shared" si="2"/>
        <v>60</v>
      </c>
      <c r="BD21" s="140">
        <f t="shared" si="3"/>
        <v>3141600</v>
      </c>
    </row>
    <row r="22" spans="1:56" s="127" customFormat="1" ht="45" x14ac:dyDescent="0.2">
      <c r="A22" s="149">
        <v>3</v>
      </c>
      <c r="B22" s="148">
        <v>19</v>
      </c>
      <c r="C22" s="105">
        <v>14111818</v>
      </c>
      <c r="D22" s="106" t="s">
        <v>492</v>
      </c>
      <c r="E22" s="105" t="s">
        <v>709</v>
      </c>
      <c r="F22" s="105" t="s">
        <v>484</v>
      </c>
      <c r="G22" s="143" t="s">
        <v>978</v>
      </c>
      <c r="H22" s="143" t="s">
        <v>978</v>
      </c>
      <c r="I22" s="143" t="s">
        <v>978</v>
      </c>
      <c r="J22" s="104" t="s">
        <v>978</v>
      </c>
      <c r="K22" s="104" t="s">
        <v>978</v>
      </c>
      <c r="L22" s="104" t="s">
        <v>978</v>
      </c>
      <c r="M22" s="104" t="s">
        <v>978</v>
      </c>
      <c r="N22" s="104" t="s">
        <v>978</v>
      </c>
      <c r="O22" s="104" t="s">
        <v>978</v>
      </c>
      <c r="P22" s="104" t="s">
        <v>978</v>
      </c>
      <c r="Q22" s="104" t="s">
        <v>1012</v>
      </c>
      <c r="R22" s="104">
        <v>28373</v>
      </c>
      <c r="S22" s="104">
        <f>R22*(1+5.2%)*(1+5.1%)</f>
        <v>31370.664195999998</v>
      </c>
      <c r="T22" s="104" t="s">
        <v>978</v>
      </c>
      <c r="U22" s="104" t="s">
        <v>978</v>
      </c>
      <c r="V22" s="104" t="s">
        <v>978</v>
      </c>
      <c r="W22" s="104" t="s">
        <v>978</v>
      </c>
      <c r="X22" s="104" t="s">
        <v>978</v>
      </c>
      <c r="Y22" s="104" t="s">
        <v>978</v>
      </c>
      <c r="Z22" s="104" t="s">
        <v>978</v>
      </c>
      <c r="AA22" s="104" t="s">
        <v>978</v>
      </c>
      <c r="AB22" s="104" t="s">
        <v>978</v>
      </c>
      <c r="AC22" s="104" t="s">
        <v>978</v>
      </c>
      <c r="AD22" s="104" t="s">
        <v>978</v>
      </c>
      <c r="AE22" s="104" t="s">
        <v>978</v>
      </c>
      <c r="AF22" s="104" t="s">
        <v>978</v>
      </c>
      <c r="AG22" s="104" t="s">
        <v>978</v>
      </c>
      <c r="AH22" s="104" t="s">
        <v>978</v>
      </c>
      <c r="AI22" s="104" t="s">
        <v>978</v>
      </c>
      <c r="AJ22" s="104">
        <v>31963</v>
      </c>
      <c r="AK22" s="104">
        <f>AJ22*(1+5.1%)</f>
        <v>33593.112999999998</v>
      </c>
      <c r="AL22" s="104">
        <f t="shared" ref="AL22:AL32" si="8">+AVERAGE(K22,M22,O22,Q22,S22,U22,W22,Y22,AA22,AC22,AE22,AG22,AI22,AK22)</f>
        <v>32481.888597999998</v>
      </c>
      <c r="AM22" s="120" t="s">
        <v>978</v>
      </c>
      <c r="AN22" s="141">
        <v>54626</v>
      </c>
      <c r="AO22" s="119" t="s">
        <v>974</v>
      </c>
      <c r="AP22" s="103" t="s">
        <v>974</v>
      </c>
      <c r="AQ22" s="142">
        <v>53550</v>
      </c>
      <c r="AR22" s="103" t="s">
        <v>974</v>
      </c>
      <c r="AS22" s="103" t="s">
        <v>974</v>
      </c>
      <c r="AT22" s="103" t="s">
        <v>974</v>
      </c>
      <c r="AU22" s="103">
        <f t="shared" si="5"/>
        <v>53550</v>
      </c>
      <c r="AV22" s="158"/>
      <c r="AW22" s="156">
        <f>+AVERAGE(AL22,AU22)</f>
        <v>43015.944298999995</v>
      </c>
      <c r="AX22" s="121">
        <f t="shared" si="7"/>
        <v>43016</v>
      </c>
      <c r="AY22" s="163" t="s">
        <v>1073</v>
      </c>
      <c r="AZ22" s="160">
        <v>12</v>
      </c>
      <c r="BA22" s="138">
        <v>12</v>
      </c>
      <c r="BB22" s="138">
        <v>72</v>
      </c>
      <c r="BC22" s="139">
        <f t="shared" si="2"/>
        <v>96</v>
      </c>
      <c r="BD22" s="140">
        <f t="shared" si="3"/>
        <v>4129536</v>
      </c>
    </row>
    <row r="23" spans="1:56" s="127" customFormat="1" ht="22.5" x14ac:dyDescent="0.2">
      <c r="A23" s="149">
        <v>3</v>
      </c>
      <c r="B23" s="148">
        <v>20</v>
      </c>
      <c r="C23" s="105">
        <v>42181901</v>
      </c>
      <c r="D23" s="106" t="s">
        <v>493</v>
      </c>
      <c r="E23" s="105" t="s">
        <v>710</v>
      </c>
      <c r="F23" s="105" t="s">
        <v>548</v>
      </c>
      <c r="G23" s="143" t="s">
        <v>978</v>
      </c>
      <c r="H23" s="143" t="s">
        <v>978</v>
      </c>
      <c r="I23" s="143" t="s">
        <v>978</v>
      </c>
      <c r="J23" s="104" t="s">
        <v>978</v>
      </c>
      <c r="K23" s="104" t="s">
        <v>978</v>
      </c>
      <c r="L23" s="104" t="s">
        <v>978</v>
      </c>
      <c r="M23" s="104" t="s">
        <v>978</v>
      </c>
      <c r="N23" s="104" t="s">
        <v>978</v>
      </c>
      <c r="O23" s="104" t="s">
        <v>978</v>
      </c>
      <c r="P23" s="104">
        <v>21421</v>
      </c>
      <c r="Q23" s="104">
        <f>P23*(1+5.2%)*(1+5.1%)</f>
        <v>23684.171491999998</v>
      </c>
      <c r="R23" s="104" t="s">
        <v>978</v>
      </c>
      <c r="S23" s="104" t="s">
        <v>978</v>
      </c>
      <c r="T23" s="104" t="s">
        <v>978</v>
      </c>
      <c r="U23" s="104" t="s">
        <v>978</v>
      </c>
      <c r="V23" s="104">
        <v>87706</v>
      </c>
      <c r="W23" s="104">
        <f>V23*(1+5.1%)</f>
        <v>92179.005999999994</v>
      </c>
      <c r="X23" s="104" t="s">
        <v>978</v>
      </c>
      <c r="Y23" s="104" t="s">
        <v>978</v>
      </c>
      <c r="Z23" s="104" t="s">
        <v>978</v>
      </c>
      <c r="AA23" s="104" t="s">
        <v>978</v>
      </c>
      <c r="AB23" s="104" t="s">
        <v>978</v>
      </c>
      <c r="AC23" s="104" t="s">
        <v>978</v>
      </c>
      <c r="AD23" s="104" t="s">
        <v>978</v>
      </c>
      <c r="AE23" s="104" t="s">
        <v>978</v>
      </c>
      <c r="AF23" s="104" t="s">
        <v>978</v>
      </c>
      <c r="AG23" s="104" t="s">
        <v>978</v>
      </c>
      <c r="AH23" s="104" t="s">
        <v>978</v>
      </c>
      <c r="AI23" s="104" t="s">
        <v>978</v>
      </c>
      <c r="AJ23" s="104" t="s">
        <v>978</v>
      </c>
      <c r="AK23" s="104" t="s">
        <v>978</v>
      </c>
      <c r="AL23" s="104">
        <f t="shared" si="8"/>
        <v>57931.588745999994</v>
      </c>
      <c r="AM23" s="120" t="s">
        <v>978</v>
      </c>
      <c r="AN23" s="141">
        <v>34320</v>
      </c>
      <c r="AO23" s="119" t="s">
        <v>974</v>
      </c>
      <c r="AP23" s="103" t="s">
        <v>974</v>
      </c>
      <c r="AQ23" s="142">
        <v>101150</v>
      </c>
      <c r="AR23" s="103" t="s">
        <v>974</v>
      </c>
      <c r="AS23" s="103" t="s">
        <v>974</v>
      </c>
      <c r="AT23" s="103" t="s">
        <v>974</v>
      </c>
      <c r="AU23" s="103">
        <f t="shared" si="5"/>
        <v>34320</v>
      </c>
      <c r="AV23" s="158"/>
      <c r="AW23" s="156">
        <f>+AU23</f>
        <v>34320</v>
      </c>
      <c r="AX23" s="121">
        <f t="shared" si="7"/>
        <v>34320</v>
      </c>
      <c r="AY23" s="163" t="s">
        <v>1080</v>
      </c>
      <c r="AZ23" s="160">
        <v>5</v>
      </c>
      <c r="BA23" s="138">
        <v>0</v>
      </c>
      <c r="BB23" s="138">
        <v>0</v>
      </c>
      <c r="BC23" s="139">
        <f t="shared" si="2"/>
        <v>5</v>
      </c>
      <c r="BD23" s="140">
        <f t="shared" si="3"/>
        <v>171600</v>
      </c>
    </row>
    <row r="24" spans="1:56" s="127" customFormat="1" ht="45" x14ac:dyDescent="0.2">
      <c r="A24" s="149">
        <v>3</v>
      </c>
      <c r="B24" s="148">
        <v>21</v>
      </c>
      <c r="C24" s="105">
        <v>42281915</v>
      </c>
      <c r="D24" s="106" t="s">
        <v>494</v>
      </c>
      <c r="E24" s="105" t="s">
        <v>494</v>
      </c>
      <c r="F24" s="105" t="s">
        <v>462</v>
      </c>
      <c r="G24" s="143" t="s">
        <v>978</v>
      </c>
      <c r="H24" s="143" t="s">
        <v>978</v>
      </c>
      <c r="I24" s="143" t="s">
        <v>978</v>
      </c>
      <c r="J24" s="104" t="s">
        <v>978</v>
      </c>
      <c r="K24" s="104" t="s">
        <v>978</v>
      </c>
      <c r="L24" s="104" t="s">
        <v>978</v>
      </c>
      <c r="M24" s="104" t="s">
        <v>978</v>
      </c>
      <c r="N24" s="104" t="s">
        <v>978</v>
      </c>
      <c r="O24" s="104" t="s">
        <v>978</v>
      </c>
      <c r="P24" s="104" t="s">
        <v>978</v>
      </c>
      <c r="Q24" s="104" t="s">
        <v>1012</v>
      </c>
      <c r="R24" s="104" t="s">
        <v>978</v>
      </c>
      <c r="S24" s="104" t="s">
        <v>978</v>
      </c>
      <c r="T24" s="104" t="s">
        <v>978</v>
      </c>
      <c r="U24" s="104" t="s">
        <v>978</v>
      </c>
      <c r="V24" s="104" t="s">
        <v>978</v>
      </c>
      <c r="W24" s="104" t="s">
        <v>978</v>
      </c>
      <c r="X24" s="104" t="s">
        <v>978</v>
      </c>
      <c r="Y24" s="104" t="s">
        <v>978</v>
      </c>
      <c r="Z24" s="104" t="s">
        <v>978</v>
      </c>
      <c r="AA24" s="104" t="s">
        <v>978</v>
      </c>
      <c r="AB24" s="104" t="s">
        <v>978</v>
      </c>
      <c r="AC24" s="104" t="s">
        <v>978</v>
      </c>
      <c r="AD24" s="104" t="s">
        <v>978</v>
      </c>
      <c r="AE24" s="104" t="s">
        <v>978</v>
      </c>
      <c r="AF24" s="104" t="s">
        <v>978</v>
      </c>
      <c r="AG24" s="104" t="s">
        <v>978</v>
      </c>
      <c r="AH24" s="104" t="s">
        <v>978</v>
      </c>
      <c r="AI24" s="104" t="s">
        <v>978</v>
      </c>
      <c r="AJ24" s="104" t="s">
        <v>978</v>
      </c>
      <c r="AK24" s="104" t="s">
        <v>978</v>
      </c>
      <c r="AL24" s="104" t="s">
        <v>978</v>
      </c>
      <c r="AM24" s="120">
        <v>49500</v>
      </c>
      <c r="AN24" s="141">
        <v>135850</v>
      </c>
      <c r="AO24" s="119" t="s">
        <v>974</v>
      </c>
      <c r="AP24" s="103">
        <v>60000</v>
      </c>
      <c r="AQ24" s="142">
        <v>95200</v>
      </c>
      <c r="AR24" s="103" t="s">
        <v>974</v>
      </c>
      <c r="AS24" s="103" t="s">
        <v>974</v>
      </c>
      <c r="AT24" s="103" t="s">
        <v>974</v>
      </c>
      <c r="AU24" s="103">
        <f t="shared" si="5"/>
        <v>60000</v>
      </c>
      <c r="AV24" s="158"/>
      <c r="AW24" s="156">
        <f>+AVERAGE(AM24:AU24)</f>
        <v>80110</v>
      </c>
      <c r="AX24" s="121">
        <f t="shared" si="7"/>
        <v>80110</v>
      </c>
      <c r="AY24" s="163" t="s">
        <v>1081</v>
      </c>
      <c r="AZ24" s="161">
        <v>20</v>
      </c>
      <c r="BA24" s="138">
        <v>24</v>
      </c>
      <c r="BB24" s="138">
        <v>0</v>
      </c>
      <c r="BC24" s="139">
        <f t="shared" si="2"/>
        <v>44</v>
      </c>
      <c r="BD24" s="140">
        <f t="shared" si="3"/>
        <v>3524840</v>
      </c>
    </row>
    <row r="25" spans="1:56" s="127" customFormat="1" ht="45" x14ac:dyDescent="0.2">
      <c r="A25" s="149">
        <v>3</v>
      </c>
      <c r="B25" s="148">
        <v>22</v>
      </c>
      <c r="C25" s="105">
        <v>42281915</v>
      </c>
      <c r="D25" s="106" t="s">
        <v>495</v>
      </c>
      <c r="E25" s="105" t="s">
        <v>495</v>
      </c>
      <c r="F25" s="105" t="s">
        <v>462</v>
      </c>
      <c r="G25" s="143" t="s">
        <v>978</v>
      </c>
      <c r="H25" s="143" t="s">
        <v>978</v>
      </c>
      <c r="I25" s="143" t="s">
        <v>978</v>
      </c>
      <c r="J25" s="104" t="s">
        <v>978</v>
      </c>
      <c r="K25" s="104" t="s">
        <v>978</v>
      </c>
      <c r="L25" s="104" t="s">
        <v>978</v>
      </c>
      <c r="M25" s="104" t="s">
        <v>978</v>
      </c>
      <c r="N25" s="104" t="s">
        <v>978</v>
      </c>
      <c r="O25" s="104" t="s">
        <v>978</v>
      </c>
      <c r="P25" s="104" t="s">
        <v>978</v>
      </c>
      <c r="Q25" s="104" t="s">
        <v>1012</v>
      </c>
      <c r="R25" s="104" t="s">
        <v>978</v>
      </c>
      <c r="S25" s="104" t="s">
        <v>978</v>
      </c>
      <c r="T25" s="104" t="s">
        <v>978</v>
      </c>
      <c r="U25" s="104" t="s">
        <v>978</v>
      </c>
      <c r="V25" s="104" t="s">
        <v>978</v>
      </c>
      <c r="W25" s="104" t="s">
        <v>978</v>
      </c>
      <c r="X25" s="104" t="s">
        <v>978</v>
      </c>
      <c r="Y25" s="104" t="s">
        <v>978</v>
      </c>
      <c r="Z25" s="104" t="s">
        <v>978</v>
      </c>
      <c r="AA25" s="104" t="s">
        <v>978</v>
      </c>
      <c r="AB25" s="104" t="s">
        <v>978</v>
      </c>
      <c r="AC25" s="104" t="s">
        <v>978</v>
      </c>
      <c r="AD25" s="104" t="s">
        <v>978</v>
      </c>
      <c r="AE25" s="104" t="s">
        <v>978</v>
      </c>
      <c r="AF25" s="104" t="s">
        <v>978</v>
      </c>
      <c r="AG25" s="104" t="s">
        <v>978</v>
      </c>
      <c r="AH25" s="104" t="s">
        <v>978</v>
      </c>
      <c r="AI25" s="104" t="s">
        <v>978</v>
      </c>
      <c r="AJ25" s="104" t="s">
        <v>978</v>
      </c>
      <c r="AK25" s="104" t="s">
        <v>978</v>
      </c>
      <c r="AL25" s="104" t="s">
        <v>978</v>
      </c>
      <c r="AM25" s="120">
        <v>85000</v>
      </c>
      <c r="AN25" s="141">
        <v>195910</v>
      </c>
      <c r="AO25" s="119" t="s">
        <v>974</v>
      </c>
      <c r="AP25" s="103">
        <v>90000</v>
      </c>
      <c r="AQ25" s="142">
        <v>126140</v>
      </c>
      <c r="AR25" s="103" t="s">
        <v>974</v>
      </c>
      <c r="AS25" s="103" t="s">
        <v>974</v>
      </c>
      <c r="AT25" s="103" t="s">
        <v>974</v>
      </c>
      <c r="AU25" s="103">
        <f t="shared" si="5"/>
        <v>90000</v>
      </c>
      <c r="AV25" s="158" t="s">
        <v>1076</v>
      </c>
      <c r="AW25" s="156">
        <f>+AVERAGE(AM25:AU25)</f>
        <v>117410</v>
      </c>
      <c r="AX25" s="121">
        <f t="shared" ref="AX25" si="9">+ROUND(AW25,0)</f>
        <v>117410</v>
      </c>
      <c r="AY25" s="163" t="s">
        <v>1081</v>
      </c>
      <c r="AZ25" s="161">
        <v>12</v>
      </c>
      <c r="BA25" s="138">
        <v>40</v>
      </c>
      <c r="BB25" s="138">
        <v>0</v>
      </c>
      <c r="BC25" s="139">
        <f t="shared" si="2"/>
        <v>52</v>
      </c>
      <c r="BD25" s="140">
        <f t="shared" si="3"/>
        <v>6105320</v>
      </c>
    </row>
    <row r="26" spans="1:56" s="127" customFormat="1" ht="45" x14ac:dyDescent="0.2">
      <c r="A26" s="149">
        <v>3</v>
      </c>
      <c r="B26" s="148">
        <v>23</v>
      </c>
      <c r="C26" s="105">
        <v>42281915</v>
      </c>
      <c r="D26" s="106" t="s">
        <v>496</v>
      </c>
      <c r="E26" s="105" t="s">
        <v>711</v>
      </c>
      <c r="F26" s="105" t="s">
        <v>462</v>
      </c>
      <c r="G26" s="143" t="s">
        <v>978</v>
      </c>
      <c r="H26" s="143" t="s">
        <v>978</v>
      </c>
      <c r="I26" s="143" t="s">
        <v>978</v>
      </c>
      <c r="J26" s="104" t="s">
        <v>978</v>
      </c>
      <c r="K26" s="104" t="s">
        <v>978</v>
      </c>
      <c r="L26" s="104" t="s">
        <v>978</v>
      </c>
      <c r="M26" s="104" t="s">
        <v>978</v>
      </c>
      <c r="N26" s="104" t="s">
        <v>978</v>
      </c>
      <c r="O26" s="104" t="s">
        <v>978</v>
      </c>
      <c r="P26" s="104" t="s">
        <v>978</v>
      </c>
      <c r="Q26" s="104" t="s">
        <v>1012</v>
      </c>
      <c r="R26" s="104" t="s">
        <v>978</v>
      </c>
      <c r="S26" s="104" t="s">
        <v>978</v>
      </c>
      <c r="T26" s="104" t="s">
        <v>978</v>
      </c>
      <c r="U26" s="104" t="s">
        <v>978</v>
      </c>
      <c r="V26" s="104" t="s">
        <v>978</v>
      </c>
      <c r="W26" s="104" t="s">
        <v>978</v>
      </c>
      <c r="X26" s="104">
        <v>127674</v>
      </c>
      <c r="Y26" s="104">
        <f t="shared" ref="Y26:Y28" si="10">X26*(1+5.1%)</f>
        <v>134185.37399999998</v>
      </c>
      <c r="Z26" s="104" t="s">
        <v>978</v>
      </c>
      <c r="AA26" s="104" t="s">
        <v>978</v>
      </c>
      <c r="AB26" s="104" t="s">
        <v>978</v>
      </c>
      <c r="AC26" s="104" t="s">
        <v>978</v>
      </c>
      <c r="AD26" s="104" t="s">
        <v>978</v>
      </c>
      <c r="AE26" s="104" t="s">
        <v>978</v>
      </c>
      <c r="AF26" s="104" t="s">
        <v>978</v>
      </c>
      <c r="AG26" s="104" t="s">
        <v>978</v>
      </c>
      <c r="AH26" s="104" t="s">
        <v>978</v>
      </c>
      <c r="AI26" s="104" t="s">
        <v>978</v>
      </c>
      <c r="AJ26" s="104" t="s">
        <v>978</v>
      </c>
      <c r="AK26" s="104" t="s">
        <v>978</v>
      </c>
      <c r="AL26" s="104">
        <f t="shared" si="8"/>
        <v>134185.37399999998</v>
      </c>
      <c r="AM26" s="120">
        <v>159000</v>
      </c>
      <c r="AN26" s="141">
        <v>255970</v>
      </c>
      <c r="AO26" s="119" t="s">
        <v>974</v>
      </c>
      <c r="AP26" s="103">
        <v>120000</v>
      </c>
      <c r="AQ26" s="142">
        <v>190400</v>
      </c>
      <c r="AR26" s="103" t="s">
        <v>974</v>
      </c>
      <c r="AS26" s="103" t="s">
        <v>974</v>
      </c>
      <c r="AT26" s="103" t="s">
        <v>974</v>
      </c>
      <c r="AU26" s="103">
        <f t="shared" si="5"/>
        <v>120000</v>
      </c>
      <c r="AV26" s="158"/>
      <c r="AW26" s="156">
        <f>+AU26</f>
        <v>120000</v>
      </c>
      <c r="AX26" s="121">
        <f>+ROUND(AW26,0)</f>
        <v>120000</v>
      </c>
      <c r="AY26" s="163" t="s">
        <v>1078</v>
      </c>
      <c r="AZ26" s="161">
        <v>8</v>
      </c>
      <c r="BA26" s="138">
        <v>0</v>
      </c>
      <c r="BB26" s="138">
        <v>15</v>
      </c>
      <c r="BC26" s="139">
        <f t="shared" si="2"/>
        <v>23</v>
      </c>
      <c r="BD26" s="140">
        <f t="shared" si="3"/>
        <v>2760000</v>
      </c>
    </row>
    <row r="27" spans="1:56" s="127" customFormat="1" ht="45" x14ac:dyDescent="0.2">
      <c r="A27" s="149">
        <v>3</v>
      </c>
      <c r="B27" s="148">
        <v>24</v>
      </c>
      <c r="C27" s="105">
        <v>42281915</v>
      </c>
      <c r="D27" s="106" t="s">
        <v>497</v>
      </c>
      <c r="E27" s="105" t="s">
        <v>831</v>
      </c>
      <c r="F27" s="105" t="s">
        <v>462</v>
      </c>
      <c r="G27" s="143" t="s">
        <v>978</v>
      </c>
      <c r="H27" s="143" t="s">
        <v>978</v>
      </c>
      <c r="I27" s="143" t="s">
        <v>978</v>
      </c>
      <c r="J27" s="104" t="s">
        <v>978</v>
      </c>
      <c r="K27" s="104" t="s">
        <v>978</v>
      </c>
      <c r="L27" s="104" t="s">
        <v>978</v>
      </c>
      <c r="M27" s="104" t="s">
        <v>978</v>
      </c>
      <c r="N27" s="104" t="s">
        <v>978</v>
      </c>
      <c r="O27" s="104" t="s">
        <v>978</v>
      </c>
      <c r="P27" s="104" t="s">
        <v>978</v>
      </c>
      <c r="Q27" s="104" t="s">
        <v>1012</v>
      </c>
      <c r="R27" s="104" t="s">
        <v>978</v>
      </c>
      <c r="S27" s="104" t="s">
        <v>978</v>
      </c>
      <c r="T27" s="104" t="s">
        <v>978</v>
      </c>
      <c r="U27" s="104" t="s">
        <v>978</v>
      </c>
      <c r="V27" s="104" t="s">
        <v>978</v>
      </c>
      <c r="W27" s="104" t="s">
        <v>978</v>
      </c>
      <c r="X27" s="104">
        <v>252875</v>
      </c>
      <c r="Y27" s="104">
        <f t="shared" si="10"/>
        <v>265771.625</v>
      </c>
      <c r="Z27" s="104" t="s">
        <v>978</v>
      </c>
      <c r="AA27" s="104" t="s">
        <v>978</v>
      </c>
      <c r="AB27" s="104" t="s">
        <v>978</v>
      </c>
      <c r="AC27" s="104" t="s">
        <v>978</v>
      </c>
      <c r="AD27" s="104" t="s">
        <v>978</v>
      </c>
      <c r="AE27" s="104" t="s">
        <v>978</v>
      </c>
      <c r="AF27" s="104" t="s">
        <v>978</v>
      </c>
      <c r="AG27" s="104" t="s">
        <v>978</v>
      </c>
      <c r="AH27" s="104" t="s">
        <v>978</v>
      </c>
      <c r="AI27" s="104" t="s">
        <v>978</v>
      </c>
      <c r="AJ27" s="104" t="s">
        <v>978</v>
      </c>
      <c r="AK27" s="104" t="s">
        <v>978</v>
      </c>
      <c r="AL27" s="104">
        <f t="shared" si="8"/>
        <v>265771.625</v>
      </c>
      <c r="AM27" s="120" t="s">
        <v>978</v>
      </c>
      <c r="AN27" s="141">
        <v>413270</v>
      </c>
      <c r="AO27" s="119" t="s">
        <v>974</v>
      </c>
      <c r="AP27" s="103">
        <v>210000</v>
      </c>
      <c r="AQ27" s="142">
        <v>339150</v>
      </c>
      <c r="AR27" s="103" t="s">
        <v>974</v>
      </c>
      <c r="AS27" s="103" t="s">
        <v>974</v>
      </c>
      <c r="AT27" s="103" t="s">
        <v>974</v>
      </c>
      <c r="AU27" s="103">
        <f t="shared" si="5"/>
        <v>210000</v>
      </c>
      <c r="AV27" s="158"/>
      <c r="AW27" s="156">
        <f>+AU27</f>
        <v>210000</v>
      </c>
      <c r="AX27" s="121">
        <f t="shared" si="7"/>
        <v>210000</v>
      </c>
      <c r="AY27" s="163" t="s">
        <v>1080</v>
      </c>
      <c r="AZ27" s="161">
        <v>12</v>
      </c>
      <c r="BA27" s="138">
        <v>0</v>
      </c>
      <c r="BB27" s="138">
        <v>15</v>
      </c>
      <c r="BC27" s="139">
        <f t="shared" si="2"/>
        <v>27</v>
      </c>
      <c r="BD27" s="140">
        <f t="shared" si="3"/>
        <v>5670000</v>
      </c>
    </row>
    <row r="28" spans="1:56" s="127" customFormat="1" ht="45" x14ac:dyDescent="0.2">
      <c r="A28" s="149">
        <v>3</v>
      </c>
      <c r="B28" s="148">
        <v>25</v>
      </c>
      <c r="C28" s="105">
        <v>42281915</v>
      </c>
      <c r="D28" s="106" t="s">
        <v>498</v>
      </c>
      <c r="E28" s="105" t="s">
        <v>712</v>
      </c>
      <c r="F28" s="105" t="s">
        <v>462</v>
      </c>
      <c r="G28" s="143" t="s">
        <v>978</v>
      </c>
      <c r="H28" s="143" t="s">
        <v>978</v>
      </c>
      <c r="I28" s="143" t="s">
        <v>978</v>
      </c>
      <c r="J28" s="104" t="s">
        <v>978</v>
      </c>
      <c r="K28" s="104" t="s">
        <v>978</v>
      </c>
      <c r="L28" s="104" t="s">
        <v>978</v>
      </c>
      <c r="M28" s="104" t="s">
        <v>978</v>
      </c>
      <c r="N28" s="104" t="s">
        <v>978</v>
      </c>
      <c r="O28" s="104" t="s">
        <v>978</v>
      </c>
      <c r="P28" s="104" t="s">
        <v>978</v>
      </c>
      <c r="Q28" s="104" t="s">
        <v>1012</v>
      </c>
      <c r="R28" s="104" t="s">
        <v>978</v>
      </c>
      <c r="S28" s="104" t="s">
        <v>978</v>
      </c>
      <c r="T28" s="104" t="s">
        <v>978</v>
      </c>
      <c r="U28" s="104" t="s">
        <v>978</v>
      </c>
      <c r="V28" s="104" t="s">
        <v>978</v>
      </c>
      <c r="W28" s="104" t="s">
        <v>978</v>
      </c>
      <c r="X28" s="104">
        <v>280968</v>
      </c>
      <c r="Y28" s="104">
        <f t="shared" si="10"/>
        <v>295297.36799999996</v>
      </c>
      <c r="Z28" s="104" t="s">
        <v>978</v>
      </c>
      <c r="AA28" s="104" t="s">
        <v>978</v>
      </c>
      <c r="AB28" s="104" t="s">
        <v>978</v>
      </c>
      <c r="AC28" s="104" t="s">
        <v>978</v>
      </c>
      <c r="AD28" s="104" t="s">
        <v>978</v>
      </c>
      <c r="AE28" s="104" t="s">
        <v>978</v>
      </c>
      <c r="AF28" s="104" t="s">
        <v>978</v>
      </c>
      <c r="AG28" s="104" t="s">
        <v>978</v>
      </c>
      <c r="AH28" s="104" t="s">
        <v>978</v>
      </c>
      <c r="AI28" s="104" t="s">
        <v>978</v>
      </c>
      <c r="AJ28" s="104" t="s">
        <v>978</v>
      </c>
      <c r="AK28" s="104" t="s">
        <v>978</v>
      </c>
      <c r="AL28" s="104">
        <f t="shared" si="8"/>
        <v>295297.36799999996</v>
      </c>
      <c r="AM28" s="120" t="s">
        <v>978</v>
      </c>
      <c r="AN28" s="141">
        <v>460460</v>
      </c>
      <c r="AO28" s="119" t="s">
        <v>974</v>
      </c>
      <c r="AP28" s="103">
        <v>240000</v>
      </c>
      <c r="AQ28" s="142">
        <v>398650</v>
      </c>
      <c r="AR28" s="103" t="s">
        <v>974</v>
      </c>
      <c r="AS28" s="103" t="s">
        <v>974</v>
      </c>
      <c r="AT28" s="103" t="s">
        <v>974</v>
      </c>
      <c r="AU28" s="103">
        <f t="shared" si="5"/>
        <v>240000</v>
      </c>
      <c r="AV28" s="158"/>
      <c r="AW28" s="156">
        <f>+AU28</f>
        <v>240000</v>
      </c>
      <c r="AX28" s="121">
        <f t="shared" si="7"/>
        <v>240000</v>
      </c>
      <c r="AY28" s="163" t="s">
        <v>1080</v>
      </c>
      <c r="AZ28" s="161">
        <v>11</v>
      </c>
      <c r="BA28" s="138">
        <v>0</v>
      </c>
      <c r="BB28" s="138">
        <v>15</v>
      </c>
      <c r="BC28" s="139">
        <f t="shared" si="2"/>
        <v>26</v>
      </c>
      <c r="BD28" s="140">
        <f t="shared" si="3"/>
        <v>6240000</v>
      </c>
    </row>
    <row r="29" spans="1:56" s="127" customFormat="1" ht="45" x14ac:dyDescent="0.2">
      <c r="A29" s="149">
        <v>3</v>
      </c>
      <c r="B29" s="148">
        <v>26</v>
      </c>
      <c r="C29" s="105">
        <v>42281530</v>
      </c>
      <c r="D29" s="106" t="s">
        <v>500</v>
      </c>
      <c r="E29" s="105" t="s">
        <v>713</v>
      </c>
      <c r="F29" s="105" t="s">
        <v>549</v>
      </c>
      <c r="G29" s="143" t="s">
        <v>978</v>
      </c>
      <c r="H29" s="143" t="s">
        <v>978</v>
      </c>
      <c r="I29" s="143" t="s">
        <v>978</v>
      </c>
      <c r="J29" s="104" t="s">
        <v>978</v>
      </c>
      <c r="K29" s="104" t="s">
        <v>978</v>
      </c>
      <c r="L29" s="104" t="s">
        <v>978</v>
      </c>
      <c r="M29" s="104" t="s">
        <v>978</v>
      </c>
      <c r="N29" s="104" t="s">
        <v>978</v>
      </c>
      <c r="O29" s="104" t="s">
        <v>978</v>
      </c>
      <c r="P29" s="104" t="s">
        <v>978</v>
      </c>
      <c r="Q29" s="104" t="s">
        <v>1012</v>
      </c>
      <c r="R29" s="104" t="s">
        <v>978</v>
      </c>
      <c r="S29" s="104" t="s">
        <v>978</v>
      </c>
      <c r="T29" s="104" t="s">
        <v>978</v>
      </c>
      <c r="U29" s="104" t="s">
        <v>978</v>
      </c>
      <c r="V29" s="104" t="s">
        <v>978</v>
      </c>
      <c r="W29" s="104" t="s">
        <v>978</v>
      </c>
      <c r="X29" s="104" t="s">
        <v>978</v>
      </c>
      <c r="Y29" s="104" t="s">
        <v>978</v>
      </c>
      <c r="Z29" s="104" t="s">
        <v>978</v>
      </c>
      <c r="AA29" s="104" t="s">
        <v>978</v>
      </c>
      <c r="AB29" s="104" t="s">
        <v>978</v>
      </c>
      <c r="AC29" s="104" t="s">
        <v>978</v>
      </c>
      <c r="AD29" s="104" t="s">
        <v>978</v>
      </c>
      <c r="AE29" s="104" t="s">
        <v>978</v>
      </c>
      <c r="AF29" s="104" t="s">
        <v>978</v>
      </c>
      <c r="AG29" s="104" t="s">
        <v>978</v>
      </c>
      <c r="AH29" s="104" t="s">
        <v>978</v>
      </c>
      <c r="AI29" s="104" t="s">
        <v>978</v>
      </c>
      <c r="AJ29" s="104" t="s">
        <v>978</v>
      </c>
      <c r="AK29" s="104" t="s">
        <v>978</v>
      </c>
      <c r="AL29" s="104" t="s">
        <v>978</v>
      </c>
      <c r="AM29" s="120" t="s">
        <v>978</v>
      </c>
      <c r="AN29" s="141">
        <v>400400</v>
      </c>
      <c r="AO29" s="119" t="s">
        <v>974</v>
      </c>
      <c r="AP29" s="103">
        <v>100000</v>
      </c>
      <c r="AQ29" s="142">
        <v>464100</v>
      </c>
      <c r="AR29" s="103" t="s">
        <v>974</v>
      </c>
      <c r="AS29" s="103" t="s">
        <v>974</v>
      </c>
      <c r="AT29" s="103" t="s">
        <v>974</v>
      </c>
      <c r="AU29" s="103">
        <f>+MIN(AN29,AO29,AQ29,AR29,AS29,AT29)</f>
        <v>400400</v>
      </c>
      <c r="AV29" s="158" t="s">
        <v>1076</v>
      </c>
      <c r="AW29" s="156">
        <f t="shared" ref="AW29:AW34" si="11">+AVERAGE(AL29,AU29)</f>
        <v>400400</v>
      </c>
      <c r="AX29" s="121">
        <f t="shared" si="7"/>
        <v>400400</v>
      </c>
      <c r="AY29" s="163" t="s">
        <v>1073</v>
      </c>
      <c r="AZ29" s="160">
        <v>2</v>
      </c>
      <c r="BA29" s="138">
        <v>0</v>
      </c>
      <c r="BB29" s="138">
        <v>0</v>
      </c>
      <c r="BC29" s="139">
        <f t="shared" si="2"/>
        <v>2</v>
      </c>
      <c r="BD29" s="140">
        <f t="shared" si="3"/>
        <v>800800</v>
      </c>
    </row>
    <row r="30" spans="1:56" s="127" customFormat="1" ht="22.5" x14ac:dyDescent="0.2">
      <c r="A30" s="149">
        <v>3</v>
      </c>
      <c r="B30" s="148">
        <v>27</v>
      </c>
      <c r="C30" s="105">
        <v>41121809</v>
      </c>
      <c r="D30" s="106" t="s">
        <v>647</v>
      </c>
      <c r="E30" s="105" t="s">
        <v>714</v>
      </c>
      <c r="F30" s="105" t="s">
        <v>462</v>
      </c>
      <c r="G30" s="143" t="s">
        <v>978</v>
      </c>
      <c r="H30" s="143" t="s">
        <v>978</v>
      </c>
      <c r="I30" s="143" t="s">
        <v>978</v>
      </c>
      <c r="J30" s="104" t="s">
        <v>978</v>
      </c>
      <c r="K30" s="104" t="s">
        <v>978</v>
      </c>
      <c r="L30" s="104" t="s">
        <v>978</v>
      </c>
      <c r="M30" s="104" t="s">
        <v>978</v>
      </c>
      <c r="N30" s="104" t="s">
        <v>978</v>
      </c>
      <c r="O30" s="104" t="s">
        <v>978</v>
      </c>
      <c r="P30" s="104" t="s">
        <v>978</v>
      </c>
      <c r="Q30" s="104" t="s">
        <v>1012</v>
      </c>
      <c r="R30" s="104" t="s">
        <v>978</v>
      </c>
      <c r="S30" s="104" t="s">
        <v>978</v>
      </c>
      <c r="T30" s="104" t="s">
        <v>978</v>
      </c>
      <c r="U30" s="104" t="s">
        <v>978</v>
      </c>
      <c r="V30" s="104" t="s">
        <v>978</v>
      </c>
      <c r="W30" s="104" t="s">
        <v>978</v>
      </c>
      <c r="X30" s="104" t="s">
        <v>978</v>
      </c>
      <c r="Y30" s="104" t="s">
        <v>978</v>
      </c>
      <c r="Z30" s="104" t="s">
        <v>978</v>
      </c>
      <c r="AA30" s="104" t="s">
        <v>978</v>
      </c>
      <c r="AB30" s="104" t="s">
        <v>978</v>
      </c>
      <c r="AC30" s="104" t="s">
        <v>978</v>
      </c>
      <c r="AD30" s="104" t="s">
        <v>978</v>
      </c>
      <c r="AE30" s="104" t="s">
        <v>978</v>
      </c>
      <c r="AF30" s="104" t="s">
        <v>978</v>
      </c>
      <c r="AG30" s="104" t="s">
        <v>978</v>
      </c>
      <c r="AH30" s="104" t="s">
        <v>978</v>
      </c>
      <c r="AI30" s="104" t="s">
        <v>978</v>
      </c>
      <c r="AJ30" s="104" t="s">
        <v>978</v>
      </c>
      <c r="AK30" s="104" t="s">
        <v>978</v>
      </c>
      <c r="AL30" s="104" t="s">
        <v>978</v>
      </c>
      <c r="AM30" s="120" t="s">
        <v>978</v>
      </c>
      <c r="AN30" s="141">
        <v>92950</v>
      </c>
      <c r="AO30" s="119" t="s">
        <v>974</v>
      </c>
      <c r="AP30" s="103" t="s">
        <v>974</v>
      </c>
      <c r="AQ30" s="142">
        <v>38080</v>
      </c>
      <c r="AR30" s="103" t="s">
        <v>974</v>
      </c>
      <c r="AS30" s="103" t="s">
        <v>974</v>
      </c>
      <c r="AT30" s="103" t="s">
        <v>974</v>
      </c>
      <c r="AU30" s="103">
        <f t="shared" ref="AU30:AU57" si="12">+MIN(AN30:AT30)</f>
        <v>38080</v>
      </c>
      <c r="AV30" s="158"/>
      <c r="AW30" s="156">
        <f t="shared" si="11"/>
        <v>38080</v>
      </c>
      <c r="AX30" s="121">
        <f t="shared" si="7"/>
        <v>38080</v>
      </c>
      <c r="AY30" s="163" t="s">
        <v>1073</v>
      </c>
      <c r="AZ30" s="160">
        <v>24</v>
      </c>
      <c r="BA30" s="138">
        <v>0</v>
      </c>
      <c r="BB30" s="138">
        <v>0</v>
      </c>
      <c r="BC30" s="139">
        <f t="shared" si="2"/>
        <v>24</v>
      </c>
      <c r="BD30" s="140">
        <f t="shared" si="3"/>
        <v>913920</v>
      </c>
    </row>
    <row r="31" spans="1:56" s="127" customFormat="1" ht="33.75" x14ac:dyDescent="0.2">
      <c r="A31" s="149">
        <v>3</v>
      </c>
      <c r="B31" s="148">
        <v>28</v>
      </c>
      <c r="C31" s="105">
        <v>14111818</v>
      </c>
      <c r="D31" s="106" t="s">
        <v>540</v>
      </c>
      <c r="E31" s="105" t="s">
        <v>715</v>
      </c>
      <c r="F31" s="105" t="s">
        <v>286</v>
      </c>
      <c r="G31" s="143" t="s">
        <v>978</v>
      </c>
      <c r="H31" s="143" t="s">
        <v>978</v>
      </c>
      <c r="I31" s="143" t="s">
        <v>978</v>
      </c>
      <c r="J31" s="104" t="s">
        <v>978</v>
      </c>
      <c r="K31" s="104" t="s">
        <v>978</v>
      </c>
      <c r="L31" s="104" t="s">
        <v>978</v>
      </c>
      <c r="M31" s="104" t="s">
        <v>978</v>
      </c>
      <c r="N31" s="104" t="s">
        <v>978</v>
      </c>
      <c r="O31" s="104" t="s">
        <v>978</v>
      </c>
      <c r="P31" s="104" t="s">
        <v>978</v>
      </c>
      <c r="Q31" s="104" t="s">
        <v>1012</v>
      </c>
      <c r="R31" s="104" t="s">
        <v>978</v>
      </c>
      <c r="S31" s="104" t="s">
        <v>978</v>
      </c>
      <c r="T31" s="104" t="s">
        <v>978</v>
      </c>
      <c r="U31" s="104" t="s">
        <v>978</v>
      </c>
      <c r="V31" s="104" t="s">
        <v>978</v>
      </c>
      <c r="W31" s="104" t="s">
        <v>978</v>
      </c>
      <c r="X31" s="104" t="s">
        <v>978</v>
      </c>
      <c r="Y31" s="104" t="s">
        <v>978</v>
      </c>
      <c r="Z31" s="104" t="s">
        <v>978</v>
      </c>
      <c r="AA31" s="104" t="s">
        <v>978</v>
      </c>
      <c r="AB31" s="104">
        <v>4294</v>
      </c>
      <c r="AC31" s="104">
        <f>AB31*(1+5.1%)</f>
        <v>4512.9939999999997</v>
      </c>
      <c r="AD31" s="104" t="s">
        <v>978</v>
      </c>
      <c r="AE31" s="104" t="s">
        <v>978</v>
      </c>
      <c r="AF31" s="104" t="s">
        <v>978</v>
      </c>
      <c r="AG31" s="104" t="s">
        <v>978</v>
      </c>
      <c r="AH31" s="104" t="s">
        <v>978</v>
      </c>
      <c r="AI31" s="104" t="s">
        <v>978</v>
      </c>
      <c r="AJ31" s="104" t="s">
        <v>978</v>
      </c>
      <c r="AK31" s="104" t="s">
        <v>978</v>
      </c>
      <c r="AL31" s="104">
        <f t="shared" si="8"/>
        <v>4512.9939999999997</v>
      </c>
      <c r="AM31" s="120" t="s">
        <v>978</v>
      </c>
      <c r="AN31" s="141">
        <v>82940</v>
      </c>
      <c r="AO31" s="119" t="s">
        <v>974</v>
      </c>
      <c r="AP31" s="103" t="s">
        <v>974</v>
      </c>
      <c r="AQ31" s="142">
        <v>9520</v>
      </c>
      <c r="AR31" s="103" t="s">
        <v>974</v>
      </c>
      <c r="AS31" s="103" t="s">
        <v>974</v>
      </c>
      <c r="AT31" s="103" t="s">
        <v>974</v>
      </c>
      <c r="AU31" s="103">
        <f t="shared" si="12"/>
        <v>9520</v>
      </c>
      <c r="AV31" s="158"/>
      <c r="AW31" s="156">
        <f t="shared" si="11"/>
        <v>7016.4969999999994</v>
      </c>
      <c r="AX31" s="121">
        <f t="shared" si="7"/>
        <v>7016</v>
      </c>
      <c r="AY31" s="163" t="s">
        <v>1073</v>
      </c>
      <c r="AZ31" s="160">
        <v>0</v>
      </c>
      <c r="BA31" s="138">
        <v>28</v>
      </c>
      <c r="BB31" s="138">
        <v>0</v>
      </c>
      <c r="BC31" s="139">
        <f>+BA31+BB31</f>
        <v>28</v>
      </c>
      <c r="BD31" s="140">
        <f t="shared" si="3"/>
        <v>196448</v>
      </c>
    </row>
    <row r="32" spans="1:56" s="127" customFormat="1" ht="33.75" x14ac:dyDescent="0.2">
      <c r="A32" s="149">
        <v>3</v>
      </c>
      <c r="B32" s="148">
        <v>29</v>
      </c>
      <c r="C32" s="105">
        <v>14111818</v>
      </c>
      <c r="D32" s="106" t="s">
        <v>541</v>
      </c>
      <c r="E32" s="105" t="s">
        <v>832</v>
      </c>
      <c r="F32" s="105" t="s">
        <v>286</v>
      </c>
      <c r="G32" s="143" t="s">
        <v>978</v>
      </c>
      <c r="H32" s="143" t="s">
        <v>978</v>
      </c>
      <c r="I32" s="143" t="s">
        <v>978</v>
      </c>
      <c r="J32" s="104" t="s">
        <v>978</v>
      </c>
      <c r="K32" s="104" t="s">
        <v>978</v>
      </c>
      <c r="L32" s="104" t="s">
        <v>978</v>
      </c>
      <c r="M32" s="104" t="s">
        <v>978</v>
      </c>
      <c r="N32" s="104" t="s">
        <v>978</v>
      </c>
      <c r="O32" s="104" t="s">
        <v>978</v>
      </c>
      <c r="P32" s="104" t="s">
        <v>978</v>
      </c>
      <c r="Q32" s="104" t="s">
        <v>1012</v>
      </c>
      <c r="R32" s="104" t="s">
        <v>978</v>
      </c>
      <c r="S32" s="104" t="s">
        <v>978</v>
      </c>
      <c r="T32" s="104" t="s">
        <v>978</v>
      </c>
      <c r="U32" s="104" t="s">
        <v>978</v>
      </c>
      <c r="V32" s="104" t="s">
        <v>978</v>
      </c>
      <c r="W32" s="104" t="s">
        <v>978</v>
      </c>
      <c r="X32" s="104" t="s">
        <v>978</v>
      </c>
      <c r="Y32" s="104" t="s">
        <v>978</v>
      </c>
      <c r="Z32" s="104" t="s">
        <v>978</v>
      </c>
      <c r="AA32" s="104" t="s">
        <v>978</v>
      </c>
      <c r="AB32" s="104">
        <v>5423</v>
      </c>
      <c r="AC32" s="104">
        <f>AB32*(1+5.1%)</f>
        <v>5699.5729999999994</v>
      </c>
      <c r="AD32" s="104" t="s">
        <v>978</v>
      </c>
      <c r="AE32" s="104" t="s">
        <v>978</v>
      </c>
      <c r="AF32" s="104" t="s">
        <v>978</v>
      </c>
      <c r="AG32" s="104" t="s">
        <v>978</v>
      </c>
      <c r="AH32" s="104" t="s">
        <v>978</v>
      </c>
      <c r="AI32" s="104" t="s">
        <v>978</v>
      </c>
      <c r="AJ32" s="104" t="s">
        <v>978</v>
      </c>
      <c r="AK32" s="104" t="s">
        <v>978</v>
      </c>
      <c r="AL32" s="104">
        <f t="shared" si="8"/>
        <v>5699.5729999999994</v>
      </c>
      <c r="AM32" s="120" t="s">
        <v>978</v>
      </c>
      <c r="AN32" s="141">
        <v>14014</v>
      </c>
      <c r="AO32" s="119" t="s">
        <v>974</v>
      </c>
      <c r="AP32" s="103" t="s">
        <v>974</v>
      </c>
      <c r="AQ32" s="142">
        <v>10710</v>
      </c>
      <c r="AR32" s="103" t="s">
        <v>974</v>
      </c>
      <c r="AS32" s="103" t="s">
        <v>974</v>
      </c>
      <c r="AT32" s="103" t="s">
        <v>974</v>
      </c>
      <c r="AU32" s="103">
        <f t="shared" si="12"/>
        <v>10710</v>
      </c>
      <c r="AV32" s="158"/>
      <c r="AW32" s="156">
        <f t="shared" si="11"/>
        <v>8204.7865000000002</v>
      </c>
      <c r="AX32" s="121">
        <f t="shared" si="7"/>
        <v>8205</v>
      </c>
      <c r="AY32" s="163" t="s">
        <v>1073</v>
      </c>
      <c r="AZ32" s="160">
        <v>0</v>
      </c>
      <c r="BA32" s="138">
        <v>29</v>
      </c>
      <c r="BB32" s="138">
        <v>0</v>
      </c>
      <c r="BC32" s="139">
        <f>+BA32+BB32</f>
        <v>29</v>
      </c>
      <c r="BD32" s="140">
        <f t="shared" si="3"/>
        <v>237945</v>
      </c>
    </row>
    <row r="33" spans="1:56" s="128" customFormat="1" ht="112.5" x14ac:dyDescent="0.2">
      <c r="A33" s="149">
        <v>4</v>
      </c>
      <c r="B33" s="148">
        <v>30</v>
      </c>
      <c r="C33" s="105">
        <v>15121514</v>
      </c>
      <c r="D33" s="106" t="s">
        <v>475</v>
      </c>
      <c r="E33" s="105" t="s">
        <v>833</v>
      </c>
      <c r="F33" s="105" t="s">
        <v>639</v>
      </c>
      <c r="G33" s="143" t="s">
        <v>978</v>
      </c>
      <c r="H33" s="143" t="s">
        <v>978</v>
      </c>
      <c r="I33" s="143" t="s">
        <v>978</v>
      </c>
      <c r="J33" s="104" t="s">
        <v>978</v>
      </c>
      <c r="K33" s="104" t="s">
        <v>978</v>
      </c>
      <c r="L33" s="104" t="s">
        <v>978</v>
      </c>
      <c r="M33" s="104" t="s">
        <v>978</v>
      </c>
      <c r="N33" s="104" t="s">
        <v>978</v>
      </c>
      <c r="O33" s="104" t="s">
        <v>978</v>
      </c>
      <c r="P33" s="104" t="s">
        <v>978</v>
      </c>
      <c r="Q33" s="104" t="s">
        <v>1012</v>
      </c>
      <c r="R33" s="104">
        <v>38592</v>
      </c>
      <c r="S33" s="104">
        <f>R33*(1+5.2%)*(1+5.1%)</f>
        <v>42669.321983999995</v>
      </c>
      <c r="T33" s="104" t="s">
        <v>978</v>
      </c>
      <c r="U33" s="104" t="s">
        <v>978</v>
      </c>
      <c r="V33" s="104" t="s">
        <v>978</v>
      </c>
      <c r="W33" s="104" t="s">
        <v>978</v>
      </c>
      <c r="X33" s="104" t="s">
        <v>978</v>
      </c>
      <c r="Y33" s="104" t="s">
        <v>978</v>
      </c>
      <c r="Z33" s="104" t="s">
        <v>978</v>
      </c>
      <c r="AA33" s="104" t="s">
        <v>978</v>
      </c>
      <c r="AB33" s="104" t="s">
        <v>978</v>
      </c>
      <c r="AC33" s="104" t="s">
        <v>978</v>
      </c>
      <c r="AD33" s="104" t="s">
        <v>978</v>
      </c>
      <c r="AE33" s="104" t="s">
        <v>978</v>
      </c>
      <c r="AF33" s="104" t="s">
        <v>978</v>
      </c>
      <c r="AG33" s="104" t="s">
        <v>978</v>
      </c>
      <c r="AH33" s="104" t="s">
        <v>978</v>
      </c>
      <c r="AI33" s="104" t="s">
        <v>978</v>
      </c>
      <c r="AJ33" s="104">
        <v>28171</v>
      </c>
      <c r="AK33" s="104">
        <f>AJ33*(1+5.1%)</f>
        <v>29607.720999999998</v>
      </c>
      <c r="AL33" s="104">
        <f>+AVERAGE(K33,M33,O33,Q33,S33,U33,W33,Y33,AA33,AC33,AE33,AG33,AI33,AK33)</f>
        <v>36138.521492</v>
      </c>
      <c r="AM33" s="120" t="s">
        <v>978</v>
      </c>
      <c r="AN33" s="141">
        <v>52195</v>
      </c>
      <c r="AO33" s="119" t="s">
        <v>974</v>
      </c>
      <c r="AP33" s="103" t="s">
        <v>974</v>
      </c>
      <c r="AQ33" s="142">
        <v>52360</v>
      </c>
      <c r="AR33" s="103" t="s">
        <v>974</v>
      </c>
      <c r="AS33" s="103" t="s">
        <v>974</v>
      </c>
      <c r="AT33" s="103" t="s">
        <v>974</v>
      </c>
      <c r="AU33" s="103">
        <f t="shared" si="12"/>
        <v>52195</v>
      </c>
      <c r="AV33" s="158"/>
      <c r="AW33" s="156">
        <f t="shared" si="11"/>
        <v>44166.760746</v>
      </c>
      <c r="AX33" s="121">
        <f t="shared" ref="AX33:AX40" si="13">+ROUND(AW33,0)</f>
        <v>44167</v>
      </c>
      <c r="AY33" s="163" t="s">
        <v>1073</v>
      </c>
      <c r="AZ33" s="160">
        <v>22</v>
      </c>
      <c r="BA33" s="138">
        <v>24</v>
      </c>
      <c r="BB33" s="138">
        <v>36</v>
      </c>
      <c r="BC33" s="139">
        <f>+AZ33+BA33+BB33</f>
        <v>82</v>
      </c>
      <c r="BD33" s="140">
        <f t="shared" si="3"/>
        <v>3621694</v>
      </c>
    </row>
    <row r="34" spans="1:56" s="128" customFormat="1" ht="22.5" x14ac:dyDescent="0.2">
      <c r="A34" s="149">
        <v>4</v>
      </c>
      <c r="B34" s="148">
        <v>31</v>
      </c>
      <c r="C34" s="105">
        <v>42152465</v>
      </c>
      <c r="D34" s="106" t="s">
        <v>476</v>
      </c>
      <c r="E34" s="105" t="s">
        <v>834</v>
      </c>
      <c r="F34" s="105" t="s">
        <v>550</v>
      </c>
      <c r="G34" s="143" t="s">
        <v>978</v>
      </c>
      <c r="H34" s="143" t="s">
        <v>978</v>
      </c>
      <c r="I34" s="143" t="s">
        <v>978</v>
      </c>
      <c r="J34" s="104" t="s">
        <v>978</v>
      </c>
      <c r="K34" s="104" t="s">
        <v>978</v>
      </c>
      <c r="L34" s="104" t="s">
        <v>978</v>
      </c>
      <c r="M34" s="104" t="s">
        <v>978</v>
      </c>
      <c r="N34" s="104" t="s">
        <v>978</v>
      </c>
      <c r="O34" s="104" t="s">
        <v>978</v>
      </c>
      <c r="P34" s="104" t="s">
        <v>978</v>
      </c>
      <c r="Q34" s="104" t="s">
        <v>1012</v>
      </c>
      <c r="R34" s="104" t="s">
        <v>978</v>
      </c>
      <c r="S34" s="104" t="s">
        <v>978</v>
      </c>
      <c r="T34" s="104" t="s">
        <v>978</v>
      </c>
      <c r="U34" s="104" t="s">
        <v>978</v>
      </c>
      <c r="V34" s="104" t="s">
        <v>978</v>
      </c>
      <c r="W34" s="104" t="s">
        <v>978</v>
      </c>
      <c r="X34" s="104">
        <v>51648</v>
      </c>
      <c r="Y34" s="104">
        <f>X34*(1+5.1%)</f>
        <v>54282.047999999995</v>
      </c>
      <c r="Z34" s="104" t="s">
        <v>978</v>
      </c>
      <c r="AA34" s="104" t="s">
        <v>978</v>
      </c>
      <c r="AB34" s="104" t="s">
        <v>978</v>
      </c>
      <c r="AC34" s="104" t="s">
        <v>978</v>
      </c>
      <c r="AD34" s="104" t="s">
        <v>978</v>
      </c>
      <c r="AE34" s="104" t="s">
        <v>978</v>
      </c>
      <c r="AF34" s="104" t="s">
        <v>978</v>
      </c>
      <c r="AG34" s="104" t="s">
        <v>978</v>
      </c>
      <c r="AH34" s="104" t="s">
        <v>978</v>
      </c>
      <c r="AI34" s="104" t="s">
        <v>978</v>
      </c>
      <c r="AJ34" s="104" t="s">
        <v>978</v>
      </c>
      <c r="AK34" s="104" t="s">
        <v>978</v>
      </c>
      <c r="AL34" s="104">
        <f>+AVERAGE(K34,M34,O34,Q34,S34,U34,W34,Y34,AA34,AC34,AE34,AG34,AI34,AK34)</f>
        <v>54282.047999999995</v>
      </c>
      <c r="AM34" s="120" t="s">
        <v>978</v>
      </c>
      <c r="AN34" s="141">
        <v>250250</v>
      </c>
      <c r="AO34" s="119" t="s">
        <v>974</v>
      </c>
      <c r="AP34" s="103" t="s">
        <v>974</v>
      </c>
      <c r="AQ34" s="142">
        <v>386750</v>
      </c>
      <c r="AR34" s="103" t="s">
        <v>974</v>
      </c>
      <c r="AS34" s="103" t="s">
        <v>974</v>
      </c>
      <c r="AT34" s="103" t="s">
        <v>974</v>
      </c>
      <c r="AU34" s="103">
        <f t="shared" si="12"/>
        <v>250250</v>
      </c>
      <c r="AV34" s="158"/>
      <c r="AW34" s="156">
        <f t="shared" si="11"/>
        <v>152266.024</v>
      </c>
      <c r="AX34" s="121">
        <f t="shared" si="13"/>
        <v>152266</v>
      </c>
      <c r="AY34" s="163" t="s">
        <v>1073</v>
      </c>
      <c r="AZ34" s="160">
        <v>2</v>
      </c>
      <c r="BA34" s="138">
        <v>0</v>
      </c>
      <c r="BB34" s="138">
        <v>0</v>
      </c>
      <c r="BC34" s="139">
        <f>+AZ34+BA34+BB34</f>
        <v>2</v>
      </c>
      <c r="BD34" s="140">
        <f t="shared" si="3"/>
        <v>304532</v>
      </c>
    </row>
    <row r="35" spans="1:56" s="127" customFormat="1" ht="22.5" x14ac:dyDescent="0.2">
      <c r="A35" s="149">
        <v>5</v>
      </c>
      <c r="B35" s="148">
        <v>32</v>
      </c>
      <c r="C35" s="105">
        <v>51000000</v>
      </c>
      <c r="D35" s="106" t="s">
        <v>533</v>
      </c>
      <c r="E35" s="105" t="s">
        <v>835</v>
      </c>
      <c r="F35" s="105" t="s">
        <v>461</v>
      </c>
      <c r="G35" s="143" t="s">
        <v>978</v>
      </c>
      <c r="H35" s="143" t="s">
        <v>978</v>
      </c>
      <c r="I35" s="143" t="s">
        <v>978</v>
      </c>
      <c r="J35" s="104" t="s">
        <v>978</v>
      </c>
      <c r="K35" s="104" t="s">
        <v>978</v>
      </c>
      <c r="L35" s="104" t="s">
        <v>978</v>
      </c>
      <c r="M35" s="104" t="s">
        <v>978</v>
      </c>
      <c r="N35" s="104" t="s">
        <v>978</v>
      </c>
      <c r="O35" s="104" t="s">
        <v>978</v>
      </c>
      <c r="P35" s="104">
        <v>21783</v>
      </c>
      <c r="Q35" s="104">
        <f>P35*(1+5.2%)*(1+5.1%)</f>
        <v>24084.417515999998</v>
      </c>
      <c r="R35" s="104" t="s">
        <v>978</v>
      </c>
      <c r="S35" s="104" t="s">
        <v>978</v>
      </c>
      <c r="T35" s="104" t="s">
        <v>978</v>
      </c>
      <c r="U35" s="104" t="s">
        <v>978</v>
      </c>
      <c r="V35" s="104" t="s">
        <v>978</v>
      </c>
      <c r="W35" s="104" t="s">
        <v>978</v>
      </c>
      <c r="X35" s="104" t="s">
        <v>978</v>
      </c>
      <c r="Y35" s="104" t="s">
        <v>978</v>
      </c>
      <c r="Z35" s="104" t="s">
        <v>978</v>
      </c>
      <c r="AA35" s="104" t="s">
        <v>978</v>
      </c>
      <c r="AB35" s="104" t="s">
        <v>978</v>
      </c>
      <c r="AC35" s="104" t="s">
        <v>978</v>
      </c>
      <c r="AD35" s="104" t="s">
        <v>978</v>
      </c>
      <c r="AE35" s="104" t="s">
        <v>978</v>
      </c>
      <c r="AF35" s="104" t="s">
        <v>978</v>
      </c>
      <c r="AG35" s="104" t="s">
        <v>978</v>
      </c>
      <c r="AH35" s="104" t="s">
        <v>978</v>
      </c>
      <c r="AI35" s="104" t="s">
        <v>978</v>
      </c>
      <c r="AJ35" s="104" t="s">
        <v>978</v>
      </c>
      <c r="AK35" s="104" t="s">
        <v>978</v>
      </c>
      <c r="AL35" s="104">
        <f>+AVERAGE(K35,M35,O35,Q35,S35,U35,W35,Y35,AA35,AC35,AE35,AG35,AI35,AK35)</f>
        <v>24084.417515999998</v>
      </c>
      <c r="AM35" s="120">
        <v>22325</v>
      </c>
      <c r="AN35" s="141">
        <v>32890</v>
      </c>
      <c r="AO35" s="119" t="s">
        <v>974</v>
      </c>
      <c r="AP35" s="103" t="s">
        <v>974</v>
      </c>
      <c r="AQ35" s="142">
        <v>28000</v>
      </c>
      <c r="AR35" s="103" t="s">
        <v>974</v>
      </c>
      <c r="AS35" s="103" t="s">
        <v>974</v>
      </c>
      <c r="AT35" s="103" t="s">
        <v>974</v>
      </c>
      <c r="AU35" s="103">
        <f t="shared" si="12"/>
        <v>28000</v>
      </c>
      <c r="AV35" s="158"/>
      <c r="AW35" s="156">
        <f>+AVERAGE(AL35,AU35,AM35)</f>
        <v>24803.139171999999</v>
      </c>
      <c r="AX35" s="121">
        <f t="shared" si="13"/>
        <v>24803</v>
      </c>
      <c r="AY35" s="163" t="s">
        <v>1075</v>
      </c>
      <c r="AZ35" s="160">
        <v>7</v>
      </c>
      <c r="BA35" s="138">
        <v>0</v>
      </c>
      <c r="BB35" s="138">
        <v>0</v>
      </c>
      <c r="BC35" s="139">
        <f>+AZ35+BA35+BB35</f>
        <v>7</v>
      </c>
      <c r="BD35" s="140">
        <f t="shared" si="3"/>
        <v>173621</v>
      </c>
    </row>
    <row r="36" spans="1:56" s="127" customFormat="1" ht="101.25" x14ac:dyDescent="0.2">
      <c r="A36" s="149">
        <v>5</v>
      </c>
      <c r="B36" s="148">
        <v>33</v>
      </c>
      <c r="C36" s="105">
        <v>42311604</v>
      </c>
      <c r="D36" s="106" t="s">
        <v>610</v>
      </c>
      <c r="E36" s="105" t="s">
        <v>836</v>
      </c>
      <c r="F36" s="105" t="s">
        <v>454</v>
      </c>
      <c r="G36" s="143" t="s">
        <v>978</v>
      </c>
      <c r="H36" s="143" t="s">
        <v>978</v>
      </c>
      <c r="I36" s="143" t="s">
        <v>978</v>
      </c>
      <c r="J36" s="104" t="s">
        <v>978</v>
      </c>
      <c r="K36" s="104" t="s">
        <v>978</v>
      </c>
      <c r="L36" s="104" t="s">
        <v>978</v>
      </c>
      <c r="M36" s="104" t="s">
        <v>978</v>
      </c>
      <c r="N36" s="104" t="s">
        <v>978</v>
      </c>
      <c r="O36" s="104" t="s">
        <v>978</v>
      </c>
      <c r="P36" s="104" t="s">
        <v>978</v>
      </c>
      <c r="Q36" s="104" t="s">
        <v>1012</v>
      </c>
      <c r="R36" s="104" t="s">
        <v>978</v>
      </c>
      <c r="S36" s="104" t="s">
        <v>978</v>
      </c>
      <c r="T36" s="104" t="s">
        <v>978</v>
      </c>
      <c r="U36" s="104" t="s">
        <v>978</v>
      </c>
      <c r="V36" s="104" t="s">
        <v>978</v>
      </c>
      <c r="W36" s="104" t="s">
        <v>978</v>
      </c>
      <c r="X36" s="104" t="s">
        <v>978</v>
      </c>
      <c r="Y36" s="104" t="s">
        <v>978</v>
      </c>
      <c r="Z36" s="104" t="s">
        <v>978</v>
      </c>
      <c r="AA36" s="104" t="s">
        <v>978</v>
      </c>
      <c r="AB36" s="104" t="s">
        <v>978</v>
      </c>
      <c r="AC36" s="104" t="s">
        <v>978</v>
      </c>
      <c r="AD36" s="104" t="s">
        <v>978</v>
      </c>
      <c r="AE36" s="104" t="s">
        <v>978</v>
      </c>
      <c r="AF36" s="104" t="s">
        <v>978</v>
      </c>
      <c r="AG36" s="104" t="s">
        <v>978</v>
      </c>
      <c r="AH36" s="104" t="s">
        <v>978</v>
      </c>
      <c r="AI36" s="104" t="s">
        <v>978</v>
      </c>
      <c r="AJ36" s="104" t="s">
        <v>978</v>
      </c>
      <c r="AK36" s="104" t="s">
        <v>978</v>
      </c>
      <c r="AL36" s="104" t="s">
        <v>978</v>
      </c>
      <c r="AM36" s="120" t="s">
        <v>978</v>
      </c>
      <c r="AN36" s="141">
        <v>225940</v>
      </c>
      <c r="AO36" s="119" t="s">
        <v>974</v>
      </c>
      <c r="AP36" s="103" t="s">
        <v>974</v>
      </c>
      <c r="AQ36" s="142">
        <v>120000</v>
      </c>
      <c r="AR36" s="103" t="s">
        <v>974</v>
      </c>
      <c r="AS36" s="103" t="s">
        <v>974</v>
      </c>
      <c r="AT36" s="103" t="s">
        <v>974</v>
      </c>
      <c r="AU36" s="103">
        <f t="shared" si="12"/>
        <v>120000</v>
      </c>
      <c r="AV36" s="158"/>
      <c r="AW36" s="156">
        <f>+AVERAGE(AL36,AU36)</f>
        <v>120000</v>
      </c>
      <c r="AX36" s="121">
        <f t="shared" si="13"/>
        <v>120000</v>
      </c>
      <c r="AY36" s="163" t="s">
        <v>1073</v>
      </c>
      <c r="AZ36" s="160">
        <v>1</v>
      </c>
      <c r="BA36" s="138">
        <v>0</v>
      </c>
      <c r="BB36" s="138">
        <v>0</v>
      </c>
      <c r="BC36" s="139">
        <f>+AZ36+BA36+BB36</f>
        <v>1</v>
      </c>
      <c r="BD36" s="140">
        <f t="shared" si="3"/>
        <v>120000</v>
      </c>
    </row>
    <row r="37" spans="1:56" s="127" customFormat="1" ht="22.5" x14ac:dyDescent="0.2">
      <c r="A37" s="149">
        <v>5</v>
      </c>
      <c r="B37" s="148">
        <v>34</v>
      </c>
      <c r="C37" s="105">
        <v>42311604</v>
      </c>
      <c r="D37" s="106" t="s">
        <v>837</v>
      </c>
      <c r="E37" s="105" t="s">
        <v>838</v>
      </c>
      <c r="F37" s="105" t="s">
        <v>617</v>
      </c>
      <c r="G37" s="143" t="s">
        <v>978</v>
      </c>
      <c r="H37" s="143" t="s">
        <v>978</v>
      </c>
      <c r="I37" s="143" t="s">
        <v>978</v>
      </c>
      <c r="J37" s="104" t="s">
        <v>978</v>
      </c>
      <c r="K37" s="104" t="s">
        <v>978</v>
      </c>
      <c r="L37" s="104" t="s">
        <v>978</v>
      </c>
      <c r="M37" s="104" t="s">
        <v>978</v>
      </c>
      <c r="N37" s="104" t="s">
        <v>978</v>
      </c>
      <c r="O37" s="104" t="s">
        <v>978</v>
      </c>
      <c r="P37" s="104" t="s">
        <v>978</v>
      </c>
      <c r="Q37" s="104" t="s">
        <v>1012</v>
      </c>
      <c r="R37" s="104" t="s">
        <v>978</v>
      </c>
      <c r="S37" s="104" t="s">
        <v>978</v>
      </c>
      <c r="T37" s="104" t="s">
        <v>978</v>
      </c>
      <c r="U37" s="104" t="s">
        <v>978</v>
      </c>
      <c r="V37" s="104" t="s">
        <v>978</v>
      </c>
      <c r="W37" s="104" t="s">
        <v>978</v>
      </c>
      <c r="X37" s="104" t="s">
        <v>978</v>
      </c>
      <c r="Y37" s="104" t="s">
        <v>978</v>
      </c>
      <c r="Z37" s="104" t="s">
        <v>978</v>
      </c>
      <c r="AA37" s="104" t="s">
        <v>978</v>
      </c>
      <c r="AB37" s="104">
        <v>47648</v>
      </c>
      <c r="AC37" s="104">
        <f>AB37*(1+5.1%)</f>
        <v>50078.047999999995</v>
      </c>
      <c r="AD37" s="104" t="s">
        <v>978</v>
      </c>
      <c r="AE37" s="104" t="s">
        <v>978</v>
      </c>
      <c r="AF37" s="104" t="s">
        <v>978</v>
      </c>
      <c r="AG37" s="104" t="s">
        <v>978</v>
      </c>
      <c r="AH37" s="104" t="s">
        <v>978</v>
      </c>
      <c r="AI37" s="104" t="s">
        <v>978</v>
      </c>
      <c r="AJ37" s="104" t="s">
        <v>978</v>
      </c>
      <c r="AK37" s="104" t="s">
        <v>978</v>
      </c>
      <c r="AL37" s="104">
        <f>+AVERAGE(K37,M37,O37,Q37,S37,U37,W37,Y37,AA37,AC37,AE37,AG37,AI37,AK37)</f>
        <v>50078.047999999995</v>
      </c>
      <c r="AM37" s="120" t="s">
        <v>978</v>
      </c>
      <c r="AN37" s="141">
        <v>85800</v>
      </c>
      <c r="AO37" s="119" t="s">
        <v>974</v>
      </c>
      <c r="AP37" s="103" t="s">
        <v>974</v>
      </c>
      <c r="AQ37" s="142">
        <v>85680</v>
      </c>
      <c r="AR37" s="103" t="s">
        <v>974</v>
      </c>
      <c r="AS37" s="103" t="s">
        <v>974</v>
      </c>
      <c r="AT37" s="103" t="s">
        <v>974</v>
      </c>
      <c r="AU37" s="103">
        <f t="shared" si="12"/>
        <v>85680</v>
      </c>
      <c r="AV37" s="158"/>
      <c r="AW37" s="156">
        <f>+AVERAGE(I37,AL37,AU37)</f>
        <v>67879.024000000005</v>
      </c>
      <c r="AX37" s="121">
        <f t="shared" si="13"/>
        <v>67879</v>
      </c>
      <c r="AY37" s="163" t="s">
        <v>1085</v>
      </c>
      <c r="AZ37" s="160">
        <v>15</v>
      </c>
      <c r="BA37" s="138">
        <v>15</v>
      </c>
      <c r="BB37" s="138">
        <v>3</v>
      </c>
      <c r="BC37" s="139">
        <f>+BA37+BB37+AZ37</f>
        <v>33</v>
      </c>
      <c r="BD37" s="140">
        <f t="shared" si="3"/>
        <v>2240007</v>
      </c>
    </row>
    <row r="38" spans="1:56" s="126" customFormat="1" ht="33.75" x14ac:dyDescent="0.2">
      <c r="A38" s="149">
        <v>6</v>
      </c>
      <c r="B38" s="148">
        <v>35</v>
      </c>
      <c r="C38" s="105">
        <v>51102710</v>
      </c>
      <c r="D38" s="106" t="s">
        <v>307</v>
      </c>
      <c r="E38" s="105" t="s">
        <v>717</v>
      </c>
      <c r="F38" s="105" t="s">
        <v>552</v>
      </c>
      <c r="G38" s="143">
        <v>42240</v>
      </c>
      <c r="H38" s="143" t="s">
        <v>978</v>
      </c>
      <c r="I38" s="143">
        <f>+AVERAGE(G38:H38)</f>
        <v>42240</v>
      </c>
      <c r="J38" s="104" t="s">
        <v>978</v>
      </c>
      <c r="K38" s="104" t="s">
        <v>978</v>
      </c>
      <c r="L38" s="104" t="s">
        <v>978</v>
      </c>
      <c r="M38" s="104" t="s">
        <v>978</v>
      </c>
      <c r="N38" s="104" t="s">
        <v>978</v>
      </c>
      <c r="O38" s="104" t="s">
        <v>978</v>
      </c>
      <c r="P38" s="104">
        <v>13386</v>
      </c>
      <c r="Q38" s="104">
        <f t="shared" ref="Q38:Q44" si="14">P38*(1+5.2%)*(1+5.1%)</f>
        <v>14800.257672</v>
      </c>
      <c r="R38" s="104" t="s">
        <v>978</v>
      </c>
      <c r="S38" s="104" t="s">
        <v>978</v>
      </c>
      <c r="T38" s="104" t="s">
        <v>978</v>
      </c>
      <c r="U38" s="104" t="s">
        <v>978</v>
      </c>
      <c r="V38" s="104">
        <v>15223</v>
      </c>
      <c r="W38" s="104">
        <f t="shared" ref="W38:W44" si="15">V38*(1+5.1%)</f>
        <v>15999.373</v>
      </c>
      <c r="X38" s="104" t="s">
        <v>978</v>
      </c>
      <c r="Y38" s="104" t="s">
        <v>978</v>
      </c>
      <c r="Z38" s="104" t="s">
        <v>978</v>
      </c>
      <c r="AA38" s="104" t="s">
        <v>978</v>
      </c>
      <c r="AB38" s="104" t="s">
        <v>978</v>
      </c>
      <c r="AC38" s="104" t="s">
        <v>978</v>
      </c>
      <c r="AD38" s="104" t="s">
        <v>978</v>
      </c>
      <c r="AE38" s="104" t="s">
        <v>978</v>
      </c>
      <c r="AF38" s="104" t="s">
        <v>978</v>
      </c>
      <c r="AG38" s="104" t="s">
        <v>978</v>
      </c>
      <c r="AH38" s="104" t="s">
        <v>978</v>
      </c>
      <c r="AI38" s="104" t="s">
        <v>978</v>
      </c>
      <c r="AJ38" s="104" t="s">
        <v>978</v>
      </c>
      <c r="AK38" s="104" t="s">
        <v>978</v>
      </c>
      <c r="AL38" s="104">
        <f t="shared" ref="AL38:AL45" si="16">+AVERAGE(K38,M38,O38,Q38,S38,U38,W38,Y38,AA38,AC38,AE38,AG38,AI38,AK38)</f>
        <v>15399.815336</v>
      </c>
      <c r="AM38" s="120">
        <v>13574</v>
      </c>
      <c r="AN38" s="141">
        <v>40040</v>
      </c>
      <c r="AO38" s="119" t="s">
        <v>974</v>
      </c>
      <c r="AP38" s="103" t="s">
        <v>974</v>
      </c>
      <c r="AQ38" s="142">
        <v>25000</v>
      </c>
      <c r="AR38" s="103" t="s">
        <v>974</v>
      </c>
      <c r="AS38" s="103" t="s">
        <v>974</v>
      </c>
      <c r="AT38" s="103" t="s">
        <v>974</v>
      </c>
      <c r="AU38" s="103">
        <f t="shared" si="12"/>
        <v>25000</v>
      </c>
      <c r="AV38" s="158"/>
      <c r="AW38" s="156">
        <f>+AVERAGE(AL38,AU38,AM38)</f>
        <v>17991.271778666665</v>
      </c>
      <c r="AX38" s="121">
        <f t="shared" si="13"/>
        <v>17991</v>
      </c>
      <c r="AY38" s="163" t="s">
        <v>1075</v>
      </c>
      <c r="AZ38" s="160">
        <v>25</v>
      </c>
      <c r="BA38" s="138">
        <v>0</v>
      </c>
      <c r="BB38" s="138">
        <v>0</v>
      </c>
      <c r="BC38" s="139">
        <f>+AZ38+BA38+BB38</f>
        <v>25</v>
      </c>
      <c r="BD38" s="140">
        <f t="shared" si="3"/>
        <v>449775</v>
      </c>
    </row>
    <row r="39" spans="1:56" s="126" customFormat="1" ht="33.75" x14ac:dyDescent="0.2">
      <c r="A39" s="149">
        <v>6</v>
      </c>
      <c r="B39" s="148">
        <v>36</v>
      </c>
      <c r="C39" s="105">
        <v>51102710</v>
      </c>
      <c r="D39" s="106" t="s">
        <v>517</v>
      </c>
      <c r="E39" s="105" t="s">
        <v>839</v>
      </c>
      <c r="F39" s="105" t="s">
        <v>551</v>
      </c>
      <c r="G39" s="143" t="s">
        <v>978</v>
      </c>
      <c r="H39" s="143">
        <v>7680</v>
      </c>
      <c r="I39" s="143">
        <f>+AVERAGE(G39:H39)</f>
        <v>7680</v>
      </c>
      <c r="J39" s="104" t="s">
        <v>978</v>
      </c>
      <c r="K39" s="104" t="s">
        <v>978</v>
      </c>
      <c r="L39" s="104" t="s">
        <v>978</v>
      </c>
      <c r="M39" s="104" t="s">
        <v>978</v>
      </c>
      <c r="N39" s="104" t="s">
        <v>978</v>
      </c>
      <c r="O39" s="104" t="s">
        <v>978</v>
      </c>
      <c r="P39" s="104">
        <v>7815</v>
      </c>
      <c r="Q39" s="104">
        <f t="shared" si="14"/>
        <v>8640.6703800000014</v>
      </c>
      <c r="R39" s="104" t="s">
        <v>978</v>
      </c>
      <c r="S39" s="104" t="s">
        <v>978</v>
      </c>
      <c r="T39" s="104" t="s">
        <v>978</v>
      </c>
      <c r="U39" s="104" t="s">
        <v>978</v>
      </c>
      <c r="V39" s="104">
        <v>6958</v>
      </c>
      <c r="W39" s="104">
        <f t="shared" si="15"/>
        <v>7312.8579999999993</v>
      </c>
      <c r="X39" s="104" t="s">
        <v>978</v>
      </c>
      <c r="Y39" s="104" t="s">
        <v>978</v>
      </c>
      <c r="Z39" s="104" t="s">
        <v>978</v>
      </c>
      <c r="AA39" s="104" t="s">
        <v>978</v>
      </c>
      <c r="AB39" s="104">
        <v>5614</v>
      </c>
      <c r="AC39" s="104">
        <f>AB39*(1+5.1%)</f>
        <v>5900.3139999999994</v>
      </c>
      <c r="AD39" s="104" t="s">
        <v>978</v>
      </c>
      <c r="AE39" s="104" t="s">
        <v>978</v>
      </c>
      <c r="AF39" s="104" t="s">
        <v>978</v>
      </c>
      <c r="AG39" s="104" t="s">
        <v>978</v>
      </c>
      <c r="AH39" s="104" t="s">
        <v>978</v>
      </c>
      <c r="AI39" s="104" t="s">
        <v>978</v>
      </c>
      <c r="AJ39" s="104" t="s">
        <v>978</v>
      </c>
      <c r="AK39" s="104" t="s">
        <v>978</v>
      </c>
      <c r="AL39" s="104">
        <f t="shared" si="16"/>
        <v>7284.6141266666664</v>
      </c>
      <c r="AM39" s="120">
        <v>6250</v>
      </c>
      <c r="AN39" s="141">
        <v>17875</v>
      </c>
      <c r="AO39" s="119" t="s">
        <v>974</v>
      </c>
      <c r="AP39" s="103" t="s">
        <v>974</v>
      </c>
      <c r="AQ39" s="142">
        <v>11000</v>
      </c>
      <c r="AR39" s="103" t="s">
        <v>974</v>
      </c>
      <c r="AS39" s="103" t="s">
        <v>974</v>
      </c>
      <c r="AT39" s="103" t="s">
        <v>974</v>
      </c>
      <c r="AU39" s="103">
        <f t="shared" si="12"/>
        <v>11000</v>
      </c>
      <c r="AV39" s="158"/>
      <c r="AW39" s="156">
        <f>+AVERAGE(AL39,AU39,AM39)</f>
        <v>8178.2047088888894</v>
      </c>
      <c r="AX39" s="121">
        <f t="shared" si="13"/>
        <v>8178</v>
      </c>
      <c r="AY39" s="163" t="s">
        <v>1075</v>
      </c>
      <c r="AZ39" s="160">
        <v>300</v>
      </c>
      <c r="BA39" s="138">
        <v>48</v>
      </c>
      <c r="BB39" s="138">
        <v>0</v>
      </c>
      <c r="BC39" s="139">
        <f>+AZ39+BA39+BB39</f>
        <v>348</v>
      </c>
      <c r="BD39" s="140">
        <f t="shared" si="3"/>
        <v>2845944</v>
      </c>
    </row>
    <row r="40" spans="1:56" s="126" customFormat="1" ht="45" x14ac:dyDescent="0.2">
      <c r="A40" s="149">
        <v>6</v>
      </c>
      <c r="B40" s="148">
        <v>37</v>
      </c>
      <c r="C40" s="105">
        <v>51102710</v>
      </c>
      <c r="D40" s="106" t="s">
        <v>542</v>
      </c>
      <c r="E40" s="105" t="s">
        <v>718</v>
      </c>
      <c r="F40" s="105" t="s">
        <v>544</v>
      </c>
      <c r="G40" s="143" t="s">
        <v>978</v>
      </c>
      <c r="H40" s="143" t="s">
        <v>978</v>
      </c>
      <c r="I40" s="143" t="s">
        <v>978</v>
      </c>
      <c r="J40" s="104" t="s">
        <v>978</v>
      </c>
      <c r="K40" s="104" t="s">
        <v>978</v>
      </c>
      <c r="L40" s="104" t="s">
        <v>978</v>
      </c>
      <c r="M40" s="104" t="s">
        <v>978</v>
      </c>
      <c r="N40" s="104" t="s">
        <v>978</v>
      </c>
      <c r="O40" s="104" t="s">
        <v>978</v>
      </c>
      <c r="P40" s="104" t="s">
        <v>978</v>
      </c>
      <c r="Q40" s="104" t="s">
        <v>1012</v>
      </c>
      <c r="R40" s="104" t="s">
        <v>978</v>
      </c>
      <c r="S40" s="104" t="s">
        <v>978</v>
      </c>
      <c r="T40" s="104" t="s">
        <v>978</v>
      </c>
      <c r="U40" s="104" t="s">
        <v>978</v>
      </c>
      <c r="V40" s="104" t="s">
        <v>978</v>
      </c>
      <c r="W40" s="104" t="s">
        <v>978</v>
      </c>
      <c r="X40" s="104" t="s">
        <v>978</v>
      </c>
      <c r="Y40" s="104" t="s">
        <v>978</v>
      </c>
      <c r="Z40" s="104" t="s">
        <v>978</v>
      </c>
      <c r="AA40" s="104" t="s">
        <v>978</v>
      </c>
      <c r="AB40" s="104" t="s">
        <v>978</v>
      </c>
      <c r="AC40" s="104" t="s">
        <v>978</v>
      </c>
      <c r="AD40" s="104" t="s">
        <v>978</v>
      </c>
      <c r="AE40" s="104" t="s">
        <v>978</v>
      </c>
      <c r="AF40" s="104" t="s">
        <v>978</v>
      </c>
      <c r="AG40" s="104" t="s">
        <v>978</v>
      </c>
      <c r="AH40" s="104" t="s">
        <v>978</v>
      </c>
      <c r="AI40" s="104" t="s">
        <v>978</v>
      </c>
      <c r="AJ40" s="104" t="s">
        <v>978</v>
      </c>
      <c r="AK40" s="104" t="s">
        <v>978</v>
      </c>
      <c r="AL40" s="104" t="s">
        <v>978</v>
      </c>
      <c r="AM40" s="120">
        <v>37700</v>
      </c>
      <c r="AN40" s="141">
        <v>61490</v>
      </c>
      <c r="AO40" s="119" t="s">
        <v>974</v>
      </c>
      <c r="AP40" s="103" t="s">
        <v>974</v>
      </c>
      <c r="AQ40" s="142">
        <v>535500</v>
      </c>
      <c r="AR40" s="103" t="s">
        <v>974</v>
      </c>
      <c r="AS40" s="103" t="s">
        <v>974</v>
      </c>
      <c r="AT40" s="103" t="s">
        <v>974</v>
      </c>
      <c r="AU40" s="103">
        <f t="shared" si="12"/>
        <v>61490</v>
      </c>
      <c r="AV40" s="158"/>
      <c r="AW40" s="156">
        <f>+AVERAGE(AL40,AU40,AM40)</f>
        <v>49595</v>
      </c>
      <c r="AX40" s="121">
        <f t="shared" si="13"/>
        <v>49595</v>
      </c>
      <c r="AY40" s="163" t="s">
        <v>1075</v>
      </c>
      <c r="AZ40" s="160">
        <v>0</v>
      </c>
      <c r="BA40" s="138">
        <v>4</v>
      </c>
      <c r="BB40" s="138">
        <v>0</v>
      </c>
      <c r="BC40" s="139">
        <f>+BA40+BB40</f>
        <v>4</v>
      </c>
      <c r="BD40" s="140">
        <f t="shared" si="3"/>
        <v>198380</v>
      </c>
    </row>
    <row r="41" spans="1:56" s="126" customFormat="1" ht="42.75" customHeight="1" x14ac:dyDescent="0.2">
      <c r="A41" s="149">
        <v>6</v>
      </c>
      <c r="B41" s="148">
        <v>38</v>
      </c>
      <c r="C41" s="105">
        <v>51102710</v>
      </c>
      <c r="D41" s="106" t="s">
        <v>543</v>
      </c>
      <c r="E41" s="105" t="s">
        <v>543</v>
      </c>
      <c r="F41" s="105" t="s">
        <v>840</v>
      </c>
      <c r="G41" s="143" t="s">
        <v>978</v>
      </c>
      <c r="H41" s="143" t="s">
        <v>978</v>
      </c>
      <c r="I41" s="143" t="s">
        <v>978</v>
      </c>
      <c r="J41" s="104" t="s">
        <v>978</v>
      </c>
      <c r="K41" s="104" t="s">
        <v>978</v>
      </c>
      <c r="L41" s="104" t="s">
        <v>978</v>
      </c>
      <c r="M41" s="104" t="s">
        <v>978</v>
      </c>
      <c r="N41" s="104" t="s">
        <v>978</v>
      </c>
      <c r="O41" s="104" t="s">
        <v>978</v>
      </c>
      <c r="P41" s="104" t="s">
        <v>978</v>
      </c>
      <c r="Q41" s="104" t="s">
        <v>1012</v>
      </c>
      <c r="R41" s="104" t="s">
        <v>978</v>
      </c>
      <c r="S41" s="104" t="s">
        <v>978</v>
      </c>
      <c r="T41" s="104" t="s">
        <v>978</v>
      </c>
      <c r="U41" s="104" t="s">
        <v>978</v>
      </c>
      <c r="V41" s="104" t="s">
        <v>978</v>
      </c>
      <c r="W41" s="104" t="s">
        <v>978</v>
      </c>
      <c r="X41" s="104" t="s">
        <v>978</v>
      </c>
      <c r="Y41" s="104" t="s">
        <v>978</v>
      </c>
      <c r="Z41" s="104" t="s">
        <v>978</v>
      </c>
      <c r="AA41" s="104" t="s">
        <v>978</v>
      </c>
      <c r="AB41" s="104" t="s">
        <v>978</v>
      </c>
      <c r="AC41" s="104" t="s">
        <v>978</v>
      </c>
      <c r="AD41" s="104" t="s">
        <v>978</v>
      </c>
      <c r="AE41" s="104" t="s">
        <v>978</v>
      </c>
      <c r="AF41" s="104" t="s">
        <v>978</v>
      </c>
      <c r="AG41" s="104" t="s">
        <v>978</v>
      </c>
      <c r="AH41" s="104" t="s">
        <v>978</v>
      </c>
      <c r="AI41" s="104" t="s">
        <v>978</v>
      </c>
      <c r="AJ41" s="104" t="s">
        <v>978</v>
      </c>
      <c r="AK41" s="104" t="s">
        <v>978</v>
      </c>
      <c r="AL41" s="104" t="s">
        <v>978</v>
      </c>
      <c r="AM41" s="120" t="s">
        <v>978</v>
      </c>
      <c r="AN41" s="141">
        <v>21450</v>
      </c>
      <c r="AO41" s="119" t="s">
        <v>974</v>
      </c>
      <c r="AP41" s="103" t="s">
        <v>974</v>
      </c>
      <c r="AQ41" s="142">
        <v>19500</v>
      </c>
      <c r="AR41" s="103" t="s">
        <v>974</v>
      </c>
      <c r="AS41" s="103" t="s">
        <v>974</v>
      </c>
      <c r="AT41" s="103" t="s">
        <v>974</v>
      </c>
      <c r="AU41" s="103">
        <f t="shared" si="12"/>
        <v>19500</v>
      </c>
      <c r="AV41" s="158"/>
      <c r="AW41" s="156">
        <f>+AVERAGE(AL41,AU41)</f>
        <v>19500</v>
      </c>
      <c r="AX41" s="121">
        <f t="shared" ref="AX41:AX45" si="17">+ROUND(AW41,0)</f>
        <v>19500</v>
      </c>
      <c r="AY41" s="163" t="s">
        <v>1073</v>
      </c>
      <c r="AZ41" s="160">
        <v>0</v>
      </c>
      <c r="BA41" s="138">
        <v>4</v>
      </c>
      <c r="BB41" s="138">
        <v>0</v>
      </c>
      <c r="BC41" s="139">
        <f>+BA41+BB41</f>
        <v>4</v>
      </c>
      <c r="BD41" s="140">
        <f t="shared" si="3"/>
        <v>78000</v>
      </c>
    </row>
    <row r="42" spans="1:56" s="126" customFormat="1" ht="33.75" x14ac:dyDescent="0.2">
      <c r="A42" s="149">
        <v>6</v>
      </c>
      <c r="B42" s="148">
        <v>39</v>
      </c>
      <c r="C42" s="105">
        <v>51102708</v>
      </c>
      <c r="D42" s="106" t="s">
        <v>518</v>
      </c>
      <c r="E42" s="105" t="s">
        <v>719</v>
      </c>
      <c r="F42" s="105" t="s">
        <v>552</v>
      </c>
      <c r="G42" s="143" t="s">
        <v>978</v>
      </c>
      <c r="H42" s="143" t="s">
        <v>978</v>
      </c>
      <c r="I42" s="143" t="s">
        <v>978</v>
      </c>
      <c r="J42" s="104" t="s">
        <v>978</v>
      </c>
      <c r="K42" s="104" t="s">
        <v>978</v>
      </c>
      <c r="L42" s="104" t="s">
        <v>978</v>
      </c>
      <c r="M42" s="104" t="s">
        <v>978</v>
      </c>
      <c r="N42" s="104" t="s">
        <v>978</v>
      </c>
      <c r="O42" s="104" t="s">
        <v>978</v>
      </c>
      <c r="P42" s="104" t="s">
        <v>978</v>
      </c>
      <c r="Q42" s="104" t="s">
        <v>1012</v>
      </c>
      <c r="R42" s="104" t="s">
        <v>978</v>
      </c>
      <c r="S42" s="104" t="s">
        <v>978</v>
      </c>
      <c r="T42" s="104" t="s">
        <v>978</v>
      </c>
      <c r="U42" s="104" t="s">
        <v>978</v>
      </c>
      <c r="V42" s="104">
        <v>45760</v>
      </c>
      <c r="W42" s="104">
        <f t="shared" si="15"/>
        <v>48093.759999999995</v>
      </c>
      <c r="X42" s="104" t="s">
        <v>978</v>
      </c>
      <c r="Y42" s="104" t="s">
        <v>978</v>
      </c>
      <c r="Z42" s="104" t="s">
        <v>978</v>
      </c>
      <c r="AA42" s="104" t="s">
        <v>978</v>
      </c>
      <c r="AB42" s="104" t="s">
        <v>978</v>
      </c>
      <c r="AC42" s="104" t="s">
        <v>978</v>
      </c>
      <c r="AD42" s="104" t="s">
        <v>978</v>
      </c>
      <c r="AE42" s="104" t="s">
        <v>978</v>
      </c>
      <c r="AF42" s="104" t="s">
        <v>978</v>
      </c>
      <c r="AG42" s="104" t="s">
        <v>978</v>
      </c>
      <c r="AH42" s="104" t="s">
        <v>978</v>
      </c>
      <c r="AI42" s="104" t="s">
        <v>978</v>
      </c>
      <c r="AJ42" s="104" t="s">
        <v>978</v>
      </c>
      <c r="AK42" s="104" t="s">
        <v>978</v>
      </c>
      <c r="AL42" s="104">
        <f t="shared" si="16"/>
        <v>48093.759999999995</v>
      </c>
      <c r="AM42" s="120">
        <v>44887</v>
      </c>
      <c r="AN42" s="141">
        <v>85800</v>
      </c>
      <c r="AO42" s="119" t="s">
        <v>974</v>
      </c>
      <c r="AP42" s="103" t="s">
        <v>974</v>
      </c>
      <c r="AQ42" s="142">
        <v>21420</v>
      </c>
      <c r="AR42" s="103" t="s">
        <v>974</v>
      </c>
      <c r="AS42" s="103" t="s">
        <v>974</v>
      </c>
      <c r="AT42" s="103" t="s">
        <v>974</v>
      </c>
      <c r="AU42" s="103">
        <f t="shared" si="12"/>
        <v>21420</v>
      </c>
      <c r="AV42" s="158"/>
      <c r="AW42" s="156">
        <f>+AU42</f>
        <v>21420</v>
      </c>
      <c r="AX42" s="121">
        <f t="shared" si="17"/>
        <v>21420</v>
      </c>
      <c r="AY42" s="163" t="s">
        <v>1078</v>
      </c>
      <c r="AZ42" s="160">
        <v>8</v>
      </c>
      <c r="BA42" s="138">
        <v>0</v>
      </c>
      <c r="BB42" s="138">
        <v>0</v>
      </c>
      <c r="BC42" s="139">
        <f>+AZ42+BA42+BB42</f>
        <v>8</v>
      </c>
      <c r="BD42" s="140">
        <f t="shared" si="3"/>
        <v>171360</v>
      </c>
    </row>
    <row r="43" spans="1:56" s="126" customFormat="1" ht="67.5" x14ac:dyDescent="0.2">
      <c r="A43" s="149">
        <v>6</v>
      </c>
      <c r="B43" s="148">
        <v>40</v>
      </c>
      <c r="C43" s="105">
        <v>42281603</v>
      </c>
      <c r="D43" s="106" t="s">
        <v>579</v>
      </c>
      <c r="E43" s="105" t="s">
        <v>841</v>
      </c>
      <c r="F43" s="105" t="s">
        <v>286</v>
      </c>
      <c r="G43" s="143" t="s">
        <v>978</v>
      </c>
      <c r="H43" s="143" t="s">
        <v>978</v>
      </c>
      <c r="I43" s="143" t="s">
        <v>978</v>
      </c>
      <c r="J43" s="104" t="s">
        <v>978</v>
      </c>
      <c r="K43" s="104" t="s">
        <v>978</v>
      </c>
      <c r="L43" s="104" t="s">
        <v>978</v>
      </c>
      <c r="M43" s="104" t="s">
        <v>978</v>
      </c>
      <c r="N43" s="104" t="s">
        <v>978</v>
      </c>
      <c r="O43" s="104" t="s">
        <v>978</v>
      </c>
      <c r="P43" s="104" t="s">
        <v>978</v>
      </c>
      <c r="Q43" s="104" t="s">
        <v>1012</v>
      </c>
      <c r="R43" s="104" t="s">
        <v>978</v>
      </c>
      <c r="S43" s="104" t="s">
        <v>978</v>
      </c>
      <c r="T43" s="104" t="s">
        <v>978</v>
      </c>
      <c r="U43" s="104" t="s">
        <v>978</v>
      </c>
      <c r="V43" s="104" t="s">
        <v>978</v>
      </c>
      <c r="W43" s="104" t="s">
        <v>978</v>
      </c>
      <c r="X43" s="104" t="s">
        <v>978</v>
      </c>
      <c r="Y43" s="104" t="s">
        <v>978</v>
      </c>
      <c r="Z43" s="104" t="s">
        <v>978</v>
      </c>
      <c r="AA43" s="104" t="s">
        <v>978</v>
      </c>
      <c r="AB43" s="104" t="s">
        <v>978</v>
      </c>
      <c r="AC43" s="104" t="s">
        <v>978</v>
      </c>
      <c r="AD43" s="104" t="s">
        <v>978</v>
      </c>
      <c r="AE43" s="104" t="s">
        <v>978</v>
      </c>
      <c r="AF43" s="104" t="s">
        <v>978</v>
      </c>
      <c r="AG43" s="104" t="s">
        <v>978</v>
      </c>
      <c r="AH43" s="104" t="s">
        <v>978</v>
      </c>
      <c r="AI43" s="104" t="s">
        <v>978</v>
      </c>
      <c r="AJ43" s="104" t="s">
        <v>978</v>
      </c>
      <c r="AK43" s="104" t="s">
        <v>978</v>
      </c>
      <c r="AL43" s="104" t="s">
        <v>978</v>
      </c>
      <c r="AM43" s="120" t="s">
        <v>978</v>
      </c>
      <c r="AN43" s="141">
        <v>92950</v>
      </c>
      <c r="AO43" s="119" t="s">
        <v>974</v>
      </c>
      <c r="AP43" s="103" t="s">
        <v>974</v>
      </c>
      <c r="AQ43" s="142">
        <v>72000</v>
      </c>
      <c r="AR43" s="103" t="s">
        <v>974</v>
      </c>
      <c r="AS43" s="103" t="s">
        <v>974</v>
      </c>
      <c r="AT43" s="103" t="s">
        <v>974</v>
      </c>
      <c r="AU43" s="103">
        <f t="shared" si="12"/>
        <v>72000</v>
      </c>
      <c r="AV43" s="158"/>
      <c r="AW43" s="156">
        <f>+AVERAGE(AL43,AU43)</f>
        <v>72000</v>
      </c>
      <c r="AX43" s="121">
        <f t="shared" si="17"/>
        <v>72000</v>
      </c>
      <c r="AY43" s="163" t="s">
        <v>1073</v>
      </c>
      <c r="AZ43" s="160">
        <v>9</v>
      </c>
      <c r="BA43" s="138">
        <v>0</v>
      </c>
      <c r="BB43" s="138">
        <v>20</v>
      </c>
      <c r="BC43" s="139">
        <f>+AZ43+BA43+BB43</f>
        <v>29</v>
      </c>
      <c r="BD43" s="140">
        <f t="shared" si="3"/>
        <v>2088000</v>
      </c>
    </row>
    <row r="44" spans="1:56" s="126" customFormat="1" ht="33.75" x14ac:dyDescent="0.2">
      <c r="A44" s="149">
        <v>6</v>
      </c>
      <c r="B44" s="148">
        <v>41</v>
      </c>
      <c r="C44" s="105">
        <v>42201809</v>
      </c>
      <c r="D44" s="106" t="s">
        <v>519</v>
      </c>
      <c r="E44" s="105" t="s">
        <v>720</v>
      </c>
      <c r="F44" s="105" t="s">
        <v>552</v>
      </c>
      <c r="G44" s="143" t="s">
        <v>978</v>
      </c>
      <c r="H44" s="143" t="s">
        <v>978</v>
      </c>
      <c r="I44" s="143" t="s">
        <v>978</v>
      </c>
      <c r="J44" s="104" t="s">
        <v>978</v>
      </c>
      <c r="K44" s="104" t="s">
        <v>978</v>
      </c>
      <c r="L44" s="104" t="s">
        <v>978</v>
      </c>
      <c r="M44" s="104" t="s">
        <v>978</v>
      </c>
      <c r="N44" s="104" t="s">
        <v>978</v>
      </c>
      <c r="O44" s="104" t="s">
        <v>978</v>
      </c>
      <c r="P44" s="104">
        <v>63360</v>
      </c>
      <c r="Q44" s="104">
        <f t="shared" si="14"/>
        <v>70054.110719999997</v>
      </c>
      <c r="R44" s="104" t="s">
        <v>978</v>
      </c>
      <c r="S44" s="104" t="s">
        <v>978</v>
      </c>
      <c r="T44" s="104" t="s">
        <v>978</v>
      </c>
      <c r="U44" s="104" t="s">
        <v>978</v>
      </c>
      <c r="V44" s="104">
        <v>90026</v>
      </c>
      <c r="W44" s="104">
        <f t="shared" si="15"/>
        <v>94617.326000000001</v>
      </c>
      <c r="X44" s="104" t="s">
        <v>978</v>
      </c>
      <c r="Y44" s="104" t="s">
        <v>978</v>
      </c>
      <c r="Z44" s="104" t="s">
        <v>978</v>
      </c>
      <c r="AA44" s="104" t="s">
        <v>978</v>
      </c>
      <c r="AB44" s="104" t="s">
        <v>978</v>
      </c>
      <c r="AC44" s="104" t="s">
        <v>978</v>
      </c>
      <c r="AD44" s="104" t="s">
        <v>978</v>
      </c>
      <c r="AE44" s="104" t="s">
        <v>978</v>
      </c>
      <c r="AF44" s="104" t="s">
        <v>978</v>
      </c>
      <c r="AG44" s="104" t="s">
        <v>978</v>
      </c>
      <c r="AH44" s="104" t="s">
        <v>978</v>
      </c>
      <c r="AI44" s="104" t="s">
        <v>978</v>
      </c>
      <c r="AJ44" s="104" t="s">
        <v>978</v>
      </c>
      <c r="AK44" s="104" t="s">
        <v>978</v>
      </c>
      <c r="AL44" s="104">
        <f t="shared" si="16"/>
        <v>82335.718359999999</v>
      </c>
      <c r="AM44" s="120">
        <v>47230</v>
      </c>
      <c r="AN44" s="141">
        <v>164450</v>
      </c>
      <c r="AO44" s="119" t="s">
        <v>974</v>
      </c>
      <c r="AP44" s="103" t="s">
        <v>974</v>
      </c>
      <c r="AQ44" s="142" t="s">
        <v>974</v>
      </c>
      <c r="AR44" s="103" t="s">
        <v>974</v>
      </c>
      <c r="AS44" s="103" t="s">
        <v>974</v>
      </c>
      <c r="AT44" s="103" t="s">
        <v>974</v>
      </c>
      <c r="AU44" s="103">
        <f t="shared" si="12"/>
        <v>164450</v>
      </c>
      <c r="AV44" s="158"/>
      <c r="AW44" s="156">
        <f>+AVERAGE(AL44,AU44,AM44)</f>
        <v>98005.239453333328</v>
      </c>
      <c r="AX44" s="121">
        <f>+ROUND(AW44,0)</f>
        <v>98005</v>
      </c>
      <c r="AY44" s="163" t="s">
        <v>1075</v>
      </c>
      <c r="AZ44" s="160">
        <v>1</v>
      </c>
      <c r="BA44" s="138">
        <v>0</v>
      </c>
      <c r="BB44" s="138">
        <v>0</v>
      </c>
      <c r="BC44" s="139">
        <f>+AZ44+BA44+BB44</f>
        <v>1</v>
      </c>
      <c r="BD44" s="140">
        <f t="shared" si="3"/>
        <v>98005</v>
      </c>
    </row>
    <row r="45" spans="1:56" s="126" customFormat="1" ht="45" x14ac:dyDescent="0.2">
      <c r="A45" s="149">
        <v>6</v>
      </c>
      <c r="B45" s="148">
        <v>42</v>
      </c>
      <c r="C45" s="105">
        <v>42281603</v>
      </c>
      <c r="D45" s="106" t="s">
        <v>546</v>
      </c>
      <c r="E45" s="105" t="s">
        <v>721</v>
      </c>
      <c r="F45" s="105" t="s">
        <v>547</v>
      </c>
      <c r="G45" s="143" t="s">
        <v>978</v>
      </c>
      <c r="H45" s="143" t="s">
        <v>978</v>
      </c>
      <c r="I45" s="143" t="s">
        <v>978</v>
      </c>
      <c r="J45" s="104" t="s">
        <v>978</v>
      </c>
      <c r="K45" s="104" t="s">
        <v>978</v>
      </c>
      <c r="L45" s="104" t="s">
        <v>978</v>
      </c>
      <c r="M45" s="104" t="s">
        <v>978</v>
      </c>
      <c r="N45" s="104" t="s">
        <v>978</v>
      </c>
      <c r="O45" s="104" t="s">
        <v>978</v>
      </c>
      <c r="P45" s="104" t="s">
        <v>978</v>
      </c>
      <c r="Q45" s="104" t="s">
        <v>1012</v>
      </c>
      <c r="R45" s="104">
        <v>10646</v>
      </c>
      <c r="S45" s="104">
        <f>R45*(1+5.2%)*(1+5.1%)</f>
        <v>11770.771192</v>
      </c>
      <c r="T45" s="104" t="s">
        <v>978</v>
      </c>
      <c r="U45" s="104" t="s">
        <v>978</v>
      </c>
      <c r="V45" s="104" t="s">
        <v>978</v>
      </c>
      <c r="W45" s="104" t="s">
        <v>978</v>
      </c>
      <c r="X45" s="104" t="s">
        <v>978</v>
      </c>
      <c r="Y45" s="104" t="s">
        <v>978</v>
      </c>
      <c r="Z45" s="104" t="s">
        <v>978</v>
      </c>
      <c r="AA45" s="104" t="s">
        <v>978</v>
      </c>
      <c r="AB45" s="104" t="s">
        <v>978</v>
      </c>
      <c r="AC45" s="104" t="s">
        <v>978</v>
      </c>
      <c r="AD45" s="104" t="s">
        <v>978</v>
      </c>
      <c r="AE45" s="104" t="s">
        <v>978</v>
      </c>
      <c r="AF45" s="104" t="s">
        <v>978</v>
      </c>
      <c r="AG45" s="104" t="s">
        <v>978</v>
      </c>
      <c r="AH45" s="104" t="s">
        <v>978</v>
      </c>
      <c r="AI45" s="104" t="s">
        <v>978</v>
      </c>
      <c r="AJ45" s="104" t="s">
        <v>978</v>
      </c>
      <c r="AK45" s="104" t="s">
        <v>978</v>
      </c>
      <c r="AL45" s="104">
        <f t="shared" si="16"/>
        <v>11770.771192</v>
      </c>
      <c r="AM45" s="120" t="s">
        <v>978</v>
      </c>
      <c r="AN45" s="141">
        <v>32890</v>
      </c>
      <c r="AO45" s="119" t="s">
        <v>974</v>
      </c>
      <c r="AP45" s="103" t="s">
        <v>974</v>
      </c>
      <c r="AQ45" s="142">
        <v>29000</v>
      </c>
      <c r="AR45" s="103" t="s">
        <v>974</v>
      </c>
      <c r="AS45" s="103" t="s">
        <v>974</v>
      </c>
      <c r="AT45" s="103" t="s">
        <v>974</v>
      </c>
      <c r="AU45" s="103">
        <f t="shared" si="12"/>
        <v>29000</v>
      </c>
      <c r="AV45" s="158"/>
      <c r="AW45" s="156">
        <f>+AVERAGE(AL45,AU45)</f>
        <v>20385.385596</v>
      </c>
      <c r="AX45" s="121">
        <f t="shared" si="17"/>
        <v>20385</v>
      </c>
      <c r="AY45" s="163" t="s">
        <v>1073</v>
      </c>
      <c r="AZ45" s="160">
        <v>65</v>
      </c>
      <c r="BA45" s="138">
        <v>10</v>
      </c>
      <c r="BB45" s="138">
        <v>50</v>
      </c>
      <c r="BC45" s="139">
        <f>+AZ45+BA45+BB45</f>
        <v>125</v>
      </c>
      <c r="BD45" s="140">
        <f t="shared" si="3"/>
        <v>2548125</v>
      </c>
    </row>
    <row r="46" spans="1:56" s="125" customFormat="1" ht="22.5" x14ac:dyDescent="0.2">
      <c r="A46" s="149">
        <v>7</v>
      </c>
      <c r="B46" s="148">
        <v>43</v>
      </c>
      <c r="C46" s="105">
        <v>12352319</v>
      </c>
      <c r="D46" s="106" t="s">
        <v>506</v>
      </c>
      <c r="E46" s="105" t="s">
        <v>506</v>
      </c>
      <c r="F46" s="105" t="s">
        <v>515</v>
      </c>
      <c r="G46" s="143" t="s">
        <v>978</v>
      </c>
      <c r="H46" s="143" t="s">
        <v>978</v>
      </c>
      <c r="I46" s="143" t="s">
        <v>978</v>
      </c>
      <c r="J46" s="104" t="s">
        <v>978</v>
      </c>
      <c r="K46" s="104" t="s">
        <v>978</v>
      </c>
      <c r="L46" s="104" t="s">
        <v>978</v>
      </c>
      <c r="M46" s="104" t="s">
        <v>978</v>
      </c>
      <c r="N46" s="104" t="s">
        <v>978</v>
      </c>
      <c r="O46" s="104" t="s">
        <v>978</v>
      </c>
      <c r="P46" s="104" t="s">
        <v>978</v>
      </c>
      <c r="Q46" s="104" t="s">
        <v>1012</v>
      </c>
      <c r="R46" s="104">
        <v>7647</v>
      </c>
      <c r="S46" s="104">
        <f t="shared" ref="S46:S52" si="18">R46*(1+5.2%)*(1+5.1%)</f>
        <v>8454.9208440000002</v>
      </c>
      <c r="T46" s="104" t="s">
        <v>978</v>
      </c>
      <c r="U46" s="104" t="s">
        <v>978</v>
      </c>
      <c r="V46" s="104" t="s">
        <v>978</v>
      </c>
      <c r="W46" s="104" t="s">
        <v>978</v>
      </c>
      <c r="X46" s="104" t="s">
        <v>978</v>
      </c>
      <c r="Y46" s="104" t="s">
        <v>978</v>
      </c>
      <c r="Z46" s="104" t="s">
        <v>978</v>
      </c>
      <c r="AA46" s="104" t="s">
        <v>978</v>
      </c>
      <c r="AB46" s="104" t="s">
        <v>978</v>
      </c>
      <c r="AC46" s="104" t="s">
        <v>978</v>
      </c>
      <c r="AD46" s="104" t="s">
        <v>978</v>
      </c>
      <c r="AE46" s="104" t="s">
        <v>978</v>
      </c>
      <c r="AF46" s="104" t="s">
        <v>978</v>
      </c>
      <c r="AG46" s="104" t="s">
        <v>978</v>
      </c>
      <c r="AH46" s="104" t="s">
        <v>978</v>
      </c>
      <c r="AI46" s="104" t="s">
        <v>978</v>
      </c>
      <c r="AJ46" s="104">
        <v>7174</v>
      </c>
      <c r="AK46" s="104">
        <f t="shared" ref="AK46:AK53" si="19">AJ46*(1+5.1%)</f>
        <v>7539.8739999999998</v>
      </c>
      <c r="AL46" s="104">
        <f t="shared" ref="AL46:AL53" si="20">+AVERAGE(K46,M46,O46,Q46,S46,U46,W46,Y46,AA46,AC46,AE46,AG46,AI46,AK46)</f>
        <v>7997.397422</v>
      </c>
      <c r="AM46" s="120">
        <v>10950</v>
      </c>
      <c r="AN46" s="141">
        <v>17160</v>
      </c>
      <c r="AO46" s="119" t="s">
        <v>974</v>
      </c>
      <c r="AP46" s="103" t="s">
        <v>974</v>
      </c>
      <c r="AQ46" s="142">
        <v>19000</v>
      </c>
      <c r="AR46" s="103" t="s">
        <v>974</v>
      </c>
      <c r="AS46" s="103" t="s">
        <v>974</v>
      </c>
      <c r="AT46" s="103" t="s">
        <v>974</v>
      </c>
      <c r="AU46" s="103">
        <f t="shared" si="12"/>
        <v>17160</v>
      </c>
      <c r="AV46" s="158"/>
      <c r="AW46" s="156">
        <f>+AVERAGE(AL46,AU46,AM46)</f>
        <v>12035.799140666668</v>
      </c>
      <c r="AX46" s="121">
        <f>+ROUND(AW46,0)</f>
        <v>12036</v>
      </c>
      <c r="AY46" s="163" t="s">
        <v>1075</v>
      </c>
      <c r="AZ46" s="160">
        <v>0</v>
      </c>
      <c r="BA46" s="138">
        <v>11</v>
      </c>
      <c r="BB46" s="138">
        <v>10</v>
      </c>
      <c r="BC46" s="139">
        <f>+BA46+BB46</f>
        <v>21</v>
      </c>
      <c r="BD46" s="140">
        <f t="shared" si="3"/>
        <v>252756</v>
      </c>
    </row>
    <row r="47" spans="1:56" s="125" customFormat="1" ht="22.5" x14ac:dyDescent="0.2">
      <c r="A47" s="149">
        <v>7</v>
      </c>
      <c r="B47" s="148">
        <v>44</v>
      </c>
      <c r="C47" s="105">
        <v>12352319</v>
      </c>
      <c r="D47" s="106" t="s">
        <v>507</v>
      </c>
      <c r="E47" s="105" t="s">
        <v>722</v>
      </c>
      <c r="F47" s="105" t="s">
        <v>459</v>
      </c>
      <c r="G47" s="143" t="s">
        <v>978</v>
      </c>
      <c r="H47" s="143" t="s">
        <v>978</v>
      </c>
      <c r="I47" s="143" t="s">
        <v>978</v>
      </c>
      <c r="J47" s="104" t="s">
        <v>978</v>
      </c>
      <c r="K47" s="104" t="s">
        <v>978</v>
      </c>
      <c r="L47" s="104" t="s">
        <v>978</v>
      </c>
      <c r="M47" s="104" t="s">
        <v>978</v>
      </c>
      <c r="N47" s="104" t="s">
        <v>978</v>
      </c>
      <c r="O47" s="104" t="s">
        <v>978</v>
      </c>
      <c r="P47" s="104" t="s">
        <v>978</v>
      </c>
      <c r="Q47" s="104" t="s">
        <v>1012</v>
      </c>
      <c r="R47" s="104">
        <v>11986</v>
      </c>
      <c r="S47" s="104">
        <f t="shared" si="18"/>
        <v>13252.344872</v>
      </c>
      <c r="T47" s="104" t="s">
        <v>978</v>
      </c>
      <c r="U47" s="104" t="s">
        <v>978</v>
      </c>
      <c r="V47" s="104" t="s">
        <v>978</v>
      </c>
      <c r="W47" s="104" t="s">
        <v>978</v>
      </c>
      <c r="X47" s="104" t="s">
        <v>978</v>
      </c>
      <c r="Y47" s="104" t="s">
        <v>978</v>
      </c>
      <c r="Z47" s="104" t="s">
        <v>978</v>
      </c>
      <c r="AA47" s="104" t="s">
        <v>978</v>
      </c>
      <c r="AB47" s="104" t="s">
        <v>978</v>
      </c>
      <c r="AC47" s="104" t="s">
        <v>978</v>
      </c>
      <c r="AD47" s="104" t="s">
        <v>978</v>
      </c>
      <c r="AE47" s="104" t="s">
        <v>978</v>
      </c>
      <c r="AF47" s="104" t="s">
        <v>978</v>
      </c>
      <c r="AG47" s="104" t="s">
        <v>978</v>
      </c>
      <c r="AH47" s="104" t="s">
        <v>978</v>
      </c>
      <c r="AI47" s="104" t="s">
        <v>978</v>
      </c>
      <c r="AJ47" s="104" t="s">
        <v>978</v>
      </c>
      <c r="AK47" s="104" t="s">
        <v>978</v>
      </c>
      <c r="AL47" s="104">
        <f t="shared" si="20"/>
        <v>13252.344872</v>
      </c>
      <c r="AM47" s="120">
        <v>14559</v>
      </c>
      <c r="AN47" s="141">
        <v>20020</v>
      </c>
      <c r="AO47" s="119" t="s">
        <v>974</v>
      </c>
      <c r="AP47" s="103" t="s">
        <v>974</v>
      </c>
      <c r="AQ47" s="142">
        <v>22000</v>
      </c>
      <c r="AR47" s="103" t="s">
        <v>974</v>
      </c>
      <c r="AS47" s="103" t="s">
        <v>974</v>
      </c>
      <c r="AT47" s="103" t="s">
        <v>974</v>
      </c>
      <c r="AU47" s="103">
        <f t="shared" si="12"/>
        <v>20020</v>
      </c>
      <c r="AV47" s="158"/>
      <c r="AW47" s="156">
        <f>+AVERAGE(AL47,AU47,AM47)</f>
        <v>15943.781624000001</v>
      </c>
      <c r="AX47" s="121">
        <f>+ROUND(AW47,0)</f>
        <v>15944</v>
      </c>
      <c r="AY47" s="163" t="s">
        <v>1075</v>
      </c>
      <c r="AZ47" s="160">
        <v>0</v>
      </c>
      <c r="BA47" s="138">
        <v>4</v>
      </c>
      <c r="BB47" s="138">
        <v>10</v>
      </c>
      <c r="BC47" s="139">
        <f>+BA47+BB47</f>
        <v>14</v>
      </c>
      <c r="BD47" s="140">
        <f t="shared" si="3"/>
        <v>223216</v>
      </c>
    </row>
    <row r="48" spans="1:56" s="125" customFormat="1" ht="22.5" x14ac:dyDescent="0.2">
      <c r="A48" s="149">
        <v>7</v>
      </c>
      <c r="B48" s="148">
        <v>45</v>
      </c>
      <c r="C48" s="105">
        <v>42152465</v>
      </c>
      <c r="D48" s="106" t="s">
        <v>508</v>
      </c>
      <c r="E48" s="105" t="s">
        <v>723</v>
      </c>
      <c r="F48" s="105" t="s">
        <v>440</v>
      </c>
      <c r="G48" s="143" t="s">
        <v>978</v>
      </c>
      <c r="H48" s="143" t="s">
        <v>978</v>
      </c>
      <c r="I48" s="143" t="s">
        <v>978</v>
      </c>
      <c r="J48" s="104" t="s">
        <v>978</v>
      </c>
      <c r="K48" s="104" t="s">
        <v>978</v>
      </c>
      <c r="L48" s="104" t="s">
        <v>978</v>
      </c>
      <c r="M48" s="104" t="s">
        <v>978</v>
      </c>
      <c r="N48" s="104" t="s">
        <v>978</v>
      </c>
      <c r="O48" s="104" t="s">
        <v>978</v>
      </c>
      <c r="P48" s="104" t="s">
        <v>978</v>
      </c>
      <c r="Q48" s="104" t="s">
        <v>1012</v>
      </c>
      <c r="R48" s="104">
        <v>6933</v>
      </c>
      <c r="S48" s="104">
        <f t="shared" si="18"/>
        <v>7665.4853160000002</v>
      </c>
      <c r="T48" s="104" t="s">
        <v>978</v>
      </c>
      <c r="U48" s="104" t="s">
        <v>978</v>
      </c>
      <c r="V48" s="104" t="s">
        <v>978</v>
      </c>
      <c r="W48" s="104" t="s">
        <v>978</v>
      </c>
      <c r="X48" s="104" t="s">
        <v>978</v>
      </c>
      <c r="Y48" s="104" t="s">
        <v>978</v>
      </c>
      <c r="Z48" s="104" t="s">
        <v>978</v>
      </c>
      <c r="AA48" s="104" t="s">
        <v>978</v>
      </c>
      <c r="AB48" s="104" t="s">
        <v>978</v>
      </c>
      <c r="AC48" s="104" t="s">
        <v>978</v>
      </c>
      <c r="AD48" s="104" t="s">
        <v>978</v>
      </c>
      <c r="AE48" s="104" t="s">
        <v>978</v>
      </c>
      <c r="AF48" s="104" t="s">
        <v>978</v>
      </c>
      <c r="AG48" s="104" t="s">
        <v>978</v>
      </c>
      <c r="AH48" s="104" t="s">
        <v>978</v>
      </c>
      <c r="AI48" s="104" t="s">
        <v>978</v>
      </c>
      <c r="AJ48" s="104">
        <v>7750</v>
      </c>
      <c r="AK48" s="104">
        <f t="shared" si="19"/>
        <v>8145.2499999999991</v>
      </c>
      <c r="AL48" s="104">
        <f t="shared" si="20"/>
        <v>7905.3676579999992</v>
      </c>
      <c r="AM48" s="120" t="s">
        <v>978</v>
      </c>
      <c r="AN48" s="141">
        <v>12870</v>
      </c>
      <c r="AO48" s="119" t="s">
        <v>974</v>
      </c>
      <c r="AP48" s="103" t="s">
        <v>974</v>
      </c>
      <c r="AQ48" s="142">
        <v>16000</v>
      </c>
      <c r="AR48" s="103" t="s">
        <v>974</v>
      </c>
      <c r="AS48" s="103" t="s">
        <v>974</v>
      </c>
      <c r="AT48" s="103" t="s">
        <v>974</v>
      </c>
      <c r="AU48" s="103">
        <f t="shared" si="12"/>
        <v>12870</v>
      </c>
      <c r="AV48" s="158"/>
      <c r="AW48" s="156">
        <f>+AVERAGE(AL48,AU48)</f>
        <v>10387.683829</v>
      </c>
      <c r="AX48" s="121">
        <f t="shared" ref="AX48:AX53" si="21">+ROUND(AW48,0)</f>
        <v>10388</v>
      </c>
      <c r="AY48" s="163" t="s">
        <v>1073</v>
      </c>
      <c r="AZ48" s="160">
        <v>1</v>
      </c>
      <c r="BA48" s="138">
        <v>0</v>
      </c>
      <c r="BB48" s="138">
        <v>0</v>
      </c>
      <c r="BC48" s="139">
        <f t="shared" ref="BC48:BC67" si="22">+AZ48+BA48+BB48</f>
        <v>1</v>
      </c>
      <c r="BD48" s="140">
        <f t="shared" si="3"/>
        <v>10388</v>
      </c>
    </row>
    <row r="49" spans="1:56" s="125" customFormat="1" ht="67.5" x14ac:dyDescent="0.2">
      <c r="A49" s="149">
        <v>7</v>
      </c>
      <c r="B49" s="148">
        <v>46</v>
      </c>
      <c r="C49" s="105">
        <v>42281803</v>
      </c>
      <c r="D49" s="106" t="s">
        <v>574</v>
      </c>
      <c r="E49" s="105" t="s">
        <v>842</v>
      </c>
      <c r="F49" s="105" t="s">
        <v>299</v>
      </c>
      <c r="G49" s="143">
        <v>3546795</v>
      </c>
      <c r="H49" s="143" t="s">
        <v>978</v>
      </c>
      <c r="I49" s="143">
        <f>+AVERAGE(G49:H49)</f>
        <v>3546795</v>
      </c>
      <c r="J49" s="104" t="s">
        <v>978</v>
      </c>
      <c r="K49" s="104" t="s">
        <v>978</v>
      </c>
      <c r="L49" s="104" t="s">
        <v>978</v>
      </c>
      <c r="M49" s="104" t="s">
        <v>978</v>
      </c>
      <c r="N49" s="104" t="s">
        <v>978</v>
      </c>
      <c r="O49" s="104" t="s">
        <v>978</v>
      </c>
      <c r="P49" s="104" t="s">
        <v>978</v>
      </c>
      <c r="Q49" s="104" t="s">
        <v>1012</v>
      </c>
      <c r="R49" s="104" t="s">
        <v>978</v>
      </c>
      <c r="S49" s="104" t="s">
        <v>978</v>
      </c>
      <c r="T49" s="104" t="s">
        <v>978</v>
      </c>
      <c r="U49" s="104" t="s">
        <v>978</v>
      </c>
      <c r="V49" s="104" t="s">
        <v>978</v>
      </c>
      <c r="W49" s="104" t="s">
        <v>978</v>
      </c>
      <c r="X49" s="104" t="s">
        <v>978</v>
      </c>
      <c r="Y49" s="104" t="s">
        <v>978</v>
      </c>
      <c r="Z49" s="104" t="s">
        <v>978</v>
      </c>
      <c r="AA49" s="104" t="s">
        <v>978</v>
      </c>
      <c r="AB49" s="104" t="s">
        <v>978</v>
      </c>
      <c r="AC49" s="104" t="s">
        <v>978</v>
      </c>
      <c r="AD49" s="104" t="s">
        <v>978</v>
      </c>
      <c r="AE49" s="104" t="s">
        <v>978</v>
      </c>
      <c r="AF49" s="104" t="s">
        <v>978</v>
      </c>
      <c r="AG49" s="104" t="s">
        <v>978</v>
      </c>
      <c r="AH49" s="104">
        <v>4099182</v>
      </c>
      <c r="AI49" s="104">
        <f>AH49*(1+5.1%)</f>
        <v>4308240.2819999997</v>
      </c>
      <c r="AJ49" s="104" t="s">
        <v>978</v>
      </c>
      <c r="AK49" s="104" t="s">
        <v>978</v>
      </c>
      <c r="AL49" s="104">
        <f t="shared" si="20"/>
        <v>4308240.2819999997</v>
      </c>
      <c r="AM49" s="120">
        <v>2834364</v>
      </c>
      <c r="AN49" s="141">
        <v>3293290</v>
      </c>
      <c r="AO49" s="119" t="s">
        <v>974</v>
      </c>
      <c r="AP49" s="103" t="s">
        <v>974</v>
      </c>
      <c r="AQ49" s="142">
        <v>1529150</v>
      </c>
      <c r="AR49" s="103" t="s">
        <v>974</v>
      </c>
      <c r="AS49" s="103" t="s">
        <v>974</v>
      </c>
      <c r="AT49" s="103" t="s">
        <v>974</v>
      </c>
      <c r="AU49" s="103">
        <f t="shared" si="12"/>
        <v>1529150</v>
      </c>
      <c r="AV49" s="158"/>
      <c r="AW49" s="156">
        <f>+AU49</f>
        <v>1529150</v>
      </c>
      <c r="AX49" s="121">
        <f t="shared" si="21"/>
        <v>1529150</v>
      </c>
      <c r="AY49" s="163" t="s">
        <v>1082</v>
      </c>
      <c r="AZ49" s="160">
        <v>7</v>
      </c>
      <c r="BA49" s="138">
        <v>5</v>
      </c>
      <c r="BB49" s="138">
        <v>3</v>
      </c>
      <c r="BC49" s="139">
        <f t="shared" si="22"/>
        <v>15</v>
      </c>
      <c r="BD49" s="140">
        <f t="shared" si="3"/>
        <v>22937250</v>
      </c>
    </row>
    <row r="50" spans="1:56" s="125" customFormat="1" ht="22.5" x14ac:dyDescent="0.2">
      <c r="A50" s="149">
        <v>7</v>
      </c>
      <c r="B50" s="148">
        <v>47</v>
      </c>
      <c r="C50" s="105">
        <v>42152407</v>
      </c>
      <c r="D50" s="106" t="s">
        <v>576</v>
      </c>
      <c r="E50" s="105" t="s">
        <v>843</v>
      </c>
      <c r="F50" s="105" t="s">
        <v>575</v>
      </c>
      <c r="G50" s="143" t="s">
        <v>978</v>
      </c>
      <c r="H50" s="143" t="s">
        <v>978</v>
      </c>
      <c r="I50" s="143" t="s">
        <v>978</v>
      </c>
      <c r="J50" s="104" t="s">
        <v>978</v>
      </c>
      <c r="K50" s="104" t="s">
        <v>978</v>
      </c>
      <c r="L50" s="104" t="s">
        <v>978</v>
      </c>
      <c r="M50" s="104" t="s">
        <v>978</v>
      </c>
      <c r="N50" s="104" t="s">
        <v>978</v>
      </c>
      <c r="O50" s="104" t="s">
        <v>978</v>
      </c>
      <c r="P50" s="104" t="s">
        <v>978</v>
      </c>
      <c r="Q50" s="104" t="s">
        <v>1012</v>
      </c>
      <c r="R50" s="104">
        <v>410960</v>
      </c>
      <c r="S50" s="104">
        <f t="shared" si="18"/>
        <v>454378.74592000002</v>
      </c>
      <c r="T50" s="104" t="s">
        <v>978</v>
      </c>
      <c r="U50" s="104" t="s">
        <v>978</v>
      </c>
      <c r="V50" s="104" t="s">
        <v>978</v>
      </c>
      <c r="W50" s="104" t="s">
        <v>978</v>
      </c>
      <c r="X50" s="104" t="s">
        <v>978</v>
      </c>
      <c r="Y50" s="104" t="s">
        <v>978</v>
      </c>
      <c r="Z50" s="104" t="s">
        <v>978</v>
      </c>
      <c r="AA50" s="104" t="s">
        <v>978</v>
      </c>
      <c r="AB50" s="104" t="s">
        <v>978</v>
      </c>
      <c r="AC50" s="104" t="s">
        <v>978</v>
      </c>
      <c r="AD50" s="104" t="s">
        <v>978</v>
      </c>
      <c r="AE50" s="104" t="s">
        <v>978</v>
      </c>
      <c r="AF50" s="104" t="s">
        <v>978</v>
      </c>
      <c r="AG50" s="104" t="s">
        <v>978</v>
      </c>
      <c r="AH50" s="104" t="s">
        <v>978</v>
      </c>
      <c r="AI50" s="104" t="s">
        <v>978</v>
      </c>
      <c r="AJ50" s="104" t="s">
        <v>978</v>
      </c>
      <c r="AK50" s="104" t="s">
        <v>978</v>
      </c>
      <c r="AL50" s="104">
        <f t="shared" si="20"/>
        <v>454378.74592000002</v>
      </c>
      <c r="AM50" s="120" t="s">
        <v>978</v>
      </c>
      <c r="AN50" s="141">
        <v>752180</v>
      </c>
      <c r="AO50" s="119" t="s">
        <v>974</v>
      </c>
      <c r="AP50" s="103" t="s">
        <v>974</v>
      </c>
      <c r="AQ50" s="142">
        <v>823000</v>
      </c>
      <c r="AR50" s="103" t="s">
        <v>974</v>
      </c>
      <c r="AS50" s="103" t="s">
        <v>974</v>
      </c>
      <c r="AT50" s="103" t="s">
        <v>974</v>
      </c>
      <c r="AU50" s="103">
        <f t="shared" si="12"/>
        <v>752180</v>
      </c>
      <c r="AV50" s="158"/>
      <c r="AW50" s="156">
        <f>+AVERAGE(AL50,AU50)</f>
        <v>603279.37296000007</v>
      </c>
      <c r="AX50" s="121">
        <f t="shared" si="21"/>
        <v>603279</v>
      </c>
      <c r="AY50" s="163" t="s">
        <v>1073</v>
      </c>
      <c r="AZ50" s="160">
        <v>1</v>
      </c>
      <c r="BA50" s="138">
        <v>1</v>
      </c>
      <c r="BB50" s="138">
        <v>1</v>
      </c>
      <c r="BC50" s="139">
        <f t="shared" si="22"/>
        <v>3</v>
      </c>
      <c r="BD50" s="140">
        <f t="shared" si="3"/>
        <v>1809837</v>
      </c>
    </row>
    <row r="51" spans="1:56" s="125" customFormat="1" ht="56.25" x14ac:dyDescent="0.2">
      <c r="A51" s="149">
        <v>7</v>
      </c>
      <c r="B51" s="148">
        <v>48</v>
      </c>
      <c r="C51" s="105">
        <v>42152407</v>
      </c>
      <c r="D51" s="106" t="s">
        <v>578</v>
      </c>
      <c r="E51" s="105" t="s">
        <v>803</v>
      </c>
      <c r="F51" s="105" t="s">
        <v>577</v>
      </c>
      <c r="G51" s="143" t="s">
        <v>978</v>
      </c>
      <c r="H51" s="143" t="s">
        <v>978</v>
      </c>
      <c r="I51" s="143" t="s">
        <v>978</v>
      </c>
      <c r="J51" s="104" t="s">
        <v>978</v>
      </c>
      <c r="K51" s="104" t="s">
        <v>978</v>
      </c>
      <c r="L51" s="104" t="s">
        <v>978</v>
      </c>
      <c r="M51" s="104" t="s">
        <v>978</v>
      </c>
      <c r="N51" s="104" t="s">
        <v>978</v>
      </c>
      <c r="O51" s="104" t="s">
        <v>978</v>
      </c>
      <c r="P51" s="104" t="s">
        <v>978</v>
      </c>
      <c r="Q51" s="104" t="s">
        <v>1012</v>
      </c>
      <c r="R51" s="104">
        <v>142020</v>
      </c>
      <c r="S51" s="104">
        <f t="shared" si="18"/>
        <v>157024.69704</v>
      </c>
      <c r="T51" s="104" t="s">
        <v>978</v>
      </c>
      <c r="U51" s="104" t="s">
        <v>978</v>
      </c>
      <c r="V51" s="104" t="s">
        <v>978</v>
      </c>
      <c r="W51" s="104" t="s">
        <v>978</v>
      </c>
      <c r="X51" s="104" t="s">
        <v>978</v>
      </c>
      <c r="Y51" s="104" t="s">
        <v>978</v>
      </c>
      <c r="Z51" s="104" t="s">
        <v>978</v>
      </c>
      <c r="AA51" s="104" t="s">
        <v>978</v>
      </c>
      <c r="AB51" s="104" t="s">
        <v>978</v>
      </c>
      <c r="AC51" s="104" t="s">
        <v>978</v>
      </c>
      <c r="AD51" s="104" t="s">
        <v>978</v>
      </c>
      <c r="AE51" s="104" t="s">
        <v>978</v>
      </c>
      <c r="AF51" s="104" t="s">
        <v>978</v>
      </c>
      <c r="AG51" s="104" t="s">
        <v>978</v>
      </c>
      <c r="AH51" s="104" t="s">
        <v>978</v>
      </c>
      <c r="AI51" s="104" t="s">
        <v>978</v>
      </c>
      <c r="AJ51" s="104" t="s">
        <v>978</v>
      </c>
      <c r="AK51" s="104" t="s">
        <v>978</v>
      </c>
      <c r="AL51" s="104">
        <f t="shared" si="20"/>
        <v>157024.69704</v>
      </c>
      <c r="AM51" s="120" t="s">
        <v>978</v>
      </c>
      <c r="AN51" s="141">
        <v>633490</v>
      </c>
      <c r="AO51" s="119" t="s">
        <v>974</v>
      </c>
      <c r="AP51" s="103" t="s">
        <v>974</v>
      </c>
      <c r="AQ51" s="142">
        <v>745000</v>
      </c>
      <c r="AR51" s="103" t="s">
        <v>974</v>
      </c>
      <c r="AS51" s="103" t="s">
        <v>974</v>
      </c>
      <c r="AT51" s="103" t="s">
        <v>974</v>
      </c>
      <c r="AU51" s="103">
        <f t="shared" si="12"/>
        <v>633490</v>
      </c>
      <c r="AV51" s="158"/>
      <c r="AW51" s="156">
        <f>+AVERAGE(AL51,AU51)</f>
        <v>395257.34852</v>
      </c>
      <c r="AX51" s="121">
        <f t="shared" si="21"/>
        <v>395257</v>
      </c>
      <c r="AY51" s="163" t="s">
        <v>1073</v>
      </c>
      <c r="AZ51" s="160">
        <v>1</v>
      </c>
      <c r="BA51" s="138">
        <v>0</v>
      </c>
      <c r="BB51" s="138">
        <v>1</v>
      </c>
      <c r="BC51" s="139">
        <f t="shared" si="22"/>
        <v>2</v>
      </c>
      <c r="BD51" s="140">
        <f t="shared" si="3"/>
        <v>790514</v>
      </c>
    </row>
    <row r="52" spans="1:56" s="125" customFormat="1" ht="33.75" x14ac:dyDescent="0.2">
      <c r="A52" s="149">
        <v>7</v>
      </c>
      <c r="B52" s="148">
        <v>49</v>
      </c>
      <c r="C52" s="105">
        <v>42151675</v>
      </c>
      <c r="D52" s="106" t="s">
        <v>509</v>
      </c>
      <c r="E52" s="105" t="s">
        <v>724</v>
      </c>
      <c r="F52" s="105" t="s">
        <v>452</v>
      </c>
      <c r="G52" s="143" t="s">
        <v>978</v>
      </c>
      <c r="H52" s="143" t="s">
        <v>978</v>
      </c>
      <c r="I52" s="143" t="s">
        <v>978</v>
      </c>
      <c r="J52" s="104" t="s">
        <v>978</v>
      </c>
      <c r="K52" s="104" t="s">
        <v>978</v>
      </c>
      <c r="L52" s="104" t="s">
        <v>978</v>
      </c>
      <c r="M52" s="104" t="s">
        <v>978</v>
      </c>
      <c r="N52" s="104" t="s">
        <v>978</v>
      </c>
      <c r="O52" s="104" t="s">
        <v>978</v>
      </c>
      <c r="P52" s="104" t="s">
        <v>978</v>
      </c>
      <c r="Q52" s="104" t="s">
        <v>1012</v>
      </c>
      <c r="R52" s="104">
        <v>84039</v>
      </c>
      <c r="S52" s="104">
        <f t="shared" si="18"/>
        <v>92917.888428000006</v>
      </c>
      <c r="T52" s="104" t="s">
        <v>978</v>
      </c>
      <c r="U52" s="104" t="s">
        <v>978</v>
      </c>
      <c r="V52" s="104" t="s">
        <v>978</v>
      </c>
      <c r="W52" s="104" t="s">
        <v>978</v>
      </c>
      <c r="X52" s="104" t="s">
        <v>978</v>
      </c>
      <c r="Y52" s="104" t="s">
        <v>978</v>
      </c>
      <c r="Z52" s="104" t="s">
        <v>978</v>
      </c>
      <c r="AA52" s="104" t="s">
        <v>978</v>
      </c>
      <c r="AB52" s="104" t="s">
        <v>978</v>
      </c>
      <c r="AC52" s="104" t="s">
        <v>978</v>
      </c>
      <c r="AD52" s="104" t="s">
        <v>978</v>
      </c>
      <c r="AE52" s="104" t="s">
        <v>978</v>
      </c>
      <c r="AF52" s="104" t="s">
        <v>978</v>
      </c>
      <c r="AG52" s="104" t="s">
        <v>978</v>
      </c>
      <c r="AH52" s="104" t="s">
        <v>978</v>
      </c>
      <c r="AI52" s="104" t="s">
        <v>978</v>
      </c>
      <c r="AJ52" s="104">
        <v>84873</v>
      </c>
      <c r="AK52" s="104">
        <f t="shared" si="19"/>
        <v>89201.523000000001</v>
      </c>
      <c r="AL52" s="104">
        <f t="shared" si="20"/>
        <v>91059.705714000011</v>
      </c>
      <c r="AM52" s="120" t="s">
        <v>978</v>
      </c>
      <c r="AN52" s="141">
        <v>171600</v>
      </c>
      <c r="AO52" s="119" t="s">
        <v>974</v>
      </c>
      <c r="AP52" s="103" t="s">
        <v>974</v>
      </c>
      <c r="AQ52" s="142">
        <v>820000</v>
      </c>
      <c r="AR52" s="103" t="s">
        <v>974</v>
      </c>
      <c r="AS52" s="103" t="s">
        <v>974</v>
      </c>
      <c r="AT52" s="103" t="s">
        <v>974</v>
      </c>
      <c r="AU52" s="103">
        <f t="shared" si="12"/>
        <v>171600</v>
      </c>
      <c r="AV52" s="158"/>
      <c r="AW52" s="156">
        <f>+AVERAGE(AL52,AU52)</f>
        <v>131329.85285700002</v>
      </c>
      <c r="AX52" s="121">
        <f t="shared" si="21"/>
        <v>131330</v>
      </c>
      <c r="AY52" s="163" t="s">
        <v>1073</v>
      </c>
      <c r="AZ52" s="160">
        <v>1</v>
      </c>
      <c r="BA52" s="138">
        <v>3</v>
      </c>
      <c r="BB52" s="138">
        <v>0</v>
      </c>
      <c r="BC52" s="139">
        <f t="shared" si="22"/>
        <v>4</v>
      </c>
      <c r="BD52" s="140">
        <f t="shared" si="3"/>
        <v>525320</v>
      </c>
    </row>
    <row r="53" spans="1:56" s="125" customFormat="1" ht="22.5" x14ac:dyDescent="0.2">
      <c r="A53" s="149">
        <v>7</v>
      </c>
      <c r="B53" s="148">
        <v>50</v>
      </c>
      <c r="C53" s="105">
        <v>42281600</v>
      </c>
      <c r="D53" s="106" t="s">
        <v>514</v>
      </c>
      <c r="E53" s="105" t="s">
        <v>725</v>
      </c>
      <c r="F53" s="105" t="s">
        <v>552</v>
      </c>
      <c r="G53" s="143" t="s">
        <v>978</v>
      </c>
      <c r="H53" s="143" t="s">
        <v>978</v>
      </c>
      <c r="I53" s="143" t="s">
        <v>978</v>
      </c>
      <c r="J53" s="104" t="s">
        <v>978</v>
      </c>
      <c r="K53" s="104" t="s">
        <v>978</v>
      </c>
      <c r="L53" s="104" t="s">
        <v>978</v>
      </c>
      <c r="M53" s="104" t="s">
        <v>978</v>
      </c>
      <c r="N53" s="104" t="s">
        <v>978</v>
      </c>
      <c r="O53" s="104" t="s">
        <v>978</v>
      </c>
      <c r="P53" s="104" t="s">
        <v>978</v>
      </c>
      <c r="Q53" s="104" t="s">
        <v>1012</v>
      </c>
      <c r="R53" s="104" t="s">
        <v>978</v>
      </c>
      <c r="S53" s="104" t="s">
        <v>978</v>
      </c>
      <c r="T53" s="104" t="s">
        <v>978</v>
      </c>
      <c r="U53" s="104" t="s">
        <v>978</v>
      </c>
      <c r="V53" s="104" t="s">
        <v>978</v>
      </c>
      <c r="W53" s="104" t="s">
        <v>978</v>
      </c>
      <c r="X53" s="104" t="s">
        <v>978</v>
      </c>
      <c r="Y53" s="104" t="s">
        <v>978</v>
      </c>
      <c r="Z53" s="104" t="s">
        <v>978</v>
      </c>
      <c r="AA53" s="104" t="s">
        <v>978</v>
      </c>
      <c r="AB53" s="104" t="s">
        <v>978</v>
      </c>
      <c r="AC53" s="104" t="s">
        <v>978</v>
      </c>
      <c r="AD53" s="104" t="s">
        <v>978</v>
      </c>
      <c r="AE53" s="104" t="s">
        <v>978</v>
      </c>
      <c r="AF53" s="104" t="s">
        <v>978</v>
      </c>
      <c r="AG53" s="104" t="s">
        <v>978</v>
      </c>
      <c r="AH53" s="104" t="s">
        <v>978</v>
      </c>
      <c r="AI53" s="104" t="s">
        <v>978</v>
      </c>
      <c r="AJ53" s="104">
        <v>19248</v>
      </c>
      <c r="AK53" s="104">
        <f t="shared" si="19"/>
        <v>20229.647999999997</v>
      </c>
      <c r="AL53" s="104">
        <f t="shared" si="20"/>
        <v>20229.647999999997</v>
      </c>
      <c r="AM53" s="120" t="s">
        <v>978</v>
      </c>
      <c r="AN53" s="141">
        <v>43758</v>
      </c>
      <c r="AO53" s="119" t="s">
        <v>974</v>
      </c>
      <c r="AP53" s="103" t="s">
        <v>974</v>
      </c>
      <c r="AQ53" s="142">
        <v>38000</v>
      </c>
      <c r="AR53" s="103" t="s">
        <v>974</v>
      </c>
      <c r="AS53" s="103" t="s">
        <v>974</v>
      </c>
      <c r="AT53" s="103" t="s">
        <v>974</v>
      </c>
      <c r="AU53" s="103">
        <f t="shared" si="12"/>
        <v>38000</v>
      </c>
      <c r="AV53" s="158"/>
      <c r="AW53" s="156">
        <f>+AVERAGE(AL53,AU53)</f>
        <v>29114.824000000001</v>
      </c>
      <c r="AX53" s="121">
        <f t="shared" si="21"/>
        <v>29115</v>
      </c>
      <c r="AY53" s="163" t="s">
        <v>1073</v>
      </c>
      <c r="AZ53" s="160">
        <v>5</v>
      </c>
      <c r="BA53" s="138">
        <v>0</v>
      </c>
      <c r="BB53" s="138">
        <v>5</v>
      </c>
      <c r="BC53" s="139">
        <f t="shared" si="22"/>
        <v>10</v>
      </c>
      <c r="BD53" s="140">
        <f t="shared" si="3"/>
        <v>291150</v>
      </c>
    </row>
    <row r="54" spans="1:56" s="125" customFormat="1" ht="22.5" x14ac:dyDescent="0.2">
      <c r="A54" s="149">
        <v>8</v>
      </c>
      <c r="B54" s="148">
        <v>51</v>
      </c>
      <c r="C54" s="105">
        <v>42281603</v>
      </c>
      <c r="D54" s="106" t="s">
        <v>521</v>
      </c>
      <c r="E54" s="105" t="s">
        <v>726</v>
      </c>
      <c r="F54" s="105" t="s">
        <v>553</v>
      </c>
      <c r="G54" s="143" t="s">
        <v>978</v>
      </c>
      <c r="H54" s="143" t="s">
        <v>978</v>
      </c>
      <c r="I54" s="143" t="s">
        <v>978</v>
      </c>
      <c r="J54" s="104" t="s">
        <v>978</v>
      </c>
      <c r="K54" s="104" t="s">
        <v>978</v>
      </c>
      <c r="L54" s="104" t="s">
        <v>978</v>
      </c>
      <c r="M54" s="104" t="s">
        <v>978</v>
      </c>
      <c r="N54" s="104" t="s">
        <v>978</v>
      </c>
      <c r="O54" s="104" t="s">
        <v>978</v>
      </c>
      <c r="P54" s="104" t="s">
        <v>978</v>
      </c>
      <c r="Q54" s="104" t="s">
        <v>1012</v>
      </c>
      <c r="R54" s="104" t="s">
        <v>978</v>
      </c>
      <c r="S54" s="104" t="s">
        <v>978</v>
      </c>
      <c r="T54" s="104" t="s">
        <v>978</v>
      </c>
      <c r="U54" s="104" t="s">
        <v>978</v>
      </c>
      <c r="V54" s="104" t="s">
        <v>978</v>
      </c>
      <c r="W54" s="104" t="s">
        <v>978</v>
      </c>
      <c r="X54" s="104">
        <v>132952</v>
      </c>
      <c r="Y54" s="104">
        <f>X54*(1+5.1%)</f>
        <v>139732.552</v>
      </c>
      <c r="Z54" s="104" t="s">
        <v>978</v>
      </c>
      <c r="AA54" s="104" t="s">
        <v>978</v>
      </c>
      <c r="AB54" s="104" t="s">
        <v>978</v>
      </c>
      <c r="AC54" s="104" t="s">
        <v>978</v>
      </c>
      <c r="AD54" s="104" t="s">
        <v>978</v>
      </c>
      <c r="AE54" s="104" t="s">
        <v>978</v>
      </c>
      <c r="AF54" s="104" t="s">
        <v>978</v>
      </c>
      <c r="AG54" s="104" t="s">
        <v>978</v>
      </c>
      <c r="AH54" s="104" t="s">
        <v>978</v>
      </c>
      <c r="AI54" s="104" t="s">
        <v>978</v>
      </c>
      <c r="AJ54" s="104" t="s">
        <v>978</v>
      </c>
      <c r="AK54" s="104" t="s">
        <v>978</v>
      </c>
      <c r="AL54" s="104">
        <f t="shared" ref="AL54:AL59" si="23">+AVERAGE(K54,M54,O54,Q54,S54,U54,W54,Y54,AA54,AC54,AE54,AG54,AI54,AK54)</f>
        <v>139732.552</v>
      </c>
      <c r="AM54" s="120" t="s">
        <v>978</v>
      </c>
      <c r="AN54" s="141">
        <v>311740</v>
      </c>
      <c r="AO54" s="119" t="s">
        <v>974</v>
      </c>
      <c r="AP54" s="103" t="s">
        <v>974</v>
      </c>
      <c r="AQ54" s="142">
        <v>385000</v>
      </c>
      <c r="AR54" s="103" t="s">
        <v>974</v>
      </c>
      <c r="AS54" s="103" t="s">
        <v>974</v>
      </c>
      <c r="AT54" s="103" t="s">
        <v>974</v>
      </c>
      <c r="AU54" s="103">
        <f t="shared" si="12"/>
        <v>311740</v>
      </c>
      <c r="AV54" s="158"/>
      <c r="AW54" s="156">
        <f>+AVERAGE(AL54,AU54)</f>
        <v>225736.27600000001</v>
      </c>
      <c r="AX54" s="121">
        <f t="shared" ref="AX54:AX59" si="24">+ROUND(AW54,0)</f>
        <v>225736</v>
      </c>
      <c r="AY54" s="163" t="s">
        <v>1073</v>
      </c>
      <c r="AZ54" s="160">
        <v>12</v>
      </c>
      <c r="BA54" s="138">
        <v>0</v>
      </c>
      <c r="BB54" s="138">
        <v>11</v>
      </c>
      <c r="BC54" s="139">
        <f t="shared" si="22"/>
        <v>23</v>
      </c>
      <c r="BD54" s="140">
        <f t="shared" si="3"/>
        <v>5191928</v>
      </c>
    </row>
    <row r="55" spans="1:56" s="125" customFormat="1" ht="45" x14ac:dyDescent="0.2">
      <c r="A55" s="149">
        <v>8</v>
      </c>
      <c r="B55" s="148">
        <v>52</v>
      </c>
      <c r="C55" s="105">
        <v>42281603</v>
      </c>
      <c r="D55" s="106" t="s">
        <v>1027</v>
      </c>
      <c r="E55" s="105" t="s">
        <v>727</v>
      </c>
      <c r="F55" s="105" t="s">
        <v>545</v>
      </c>
      <c r="G55" s="143" t="s">
        <v>978</v>
      </c>
      <c r="H55" s="143" t="s">
        <v>978</v>
      </c>
      <c r="I55" s="143" t="s">
        <v>978</v>
      </c>
      <c r="J55" s="104" t="s">
        <v>978</v>
      </c>
      <c r="K55" s="104" t="s">
        <v>978</v>
      </c>
      <c r="L55" s="104" t="s">
        <v>978</v>
      </c>
      <c r="M55" s="104" t="s">
        <v>978</v>
      </c>
      <c r="N55" s="104" t="s">
        <v>978</v>
      </c>
      <c r="O55" s="104" t="s">
        <v>978</v>
      </c>
      <c r="P55" s="104" t="s">
        <v>978</v>
      </c>
      <c r="Q55" s="104" t="s">
        <v>1012</v>
      </c>
      <c r="R55" s="104" t="s">
        <v>978</v>
      </c>
      <c r="S55" s="104" t="s">
        <v>978</v>
      </c>
      <c r="T55" s="104" t="s">
        <v>978</v>
      </c>
      <c r="U55" s="104" t="s">
        <v>978</v>
      </c>
      <c r="V55" s="104" t="s">
        <v>978</v>
      </c>
      <c r="W55" s="104" t="s">
        <v>978</v>
      </c>
      <c r="X55" s="104">
        <v>152922</v>
      </c>
      <c r="Y55" s="104">
        <f>X55*(1+5.1%)</f>
        <v>160721.022</v>
      </c>
      <c r="Z55" s="104" t="s">
        <v>978</v>
      </c>
      <c r="AA55" s="104" t="s">
        <v>978</v>
      </c>
      <c r="AB55" s="104" t="s">
        <v>978</v>
      </c>
      <c r="AC55" s="104" t="s">
        <v>978</v>
      </c>
      <c r="AD55" s="104" t="s">
        <v>978</v>
      </c>
      <c r="AE55" s="104" t="s">
        <v>978</v>
      </c>
      <c r="AF55" s="104" t="s">
        <v>978</v>
      </c>
      <c r="AG55" s="104" t="s">
        <v>978</v>
      </c>
      <c r="AH55" s="104" t="s">
        <v>978</v>
      </c>
      <c r="AI55" s="104" t="s">
        <v>978</v>
      </c>
      <c r="AJ55" s="104" t="s">
        <v>978</v>
      </c>
      <c r="AK55" s="104" t="s">
        <v>978</v>
      </c>
      <c r="AL55" s="104">
        <f t="shared" si="23"/>
        <v>160721.022</v>
      </c>
      <c r="AM55" s="120" t="s">
        <v>978</v>
      </c>
      <c r="AN55" s="141">
        <v>54340</v>
      </c>
      <c r="AO55" s="119" t="s">
        <v>974</v>
      </c>
      <c r="AP55" s="103" t="s">
        <v>974</v>
      </c>
      <c r="AQ55" s="142">
        <v>36000</v>
      </c>
      <c r="AR55" s="103" t="s">
        <v>974</v>
      </c>
      <c r="AS55" s="103" t="s">
        <v>974</v>
      </c>
      <c r="AT55" s="103" t="s">
        <v>974</v>
      </c>
      <c r="AU55" s="103">
        <f t="shared" si="12"/>
        <v>36000</v>
      </c>
      <c r="AV55" s="158"/>
      <c r="AW55" s="156">
        <f>+AU55</f>
        <v>36000</v>
      </c>
      <c r="AX55" s="121">
        <f t="shared" si="24"/>
        <v>36000</v>
      </c>
      <c r="AY55" s="163" t="s">
        <v>1080</v>
      </c>
      <c r="AZ55" s="160">
        <v>24</v>
      </c>
      <c r="BA55" s="138">
        <v>1</v>
      </c>
      <c r="BB55" s="138">
        <v>12</v>
      </c>
      <c r="BC55" s="139">
        <f t="shared" si="22"/>
        <v>37</v>
      </c>
      <c r="BD55" s="140">
        <f t="shared" si="3"/>
        <v>1332000</v>
      </c>
    </row>
    <row r="56" spans="1:56" s="125" customFormat="1" ht="56.25" x14ac:dyDescent="0.2">
      <c r="A56" s="149">
        <v>8</v>
      </c>
      <c r="B56" s="148">
        <v>53</v>
      </c>
      <c r="C56" s="105">
        <v>42281604</v>
      </c>
      <c r="D56" s="106" t="s">
        <v>522</v>
      </c>
      <c r="E56" s="105" t="s">
        <v>728</v>
      </c>
      <c r="F56" s="105" t="s">
        <v>554</v>
      </c>
      <c r="G56" s="143" t="s">
        <v>978</v>
      </c>
      <c r="H56" s="143" t="s">
        <v>978</v>
      </c>
      <c r="I56" s="143" t="s">
        <v>978</v>
      </c>
      <c r="J56" s="104" t="s">
        <v>978</v>
      </c>
      <c r="K56" s="104" t="s">
        <v>978</v>
      </c>
      <c r="L56" s="104" t="s">
        <v>978</v>
      </c>
      <c r="M56" s="104" t="s">
        <v>978</v>
      </c>
      <c r="N56" s="104" t="s">
        <v>978</v>
      </c>
      <c r="O56" s="104" t="s">
        <v>978</v>
      </c>
      <c r="P56" s="104" t="s">
        <v>978</v>
      </c>
      <c r="Q56" s="104" t="s">
        <v>1012</v>
      </c>
      <c r="R56" s="104" t="s">
        <v>978</v>
      </c>
      <c r="S56" s="104" t="s">
        <v>978</v>
      </c>
      <c r="T56" s="104" t="s">
        <v>978</v>
      </c>
      <c r="U56" s="104" t="s">
        <v>978</v>
      </c>
      <c r="V56" s="104" t="s">
        <v>978</v>
      </c>
      <c r="W56" s="104" t="s">
        <v>978</v>
      </c>
      <c r="X56" s="104">
        <v>34639</v>
      </c>
      <c r="Y56" s="104">
        <f>X56*(1+5.1%)</f>
        <v>36405.589</v>
      </c>
      <c r="Z56" s="104" t="s">
        <v>978</v>
      </c>
      <c r="AA56" s="104" t="s">
        <v>978</v>
      </c>
      <c r="AB56" s="104" t="s">
        <v>978</v>
      </c>
      <c r="AC56" s="104" t="s">
        <v>978</v>
      </c>
      <c r="AD56" s="104" t="s">
        <v>978</v>
      </c>
      <c r="AE56" s="104" t="s">
        <v>978</v>
      </c>
      <c r="AF56" s="104" t="s">
        <v>978</v>
      </c>
      <c r="AG56" s="104" t="s">
        <v>978</v>
      </c>
      <c r="AH56" s="104" t="s">
        <v>978</v>
      </c>
      <c r="AI56" s="104" t="s">
        <v>978</v>
      </c>
      <c r="AJ56" s="104" t="s">
        <v>978</v>
      </c>
      <c r="AK56" s="104" t="s">
        <v>978</v>
      </c>
      <c r="AL56" s="104">
        <f t="shared" si="23"/>
        <v>36405.589</v>
      </c>
      <c r="AM56" s="120">
        <v>31600</v>
      </c>
      <c r="AN56" s="141">
        <v>54340</v>
      </c>
      <c r="AO56" s="119" t="s">
        <v>974</v>
      </c>
      <c r="AP56" s="103" t="s">
        <v>974</v>
      </c>
      <c r="AQ56" s="142">
        <v>55000</v>
      </c>
      <c r="AR56" s="103" t="s">
        <v>974</v>
      </c>
      <c r="AS56" s="103" t="s">
        <v>974</v>
      </c>
      <c r="AT56" s="103" t="s">
        <v>974</v>
      </c>
      <c r="AU56" s="103">
        <f t="shared" si="12"/>
        <v>54340</v>
      </c>
      <c r="AV56" s="158"/>
      <c r="AW56" s="156">
        <f>+AVERAGE(AL56,AU56,AM56)</f>
        <v>40781.863000000005</v>
      </c>
      <c r="AX56" s="121">
        <f>+ROUND(AW56,0)</f>
        <v>40782</v>
      </c>
      <c r="AY56" s="163" t="s">
        <v>1075</v>
      </c>
      <c r="AZ56" s="160">
        <v>227</v>
      </c>
      <c r="BA56" s="138">
        <v>0</v>
      </c>
      <c r="BB56" s="138">
        <v>0</v>
      </c>
      <c r="BC56" s="139">
        <f t="shared" si="22"/>
        <v>227</v>
      </c>
      <c r="BD56" s="140">
        <f t="shared" si="3"/>
        <v>9257514</v>
      </c>
    </row>
    <row r="57" spans="1:56" s="125" customFormat="1" ht="67.5" x14ac:dyDescent="0.2">
      <c r="A57" s="149">
        <v>8</v>
      </c>
      <c r="B57" s="148">
        <v>54</v>
      </c>
      <c r="C57" s="105">
        <v>42281706</v>
      </c>
      <c r="D57" s="106" t="s">
        <v>607</v>
      </c>
      <c r="E57" s="105" t="s">
        <v>804</v>
      </c>
      <c r="F57" s="105" t="s">
        <v>550</v>
      </c>
      <c r="G57" s="143" t="s">
        <v>978</v>
      </c>
      <c r="H57" s="143" t="s">
        <v>978</v>
      </c>
      <c r="I57" s="143" t="s">
        <v>978</v>
      </c>
      <c r="J57" s="104" t="s">
        <v>978</v>
      </c>
      <c r="K57" s="104" t="s">
        <v>978</v>
      </c>
      <c r="L57" s="104" t="s">
        <v>978</v>
      </c>
      <c r="M57" s="104" t="s">
        <v>978</v>
      </c>
      <c r="N57" s="104" t="s">
        <v>978</v>
      </c>
      <c r="O57" s="104" t="s">
        <v>978</v>
      </c>
      <c r="P57" s="104" t="s">
        <v>978</v>
      </c>
      <c r="Q57" s="104" t="s">
        <v>1012</v>
      </c>
      <c r="R57" s="104" t="s">
        <v>978</v>
      </c>
      <c r="S57" s="104" t="s">
        <v>978</v>
      </c>
      <c r="T57" s="104" t="s">
        <v>978</v>
      </c>
      <c r="U57" s="104" t="s">
        <v>978</v>
      </c>
      <c r="V57" s="104" t="s">
        <v>978</v>
      </c>
      <c r="W57" s="104" t="s">
        <v>978</v>
      </c>
      <c r="X57" s="104">
        <v>216059</v>
      </c>
      <c r="Y57" s="104">
        <f>X57*(1+5.1%)</f>
        <v>227078.00899999999</v>
      </c>
      <c r="Z57" s="104" t="s">
        <v>978</v>
      </c>
      <c r="AA57" s="104" t="s">
        <v>978</v>
      </c>
      <c r="AB57" s="104" t="s">
        <v>978</v>
      </c>
      <c r="AC57" s="104" t="s">
        <v>978</v>
      </c>
      <c r="AD57" s="104" t="s">
        <v>978</v>
      </c>
      <c r="AE57" s="104" t="s">
        <v>978</v>
      </c>
      <c r="AF57" s="104" t="s">
        <v>978</v>
      </c>
      <c r="AG57" s="104" t="s">
        <v>978</v>
      </c>
      <c r="AH57" s="104" t="s">
        <v>978</v>
      </c>
      <c r="AI57" s="104" t="s">
        <v>978</v>
      </c>
      <c r="AJ57" s="104" t="s">
        <v>978</v>
      </c>
      <c r="AK57" s="104" t="s">
        <v>978</v>
      </c>
      <c r="AL57" s="104">
        <f t="shared" si="23"/>
        <v>227078.00899999999</v>
      </c>
      <c r="AM57" s="120" t="s">
        <v>978</v>
      </c>
      <c r="AN57" s="141">
        <v>500500</v>
      </c>
      <c r="AO57" s="119" t="s">
        <v>974</v>
      </c>
      <c r="AP57" s="103" t="s">
        <v>974</v>
      </c>
      <c r="AQ57" s="142">
        <v>249900</v>
      </c>
      <c r="AR57" s="103" t="s">
        <v>974</v>
      </c>
      <c r="AS57" s="103" t="s">
        <v>974</v>
      </c>
      <c r="AT57" s="103" t="s">
        <v>974</v>
      </c>
      <c r="AU57" s="103">
        <f t="shared" si="12"/>
        <v>249900</v>
      </c>
      <c r="AV57" s="158"/>
      <c r="AW57" s="156">
        <f>+AVERAGE(AL57,AU57)</f>
        <v>238489.00449999998</v>
      </c>
      <c r="AX57" s="121">
        <f t="shared" si="24"/>
        <v>238489</v>
      </c>
      <c r="AY57" s="163" t="s">
        <v>1073</v>
      </c>
      <c r="AZ57" s="160">
        <v>2</v>
      </c>
      <c r="BA57" s="138">
        <v>0</v>
      </c>
      <c r="BB57" s="138">
        <v>0</v>
      </c>
      <c r="BC57" s="139">
        <f t="shared" si="22"/>
        <v>2</v>
      </c>
      <c r="BD57" s="140">
        <f t="shared" si="3"/>
        <v>476978</v>
      </c>
    </row>
    <row r="58" spans="1:56" s="125" customFormat="1" ht="45" x14ac:dyDescent="0.2">
      <c r="A58" s="149">
        <v>8</v>
      </c>
      <c r="B58" s="148">
        <v>55</v>
      </c>
      <c r="C58" s="105">
        <v>42281501</v>
      </c>
      <c r="D58" s="106" t="s">
        <v>520</v>
      </c>
      <c r="E58" s="105" t="s">
        <v>520</v>
      </c>
      <c r="F58" s="105" t="s">
        <v>555</v>
      </c>
      <c r="G58" s="143" t="s">
        <v>978</v>
      </c>
      <c r="H58" s="143" t="s">
        <v>978</v>
      </c>
      <c r="I58" s="143" t="s">
        <v>978</v>
      </c>
      <c r="J58" s="104" t="s">
        <v>978</v>
      </c>
      <c r="K58" s="104" t="s">
        <v>978</v>
      </c>
      <c r="L58" s="104" t="s">
        <v>978</v>
      </c>
      <c r="M58" s="104" t="s">
        <v>978</v>
      </c>
      <c r="N58" s="104">
        <v>673156</v>
      </c>
      <c r="O58" s="104">
        <f>N58*(1+5.2%)*(1+5.1%)</f>
        <v>744276.27771200007</v>
      </c>
      <c r="P58" s="104" t="s">
        <v>978</v>
      </c>
      <c r="Q58" s="104" t="s">
        <v>1012</v>
      </c>
      <c r="R58" s="104" t="s">
        <v>978</v>
      </c>
      <c r="S58" s="104" t="s">
        <v>978</v>
      </c>
      <c r="T58" s="104" t="s">
        <v>978</v>
      </c>
      <c r="U58" s="104" t="s">
        <v>978</v>
      </c>
      <c r="V58" s="104" t="s">
        <v>978</v>
      </c>
      <c r="W58" s="104" t="s">
        <v>978</v>
      </c>
      <c r="X58" s="104">
        <v>780938</v>
      </c>
      <c r="Y58" s="104">
        <f>X58*(1+5.1%)</f>
        <v>820765.83799999999</v>
      </c>
      <c r="Z58" s="104" t="s">
        <v>978</v>
      </c>
      <c r="AA58" s="104" t="s">
        <v>978</v>
      </c>
      <c r="AB58" s="104" t="s">
        <v>978</v>
      </c>
      <c r="AC58" s="104" t="s">
        <v>978</v>
      </c>
      <c r="AD58" s="104" t="s">
        <v>978</v>
      </c>
      <c r="AE58" s="104" t="s">
        <v>978</v>
      </c>
      <c r="AF58" s="104" t="s">
        <v>978</v>
      </c>
      <c r="AG58" s="104" t="s">
        <v>978</v>
      </c>
      <c r="AH58" s="104" t="s">
        <v>978</v>
      </c>
      <c r="AI58" s="104" t="s">
        <v>978</v>
      </c>
      <c r="AJ58" s="104" t="s">
        <v>978</v>
      </c>
      <c r="AK58" s="104" t="s">
        <v>978</v>
      </c>
      <c r="AL58" s="104">
        <f>+AVERAGE(K58,M58,O58,Q58,S58,U58,W58,Y58,AA58,AC58,AE58,AG58,AI58,AK58)</f>
        <v>782521.05785600003</v>
      </c>
      <c r="AM58" s="120" t="s">
        <v>978</v>
      </c>
      <c r="AN58" s="141">
        <v>57200</v>
      </c>
      <c r="AO58" s="119" t="s">
        <v>974</v>
      </c>
      <c r="AP58" s="103" t="s">
        <v>974</v>
      </c>
      <c r="AQ58" s="142">
        <v>1130500</v>
      </c>
      <c r="AR58" s="103" t="s">
        <v>974</v>
      </c>
      <c r="AS58" s="103" t="s">
        <v>974</v>
      </c>
      <c r="AT58" s="103" t="s">
        <v>974</v>
      </c>
      <c r="AU58" s="103">
        <f>+AQ58</f>
        <v>1130500</v>
      </c>
      <c r="AV58" s="158" t="s">
        <v>1083</v>
      </c>
      <c r="AW58" s="156">
        <f>+AVERAGE(AL58,AU58)</f>
        <v>956510.52892800001</v>
      </c>
      <c r="AX58" s="121">
        <f t="shared" si="24"/>
        <v>956511</v>
      </c>
      <c r="AY58" s="163" t="s">
        <v>1073</v>
      </c>
      <c r="AZ58" s="160">
        <v>32</v>
      </c>
      <c r="BA58" s="138">
        <v>0</v>
      </c>
      <c r="BB58" s="138">
        <v>0</v>
      </c>
      <c r="BC58" s="139">
        <f t="shared" si="22"/>
        <v>32</v>
      </c>
      <c r="BD58" s="140">
        <f t="shared" si="3"/>
        <v>30608352</v>
      </c>
    </row>
    <row r="59" spans="1:56" s="125" customFormat="1" ht="22.5" x14ac:dyDescent="0.2">
      <c r="A59" s="149">
        <v>8</v>
      </c>
      <c r="B59" s="148">
        <v>56</v>
      </c>
      <c r="C59" s="105">
        <v>42152443</v>
      </c>
      <c r="D59" s="106" t="s">
        <v>477</v>
      </c>
      <c r="E59" s="105" t="s">
        <v>729</v>
      </c>
      <c r="F59" s="105" t="s">
        <v>443</v>
      </c>
      <c r="G59" s="143" t="s">
        <v>978</v>
      </c>
      <c r="H59" s="143" t="s">
        <v>978</v>
      </c>
      <c r="I59" s="143" t="s">
        <v>978</v>
      </c>
      <c r="J59" s="104" t="s">
        <v>978</v>
      </c>
      <c r="K59" s="104" t="s">
        <v>978</v>
      </c>
      <c r="L59" s="104" t="s">
        <v>978</v>
      </c>
      <c r="M59" s="104" t="s">
        <v>978</v>
      </c>
      <c r="N59" s="104" t="s">
        <v>978</v>
      </c>
      <c r="O59" s="104" t="s">
        <v>978</v>
      </c>
      <c r="P59" s="104" t="s">
        <v>978</v>
      </c>
      <c r="Q59" s="104" t="s">
        <v>1012</v>
      </c>
      <c r="R59" s="104">
        <v>12322</v>
      </c>
      <c r="S59" s="104">
        <f>R59*(1+5.2%)*(1+5.1%)</f>
        <v>13623.843944</v>
      </c>
      <c r="T59" s="104" t="s">
        <v>978</v>
      </c>
      <c r="U59" s="104" t="s">
        <v>978</v>
      </c>
      <c r="V59" s="104" t="s">
        <v>978</v>
      </c>
      <c r="W59" s="104" t="s">
        <v>978</v>
      </c>
      <c r="X59" s="104" t="s">
        <v>978</v>
      </c>
      <c r="Y59" s="104" t="s">
        <v>978</v>
      </c>
      <c r="Z59" s="104" t="s">
        <v>978</v>
      </c>
      <c r="AA59" s="104" t="s">
        <v>978</v>
      </c>
      <c r="AB59" s="104" t="s">
        <v>978</v>
      </c>
      <c r="AC59" s="104" t="s">
        <v>978</v>
      </c>
      <c r="AD59" s="104" t="s">
        <v>978</v>
      </c>
      <c r="AE59" s="104" t="s">
        <v>978</v>
      </c>
      <c r="AF59" s="104" t="s">
        <v>978</v>
      </c>
      <c r="AG59" s="104" t="s">
        <v>978</v>
      </c>
      <c r="AH59" s="104" t="s">
        <v>978</v>
      </c>
      <c r="AI59" s="104" t="s">
        <v>978</v>
      </c>
      <c r="AJ59" s="104">
        <v>11824</v>
      </c>
      <c r="AK59" s="104">
        <f>AJ59*(1+5.1%)</f>
        <v>12427.023999999999</v>
      </c>
      <c r="AL59" s="104">
        <f t="shared" si="23"/>
        <v>13025.433971999999</v>
      </c>
      <c r="AM59" s="120" t="s">
        <v>978</v>
      </c>
      <c r="AN59" s="141">
        <v>24167</v>
      </c>
      <c r="AO59" s="119" t="s">
        <v>974</v>
      </c>
      <c r="AP59" s="103" t="s">
        <v>974</v>
      </c>
      <c r="AQ59" s="142">
        <v>22000</v>
      </c>
      <c r="AR59" s="103" t="s">
        <v>974</v>
      </c>
      <c r="AS59" s="103" t="s">
        <v>974</v>
      </c>
      <c r="AT59" s="103" t="s">
        <v>974</v>
      </c>
      <c r="AU59" s="103">
        <f t="shared" ref="AU59:AU80" si="25">+MIN(AN59:AT59)</f>
        <v>22000</v>
      </c>
      <c r="AV59" s="158"/>
      <c r="AW59" s="156">
        <f>+AVERAGE(AL59,AU59)</f>
        <v>17512.716985999999</v>
      </c>
      <c r="AX59" s="121">
        <f t="shared" si="24"/>
        <v>17513</v>
      </c>
      <c r="AY59" s="163" t="s">
        <v>1073</v>
      </c>
      <c r="AZ59" s="160">
        <v>4</v>
      </c>
      <c r="BA59" s="138">
        <v>16</v>
      </c>
      <c r="BB59" s="138">
        <v>6</v>
      </c>
      <c r="BC59" s="139">
        <f t="shared" si="22"/>
        <v>26</v>
      </c>
      <c r="BD59" s="140">
        <f t="shared" si="3"/>
        <v>455338</v>
      </c>
    </row>
    <row r="60" spans="1:56" s="129" customFormat="1" ht="33.75" x14ac:dyDescent="0.2">
      <c r="A60" s="150">
        <v>10</v>
      </c>
      <c r="B60" s="148">
        <v>57</v>
      </c>
      <c r="C60" s="105">
        <v>42221803</v>
      </c>
      <c r="D60" s="106" t="s">
        <v>845</v>
      </c>
      <c r="E60" s="111" t="s">
        <v>844</v>
      </c>
      <c r="F60" s="111" t="s">
        <v>1053</v>
      </c>
      <c r="G60" s="143">
        <f>4408*12</f>
        <v>52896</v>
      </c>
      <c r="H60" s="143" t="s">
        <v>978</v>
      </c>
      <c r="I60" s="143">
        <f>+AVERAGE(G60:H60)</f>
        <v>52896</v>
      </c>
      <c r="J60" s="104" t="s">
        <v>978</v>
      </c>
      <c r="K60" s="104" t="s">
        <v>978</v>
      </c>
      <c r="L60" s="104" t="s">
        <v>978</v>
      </c>
      <c r="M60" s="104" t="s">
        <v>978</v>
      </c>
      <c r="N60" s="104" t="s">
        <v>978</v>
      </c>
      <c r="O60" s="104" t="s">
        <v>978</v>
      </c>
      <c r="P60" s="104">
        <v>32888</v>
      </c>
      <c r="Q60" s="104">
        <f>P60*(1+5.2%)*(1+5.1%)</f>
        <v>36362.682975999996</v>
      </c>
      <c r="R60" s="104" t="s">
        <v>978</v>
      </c>
      <c r="S60" s="104" t="s">
        <v>978</v>
      </c>
      <c r="T60" s="104" t="s">
        <v>978</v>
      </c>
      <c r="U60" s="104" t="s">
        <v>978</v>
      </c>
      <c r="V60" s="104">
        <v>27094</v>
      </c>
      <c r="W60" s="104">
        <f>V60*(1+5.1%)</f>
        <v>28475.793999999998</v>
      </c>
      <c r="X60" s="104" t="s">
        <v>978</v>
      </c>
      <c r="Y60" s="104" t="s">
        <v>978</v>
      </c>
      <c r="Z60" s="104" t="s">
        <v>978</v>
      </c>
      <c r="AA60" s="104" t="s">
        <v>978</v>
      </c>
      <c r="AB60" s="104" t="s">
        <v>978</v>
      </c>
      <c r="AC60" s="104" t="s">
        <v>978</v>
      </c>
      <c r="AD60" s="104" t="s">
        <v>978</v>
      </c>
      <c r="AE60" s="104" t="s">
        <v>978</v>
      </c>
      <c r="AF60" s="104">
        <v>28337</v>
      </c>
      <c r="AG60" s="104">
        <f>AF60*(1+5.1%)</f>
        <v>29782.186999999998</v>
      </c>
      <c r="AH60" s="104" t="s">
        <v>978</v>
      </c>
      <c r="AI60" s="104" t="s">
        <v>978</v>
      </c>
      <c r="AJ60" s="104" t="s">
        <v>978</v>
      </c>
      <c r="AK60" s="104" t="s">
        <v>978</v>
      </c>
      <c r="AL60" s="104">
        <f t="shared" ref="AL60:AL66" si="26">+AVERAGE(K60,M60,O60,Q60,S60,U60,W60,Y60,AA60,AC60,AE60,AG60,AI60,AK60)</f>
        <v>31540.221325333328</v>
      </c>
      <c r="AM60" s="120" t="s">
        <v>978</v>
      </c>
      <c r="AN60" s="141">
        <v>24000</v>
      </c>
      <c r="AO60" s="119" t="s">
        <v>974</v>
      </c>
      <c r="AP60" s="103" t="s">
        <v>974</v>
      </c>
      <c r="AQ60" s="142" t="s">
        <v>974</v>
      </c>
      <c r="AR60" s="103" t="s">
        <v>974</v>
      </c>
      <c r="AS60" s="103" t="s">
        <v>974</v>
      </c>
      <c r="AT60" s="103" t="s">
        <v>974</v>
      </c>
      <c r="AU60" s="103">
        <f t="shared" si="25"/>
        <v>24000</v>
      </c>
      <c r="AV60" s="158"/>
      <c r="AW60" s="156">
        <f>+AVERAGE(AL60,AU60)</f>
        <v>27770.110662666666</v>
      </c>
      <c r="AX60" s="121">
        <f t="shared" ref="AX60:AX66" si="27">+ROUND(AW60,0)</f>
        <v>27770</v>
      </c>
      <c r="AY60" s="163"/>
      <c r="AZ60" s="160">
        <v>12</v>
      </c>
      <c r="BA60" s="138">
        <v>0</v>
      </c>
      <c r="BB60" s="138">
        <v>0</v>
      </c>
      <c r="BC60" s="139">
        <f t="shared" si="22"/>
        <v>12</v>
      </c>
      <c r="BD60" s="140">
        <f t="shared" si="3"/>
        <v>333240</v>
      </c>
    </row>
    <row r="61" spans="1:56" s="129" customFormat="1" ht="33.75" x14ac:dyDescent="0.2">
      <c r="A61" s="150">
        <v>10</v>
      </c>
      <c r="B61" s="148">
        <v>58</v>
      </c>
      <c r="C61" s="105">
        <v>42221803</v>
      </c>
      <c r="D61" s="106" t="s">
        <v>846</v>
      </c>
      <c r="E61" s="105" t="s">
        <v>844</v>
      </c>
      <c r="F61" s="105" t="s">
        <v>705</v>
      </c>
      <c r="G61" s="143">
        <f>8658*6</f>
        <v>51948</v>
      </c>
      <c r="H61" s="143" t="s">
        <v>978</v>
      </c>
      <c r="I61" s="143">
        <f>+AVERAGE(G61:H61)</f>
        <v>51948</v>
      </c>
      <c r="J61" s="104">
        <v>19431</v>
      </c>
      <c r="K61" s="104">
        <f>J61*(1+5.2%)*(1+5.1%)</f>
        <v>21483.924011999999</v>
      </c>
      <c r="L61" s="104" t="s">
        <v>978</v>
      </c>
      <c r="M61" s="104" t="s">
        <v>978</v>
      </c>
      <c r="N61" s="104" t="s">
        <v>978</v>
      </c>
      <c r="O61" s="104" t="s">
        <v>978</v>
      </c>
      <c r="P61" s="104">
        <v>29700</v>
      </c>
      <c r="Q61" s="104">
        <f>P61*(1+5.2%)*(1+5.1%)</f>
        <v>32837.864399999999</v>
      </c>
      <c r="R61" s="104" t="s">
        <v>978</v>
      </c>
      <c r="S61" s="104" t="s">
        <v>978</v>
      </c>
      <c r="T61" s="104" t="s">
        <v>978</v>
      </c>
      <c r="U61" s="104" t="s">
        <v>978</v>
      </c>
      <c r="V61" s="104">
        <v>26054</v>
      </c>
      <c r="W61" s="104">
        <f>V61*(1+5.1%)</f>
        <v>27382.753999999997</v>
      </c>
      <c r="X61" s="104" t="s">
        <v>978</v>
      </c>
      <c r="Y61" s="104" t="s">
        <v>978</v>
      </c>
      <c r="Z61" s="104" t="s">
        <v>978</v>
      </c>
      <c r="AA61" s="104" t="s">
        <v>978</v>
      </c>
      <c r="AB61" s="104">
        <v>28631</v>
      </c>
      <c r="AC61" s="104">
        <f>AB61*(1+5.1%)</f>
        <v>30091.180999999997</v>
      </c>
      <c r="AD61" s="104" t="s">
        <v>978</v>
      </c>
      <c r="AE61" s="104" t="s">
        <v>978</v>
      </c>
      <c r="AF61" s="104">
        <v>25697</v>
      </c>
      <c r="AG61" s="104">
        <f>AF61*(1+5.1%)</f>
        <v>27007.546999999999</v>
      </c>
      <c r="AH61" s="104" t="s">
        <v>978</v>
      </c>
      <c r="AI61" s="104" t="s">
        <v>978</v>
      </c>
      <c r="AJ61" s="104" t="s">
        <v>978</v>
      </c>
      <c r="AK61" s="104" t="s">
        <v>978</v>
      </c>
      <c r="AL61" s="104">
        <f t="shared" si="26"/>
        <v>27760.654082399997</v>
      </c>
      <c r="AM61" s="120">
        <v>40711</v>
      </c>
      <c r="AN61" s="141">
        <v>65000</v>
      </c>
      <c r="AO61" s="119" t="s">
        <v>974</v>
      </c>
      <c r="AP61" s="103">
        <v>35000</v>
      </c>
      <c r="AQ61" s="142">
        <v>50000</v>
      </c>
      <c r="AR61" s="103">
        <v>42875</v>
      </c>
      <c r="AS61" s="103">
        <v>24278.1</v>
      </c>
      <c r="AT61" s="103">
        <v>35400</v>
      </c>
      <c r="AU61" s="103">
        <f t="shared" si="25"/>
        <v>24278.1</v>
      </c>
      <c r="AV61" s="158"/>
      <c r="AW61" s="156">
        <f>+AU61</f>
        <v>24278.1</v>
      </c>
      <c r="AX61" s="121">
        <f t="shared" si="27"/>
        <v>24278</v>
      </c>
      <c r="AY61" s="163" t="s">
        <v>1084</v>
      </c>
      <c r="AZ61" s="160">
        <v>12</v>
      </c>
      <c r="BA61" s="138">
        <v>10</v>
      </c>
      <c r="BB61" s="138">
        <v>0</v>
      </c>
      <c r="BC61" s="139">
        <f t="shared" si="22"/>
        <v>22</v>
      </c>
      <c r="BD61" s="140">
        <f t="shared" si="3"/>
        <v>534116</v>
      </c>
    </row>
    <row r="62" spans="1:56" s="129" customFormat="1" ht="56.25" x14ac:dyDescent="0.2">
      <c r="A62" s="150">
        <v>10</v>
      </c>
      <c r="B62" s="148">
        <v>59</v>
      </c>
      <c r="C62" s="105">
        <v>11121802</v>
      </c>
      <c r="D62" s="106" t="s">
        <v>478</v>
      </c>
      <c r="E62" s="111" t="s">
        <v>1054</v>
      </c>
      <c r="F62" s="111" t="s">
        <v>1053</v>
      </c>
      <c r="G62" s="143" t="s">
        <v>978</v>
      </c>
      <c r="H62" s="143" t="s">
        <v>978</v>
      </c>
      <c r="I62" s="143" t="s">
        <v>978</v>
      </c>
      <c r="J62" s="104" t="s">
        <v>978</v>
      </c>
      <c r="K62" s="104" t="s">
        <v>978</v>
      </c>
      <c r="L62" s="104" t="s">
        <v>978</v>
      </c>
      <c r="M62" s="104" t="s">
        <v>978</v>
      </c>
      <c r="N62" s="104" t="s">
        <v>978</v>
      </c>
      <c r="O62" s="104" t="s">
        <v>978</v>
      </c>
      <c r="P62" s="104" t="s">
        <v>978</v>
      </c>
      <c r="Q62" s="104" t="s">
        <v>1012</v>
      </c>
      <c r="R62" s="104">
        <f>20596*6</f>
        <v>123576</v>
      </c>
      <c r="S62" s="104">
        <f>R62*(1+5.2%)*(1+5.1%)</f>
        <v>136632.05155199999</v>
      </c>
      <c r="T62" s="104" t="s">
        <v>978</v>
      </c>
      <c r="U62" s="104" t="s">
        <v>978</v>
      </c>
      <c r="V62" s="104" t="s">
        <v>978</v>
      </c>
      <c r="W62" s="104" t="s">
        <v>978</v>
      </c>
      <c r="X62" s="104" t="s">
        <v>978</v>
      </c>
      <c r="Y62" s="104" t="s">
        <v>978</v>
      </c>
      <c r="Z62" s="104" t="s">
        <v>978</v>
      </c>
      <c r="AA62" s="104" t="s">
        <v>978</v>
      </c>
      <c r="AB62" s="104" t="s">
        <v>978</v>
      </c>
      <c r="AC62" s="104" t="s">
        <v>978</v>
      </c>
      <c r="AD62" s="104" t="s">
        <v>978</v>
      </c>
      <c r="AE62" s="104" t="s">
        <v>978</v>
      </c>
      <c r="AF62" s="104" t="s">
        <v>978</v>
      </c>
      <c r="AG62" s="104" t="s">
        <v>978</v>
      </c>
      <c r="AH62" s="104" t="s">
        <v>978</v>
      </c>
      <c r="AI62" s="104" t="s">
        <v>978</v>
      </c>
      <c r="AJ62" s="104" t="s">
        <v>978</v>
      </c>
      <c r="AK62" s="104" t="s">
        <v>978</v>
      </c>
      <c r="AL62" s="104">
        <f t="shared" si="26"/>
        <v>136632.05155199999</v>
      </c>
      <c r="AM62" s="120" t="s">
        <v>978</v>
      </c>
      <c r="AN62" s="141">
        <v>348000</v>
      </c>
      <c r="AO62" s="119" t="s">
        <v>974</v>
      </c>
      <c r="AP62" s="103" t="s">
        <v>974</v>
      </c>
      <c r="AQ62" s="142">
        <f>42000*6</f>
        <v>252000</v>
      </c>
      <c r="AR62" s="103" t="s">
        <v>974</v>
      </c>
      <c r="AS62" s="103" t="s">
        <v>974</v>
      </c>
      <c r="AT62" s="103" t="s">
        <v>974</v>
      </c>
      <c r="AU62" s="103">
        <f t="shared" si="25"/>
        <v>252000</v>
      </c>
      <c r="AV62" s="158"/>
      <c r="AW62" s="156">
        <f>+AVERAGE(AL62,AU62,AM62)</f>
        <v>194316.02577599999</v>
      </c>
      <c r="AX62" s="121">
        <f>+ROUND(AW62,0)</f>
        <v>194316</v>
      </c>
      <c r="AY62" s="163" t="s">
        <v>1075</v>
      </c>
      <c r="AZ62" s="160">
        <v>6</v>
      </c>
      <c r="BA62" s="138">
        <v>8</v>
      </c>
      <c r="BB62" s="138">
        <v>8</v>
      </c>
      <c r="BC62" s="139">
        <f t="shared" si="22"/>
        <v>22</v>
      </c>
      <c r="BD62" s="140">
        <f t="shared" si="3"/>
        <v>4274952</v>
      </c>
    </row>
    <row r="63" spans="1:56" s="129" customFormat="1" ht="67.5" x14ac:dyDescent="0.2">
      <c r="A63" s="150">
        <v>10</v>
      </c>
      <c r="B63" s="148">
        <v>60</v>
      </c>
      <c r="C63" s="105">
        <v>42311512</v>
      </c>
      <c r="D63" s="106" t="s">
        <v>479</v>
      </c>
      <c r="E63" s="111" t="s">
        <v>737</v>
      </c>
      <c r="F63" s="111" t="s">
        <v>1063</v>
      </c>
      <c r="G63" s="143" t="s">
        <v>978</v>
      </c>
      <c r="H63" s="143" t="s">
        <v>978</v>
      </c>
      <c r="I63" s="143" t="s">
        <v>978</v>
      </c>
      <c r="J63" s="104" t="s">
        <v>978</v>
      </c>
      <c r="K63" s="104" t="s">
        <v>978</v>
      </c>
      <c r="L63" s="104" t="s">
        <v>978</v>
      </c>
      <c r="M63" s="104" t="s">
        <v>978</v>
      </c>
      <c r="N63" s="104" t="s">
        <v>978</v>
      </c>
      <c r="O63" s="104" t="s">
        <v>978</v>
      </c>
      <c r="P63" s="104" t="s">
        <v>978</v>
      </c>
      <c r="Q63" s="104" t="s">
        <v>1012</v>
      </c>
      <c r="R63" s="104" t="s">
        <v>978</v>
      </c>
      <c r="S63" s="104" t="s">
        <v>978</v>
      </c>
      <c r="T63" s="104" t="s">
        <v>978</v>
      </c>
      <c r="U63" s="104" t="s">
        <v>978</v>
      </c>
      <c r="V63" s="104" t="s">
        <v>978</v>
      </c>
      <c r="W63" s="104" t="s">
        <v>978</v>
      </c>
      <c r="X63" s="104" t="s">
        <v>978</v>
      </c>
      <c r="Y63" s="104" t="s">
        <v>978</v>
      </c>
      <c r="Z63" s="104" t="s">
        <v>978</v>
      </c>
      <c r="AA63" s="104" t="s">
        <v>978</v>
      </c>
      <c r="AB63" s="104" t="s">
        <v>978</v>
      </c>
      <c r="AC63" s="104" t="s">
        <v>978</v>
      </c>
      <c r="AD63" s="104" t="s">
        <v>978</v>
      </c>
      <c r="AE63" s="104" t="s">
        <v>978</v>
      </c>
      <c r="AF63" s="104" t="s">
        <v>978</v>
      </c>
      <c r="AG63" s="104" t="s">
        <v>978</v>
      </c>
      <c r="AH63" s="104" t="s">
        <v>978</v>
      </c>
      <c r="AI63" s="104" t="s">
        <v>978</v>
      </c>
      <c r="AJ63" s="104" t="s">
        <v>978</v>
      </c>
      <c r="AK63" s="104" t="s">
        <v>978</v>
      </c>
      <c r="AL63" s="104" t="s">
        <v>978</v>
      </c>
      <c r="AM63" s="120" t="s">
        <v>978</v>
      </c>
      <c r="AN63" s="141">
        <v>350000</v>
      </c>
      <c r="AO63" s="119" t="s">
        <v>974</v>
      </c>
      <c r="AP63" s="103" t="s">
        <v>974</v>
      </c>
      <c r="AQ63" s="142">
        <f>4500*5</f>
        <v>22500</v>
      </c>
      <c r="AR63" s="103" t="s">
        <v>974</v>
      </c>
      <c r="AS63" s="103" t="s">
        <v>974</v>
      </c>
      <c r="AT63" s="103" t="s">
        <v>974</v>
      </c>
      <c r="AU63" s="103">
        <f t="shared" si="25"/>
        <v>22500</v>
      </c>
      <c r="AV63" s="158"/>
      <c r="AW63" s="156">
        <f>+AVERAGE(AL63,AU63)</f>
        <v>22500</v>
      </c>
      <c r="AX63" s="121">
        <f t="shared" si="27"/>
        <v>22500</v>
      </c>
      <c r="AY63" s="163" t="s">
        <v>1082</v>
      </c>
      <c r="AZ63" s="160">
        <v>15</v>
      </c>
      <c r="BA63" s="138">
        <v>24</v>
      </c>
      <c r="BB63" s="138">
        <v>6</v>
      </c>
      <c r="BC63" s="139">
        <f t="shared" si="22"/>
        <v>45</v>
      </c>
      <c r="BD63" s="140">
        <f t="shared" si="3"/>
        <v>1012500</v>
      </c>
    </row>
    <row r="64" spans="1:56" s="129" customFormat="1" ht="22.5" x14ac:dyDescent="0.2">
      <c r="A64" s="150">
        <v>10</v>
      </c>
      <c r="B64" s="148">
        <v>61</v>
      </c>
      <c r="C64" s="105">
        <v>51142904</v>
      </c>
      <c r="D64" s="106" t="s">
        <v>480</v>
      </c>
      <c r="E64" s="105" t="s">
        <v>738</v>
      </c>
      <c r="F64" s="105" t="s">
        <v>453</v>
      </c>
      <c r="G64" s="143" t="s">
        <v>978</v>
      </c>
      <c r="H64" s="143" t="s">
        <v>978</v>
      </c>
      <c r="I64" s="143" t="s">
        <v>978</v>
      </c>
      <c r="J64" s="104" t="s">
        <v>978</v>
      </c>
      <c r="K64" s="104" t="s">
        <v>978</v>
      </c>
      <c r="L64" s="104" t="s">
        <v>978</v>
      </c>
      <c r="M64" s="104" t="s">
        <v>978</v>
      </c>
      <c r="N64" s="104" t="s">
        <v>978</v>
      </c>
      <c r="O64" s="104" t="s">
        <v>978</v>
      </c>
      <c r="P64" s="104" t="s">
        <v>978</v>
      </c>
      <c r="Q64" s="104" t="s">
        <v>1012</v>
      </c>
      <c r="R64" s="104">
        <f>59041*4</f>
        <v>236164</v>
      </c>
      <c r="S64" s="104">
        <f>R64*(1+5.2%)*(1+5.1%)</f>
        <v>261115.198928</v>
      </c>
      <c r="T64" s="104" t="s">
        <v>978</v>
      </c>
      <c r="U64" s="104" t="s">
        <v>978</v>
      </c>
      <c r="V64" s="104" t="s">
        <v>978</v>
      </c>
      <c r="W64" s="104" t="s">
        <v>978</v>
      </c>
      <c r="X64" s="104" t="s">
        <v>978</v>
      </c>
      <c r="Y64" s="104" t="s">
        <v>978</v>
      </c>
      <c r="Z64" s="104" t="s">
        <v>978</v>
      </c>
      <c r="AA64" s="104" t="s">
        <v>978</v>
      </c>
      <c r="AB64" s="104" t="s">
        <v>978</v>
      </c>
      <c r="AC64" s="104" t="s">
        <v>978</v>
      </c>
      <c r="AD64" s="104" t="s">
        <v>978</v>
      </c>
      <c r="AE64" s="104" t="s">
        <v>978</v>
      </c>
      <c r="AF64" s="104" t="s">
        <v>978</v>
      </c>
      <c r="AG64" s="104" t="s">
        <v>978</v>
      </c>
      <c r="AH64" s="104" t="s">
        <v>978</v>
      </c>
      <c r="AI64" s="104" t="s">
        <v>978</v>
      </c>
      <c r="AJ64" s="104">
        <f>66576*4</f>
        <v>266304</v>
      </c>
      <c r="AK64" s="104">
        <f>AJ64*(1+5.1%)</f>
        <v>279885.50399999996</v>
      </c>
      <c r="AL64" s="104">
        <f t="shared" si="26"/>
        <v>270500.35146399995</v>
      </c>
      <c r="AM64" s="120" t="s">
        <v>978</v>
      </c>
      <c r="AN64" s="141">
        <f>140140*4</f>
        <v>560560</v>
      </c>
      <c r="AO64" s="119" t="s">
        <v>974</v>
      </c>
      <c r="AP64" s="103" t="s">
        <v>974</v>
      </c>
      <c r="AQ64" s="142">
        <f>115000*4</f>
        <v>460000</v>
      </c>
      <c r="AR64" s="103" t="s">
        <v>974</v>
      </c>
      <c r="AS64" s="103" t="s">
        <v>974</v>
      </c>
      <c r="AT64" s="103" t="s">
        <v>974</v>
      </c>
      <c r="AU64" s="103">
        <f t="shared" si="25"/>
        <v>460000</v>
      </c>
      <c r="AV64" s="158"/>
      <c r="AW64" s="156">
        <f>+AVERAGE(AL64,AU64)</f>
        <v>365250.17573199997</v>
      </c>
      <c r="AX64" s="121">
        <f t="shared" si="27"/>
        <v>365250</v>
      </c>
      <c r="AY64" s="163" t="s">
        <v>1073</v>
      </c>
      <c r="AZ64" s="160">
        <v>18</v>
      </c>
      <c r="BA64" s="138">
        <v>25</v>
      </c>
      <c r="BB64" s="138">
        <v>5</v>
      </c>
      <c r="BC64" s="139">
        <f t="shared" si="22"/>
        <v>48</v>
      </c>
      <c r="BD64" s="140">
        <f t="shared" si="3"/>
        <v>17532000</v>
      </c>
    </row>
    <row r="65" spans="1:56" s="129" customFormat="1" ht="33.75" x14ac:dyDescent="0.2">
      <c r="A65" s="150">
        <v>10</v>
      </c>
      <c r="B65" s="148">
        <v>62</v>
      </c>
      <c r="C65" s="105">
        <v>51142904</v>
      </c>
      <c r="D65" s="106" t="s">
        <v>481</v>
      </c>
      <c r="E65" s="105" t="s">
        <v>739</v>
      </c>
      <c r="F65" s="105" t="s">
        <v>436</v>
      </c>
      <c r="G65" s="143" t="s">
        <v>978</v>
      </c>
      <c r="H65" s="143" t="s">
        <v>978</v>
      </c>
      <c r="I65" s="143" t="s">
        <v>978</v>
      </c>
      <c r="J65" s="104" t="s">
        <v>978</v>
      </c>
      <c r="K65" s="104" t="s">
        <v>978</v>
      </c>
      <c r="L65" s="104" t="s">
        <v>978</v>
      </c>
      <c r="M65" s="104" t="s">
        <v>978</v>
      </c>
      <c r="N65" s="104" t="s">
        <v>978</v>
      </c>
      <c r="O65" s="104" t="s">
        <v>978</v>
      </c>
      <c r="P65" s="104" t="s">
        <v>978</v>
      </c>
      <c r="Q65" s="104" t="s">
        <v>1012</v>
      </c>
      <c r="R65" s="104" t="s">
        <v>978</v>
      </c>
      <c r="S65" s="104" t="s">
        <v>978</v>
      </c>
      <c r="T65" s="104" t="s">
        <v>978</v>
      </c>
      <c r="U65" s="104" t="s">
        <v>978</v>
      </c>
      <c r="V65" s="104" t="s">
        <v>978</v>
      </c>
      <c r="W65" s="104" t="s">
        <v>978</v>
      </c>
      <c r="X65" s="104" t="s">
        <v>978</v>
      </c>
      <c r="Y65" s="104" t="s">
        <v>978</v>
      </c>
      <c r="Z65" s="104" t="s">
        <v>978</v>
      </c>
      <c r="AA65" s="104" t="s">
        <v>978</v>
      </c>
      <c r="AB65" s="104" t="s">
        <v>978</v>
      </c>
      <c r="AC65" s="104" t="s">
        <v>978</v>
      </c>
      <c r="AD65" s="104" t="s">
        <v>978</v>
      </c>
      <c r="AE65" s="104" t="s">
        <v>978</v>
      </c>
      <c r="AF65" s="104" t="s">
        <v>978</v>
      </c>
      <c r="AG65" s="104" t="s">
        <v>978</v>
      </c>
      <c r="AH65" s="104" t="s">
        <v>978</v>
      </c>
      <c r="AI65" s="104" t="s">
        <v>978</v>
      </c>
      <c r="AJ65" s="104">
        <v>50011</v>
      </c>
      <c r="AK65" s="104">
        <f>AJ65*(1+5.1%)</f>
        <v>52561.560999999994</v>
      </c>
      <c r="AL65" s="104">
        <f t="shared" si="26"/>
        <v>52561.560999999994</v>
      </c>
      <c r="AM65" s="120" t="s">
        <v>978</v>
      </c>
      <c r="AN65" s="141">
        <v>95000</v>
      </c>
      <c r="AO65" s="119" t="s">
        <v>974</v>
      </c>
      <c r="AP65" s="103" t="s">
        <v>974</v>
      </c>
      <c r="AQ65" s="142">
        <v>85000</v>
      </c>
      <c r="AR65" s="103" t="s">
        <v>974</v>
      </c>
      <c r="AS65" s="103" t="s">
        <v>974</v>
      </c>
      <c r="AT65" s="103" t="s">
        <v>974</v>
      </c>
      <c r="AU65" s="103">
        <f t="shared" si="25"/>
        <v>85000</v>
      </c>
      <c r="AV65" s="158"/>
      <c r="AW65" s="156">
        <f>+AVERAGE(AL65,AU65)</f>
        <v>68780.780499999993</v>
      </c>
      <c r="AX65" s="121">
        <f t="shared" si="27"/>
        <v>68781</v>
      </c>
      <c r="AY65" s="163" t="s">
        <v>1073</v>
      </c>
      <c r="AZ65" s="160">
        <v>20</v>
      </c>
      <c r="BA65" s="138">
        <v>52</v>
      </c>
      <c r="BB65" s="138">
        <v>15</v>
      </c>
      <c r="BC65" s="139">
        <f t="shared" si="22"/>
        <v>87</v>
      </c>
      <c r="BD65" s="140">
        <f t="shared" si="3"/>
        <v>5983947</v>
      </c>
    </row>
    <row r="66" spans="1:56" s="129" customFormat="1" ht="45" x14ac:dyDescent="0.2">
      <c r="A66" s="150">
        <v>10</v>
      </c>
      <c r="B66" s="148">
        <v>63</v>
      </c>
      <c r="C66" s="105">
        <v>42152702</v>
      </c>
      <c r="D66" s="106" t="s">
        <v>482</v>
      </c>
      <c r="E66" s="105" t="s">
        <v>1039</v>
      </c>
      <c r="F66" s="105" t="s">
        <v>436</v>
      </c>
      <c r="G66" s="143" t="s">
        <v>978</v>
      </c>
      <c r="H66" s="143" t="s">
        <v>978</v>
      </c>
      <c r="I66" s="143" t="s">
        <v>978</v>
      </c>
      <c r="J66" s="104" t="s">
        <v>978</v>
      </c>
      <c r="K66" s="104" t="s">
        <v>978</v>
      </c>
      <c r="L66" s="104" t="s">
        <v>978</v>
      </c>
      <c r="M66" s="104" t="s">
        <v>978</v>
      </c>
      <c r="N66" s="104" t="s">
        <v>978</v>
      </c>
      <c r="O66" s="104" t="s">
        <v>978</v>
      </c>
      <c r="P66" s="104" t="s">
        <v>978</v>
      </c>
      <c r="Q66" s="104" t="s">
        <v>1012</v>
      </c>
      <c r="R66" s="104" t="s">
        <v>978</v>
      </c>
      <c r="S66" s="104" t="s">
        <v>978</v>
      </c>
      <c r="T66" s="104" t="s">
        <v>978</v>
      </c>
      <c r="U66" s="104" t="s">
        <v>978</v>
      </c>
      <c r="V66" s="104" t="s">
        <v>978</v>
      </c>
      <c r="W66" s="104" t="s">
        <v>978</v>
      </c>
      <c r="X66" s="104" t="s">
        <v>978</v>
      </c>
      <c r="Y66" s="104" t="s">
        <v>978</v>
      </c>
      <c r="Z66" s="104" t="s">
        <v>978</v>
      </c>
      <c r="AA66" s="104" t="s">
        <v>978</v>
      </c>
      <c r="AB66" s="104" t="s">
        <v>978</v>
      </c>
      <c r="AC66" s="104" t="s">
        <v>978</v>
      </c>
      <c r="AD66" s="104" t="s">
        <v>978</v>
      </c>
      <c r="AE66" s="104" t="s">
        <v>978</v>
      </c>
      <c r="AF66" s="104" t="s">
        <v>978</v>
      </c>
      <c r="AG66" s="104" t="s">
        <v>978</v>
      </c>
      <c r="AH66" s="104" t="s">
        <v>978</v>
      </c>
      <c r="AI66" s="104" t="s">
        <v>978</v>
      </c>
      <c r="AJ66" s="104">
        <f>12069*50</f>
        <v>603450</v>
      </c>
      <c r="AK66" s="104">
        <f>AJ66*(1+5.1%)</f>
        <v>634225.94999999995</v>
      </c>
      <c r="AL66" s="104">
        <f t="shared" si="26"/>
        <v>634225.94999999995</v>
      </c>
      <c r="AM66" s="120" t="s">
        <v>978</v>
      </c>
      <c r="AN66" s="141">
        <f>24310*50</f>
        <v>1215500</v>
      </c>
      <c r="AO66" s="119" t="s">
        <v>974</v>
      </c>
      <c r="AP66" s="103" t="s">
        <v>974</v>
      </c>
      <c r="AQ66" s="142">
        <f>23000*50</f>
        <v>1150000</v>
      </c>
      <c r="AR66" s="103" t="s">
        <v>974</v>
      </c>
      <c r="AS66" s="103" t="s">
        <v>974</v>
      </c>
      <c r="AT66" s="103" t="s">
        <v>974</v>
      </c>
      <c r="AU66" s="103">
        <f t="shared" si="25"/>
        <v>1150000</v>
      </c>
      <c r="AV66" s="158"/>
      <c r="AW66" s="156">
        <f>+AVERAGE(AL66,AU66)</f>
        <v>892112.97499999998</v>
      </c>
      <c r="AX66" s="121">
        <f t="shared" si="27"/>
        <v>892113</v>
      </c>
      <c r="AY66" s="163" t="s">
        <v>1073</v>
      </c>
      <c r="AZ66" s="160">
        <v>1</v>
      </c>
      <c r="BA66" s="138">
        <v>1</v>
      </c>
      <c r="BB66" s="138">
        <v>0</v>
      </c>
      <c r="BC66" s="139">
        <f t="shared" si="22"/>
        <v>2</v>
      </c>
      <c r="BD66" s="140">
        <f t="shared" si="3"/>
        <v>1784226</v>
      </c>
    </row>
    <row r="67" spans="1:56" s="129" customFormat="1" ht="45" x14ac:dyDescent="0.2">
      <c r="A67" s="150">
        <v>10</v>
      </c>
      <c r="B67" s="148">
        <v>64</v>
      </c>
      <c r="C67" s="105">
        <v>51142904</v>
      </c>
      <c r="D67" s="106" t="s">
        <v>847</v>
      </c>
      <c r="E67" s="105" t="s">
        <v>848</v>
      </c>
      <c r="F67" s="105" t="s">
        <v>627</v>
      </c>
      <c r="G67" s="144" t="s">
        <v>978</v>
      </c>
      <c r="H67" s="143" t="s">
        <v>978</v>
      </c>
      <c r="I67" s="144" t="s">
        <v>978</v>
      </c>
      <c r="J67" s="104" t="s">
        <v>978</v>
      </c>
      <c r="K67" s="104" t="s">
        <v>978</v>
      </c>
      <c r="L67" s="104" t="s">
        <v>978</v>
      </c>
      <c r="M67" s="104" t="s">
        <v>978</v>
      </c>
      <c r="N67" s="104" t="s">
        <v>978</v>
      </c>
      <c r="O67" s="104" t="s">
        <v>978</v>
      </c>
      <c r="P67" s="104" t="s">
        <v>978</v>
      </c>
      <c r="Q67" s="104" t="s">
        <v>1012</v>
      </c>
      <c r="R67" s="104" t="s">
        <v>978</v>
      </c>
      <c r="S67" s="104" t="s">
        <v>978</v>
      </c>
      <c r="T67" s="104" t="s">
        <v>978</v>
      </c>
      <c r="U67" s="104" t="s">
        <v>978</v>
      </c>
      <c r="V67" s="104" t="s">
        <v>978</v>
      </c>
      <c r="W67" s="104" t="s">
        <v>978</v>
      </c>
      <c r="X67" s="104" t="s">
        <v>978</v>
      </c>
      <c r="Y67" s="104" t="s">
        <v>978</v>
      </c>
      <c r="Z67" s="104" t="s">
        <v>978</v>
      </c>
      <c r="AA67" s="104" t="s">
        <v>978</v>
      </c>
      <c r="AB67" s="104" t="s">
        <v>978</v>
      </c>
      <c r="AC67" s="104" t="s">
        <v>978</v>
      </c>
      <c r="AD67" s="104" t="s">
        <v>978</v>
      </c>
      <c r="AE67" s="104" t="s">
        <v>978</v>
      </c>
      <c r="AF67" s="104" t="s">
        <v>978</v>
      </c>
      <c r="AG67" s="104" t="s">
        <v>978</v>
      </c>
      <c r="AH67" s="104" t="s">
        <v>978</v>
      </c>
      <c r="AI67" s="104" t="s">
        <v>978</v>
      </c>
      <c r="AJ67" s="104" t="s">
        <v>978</v>
      </c>
      <c r="AK67" s="104" t="s">
        <v>978</v>
      </c>
      <c r="AL67" s="104" t="s">
        <v>978</v>
      </c>
      <c r="AM67" s="120" t="s">
        <v>978</v>
      </c>
      <c r="AN67" s="141">
        <v>121550</v>
      </c>
      <c r="AO67" s="119" t="s">
        <v>974</v>
      </c>
      <c r="AP67" s="103" t="s">
        <v>974</v>
      </c>
      <c r="AQ67" s="142">
        <v>120000</v>
      </c>
      <c r="AR67" s="103" t="s">
        <v>974</v>
      </c>
      <c r="AS67" s="103" t="s">
        <v>974</v>
      </c>
      <c r="AT67" s="103" t="s">
        <v>974</v>
      </c>
      <c r="AU67" s="103">
        <f t="shared" si="25"/>
        <v>120000</v>
      </c>
      <c r="AV67" s="159"/>
      <c r="AW67" s="156">
        <f>+AU67</f>
        <v>120000</v>
      </c>
      <c r="AX67" s="121">
        <f t="shared" ref="AX67" si="28">+ROUND(AW67,0)</f>
        <v>120000</v>
      </c>
      <c r="AY67" s="163" t="s">
        <v>1082</v>
      </c>
      <c r="AZ67" s="160">
        <v>0</v>
      </c>
      <c r="BA67" s="138">
        <v>4</v>
      </c>
      <c r="BB67" s="138">
        <v>8</v>
      </c>
      <c r="BC67" s="139">
        <f t="shared" si="22"/>
        <v>12</v>
      </c>
      <c r="BD67" s="140">
        <f t="shared" si="3"/>
        <v>1440000</v>
      </c>
    </row>
    <row r="68" spans="1:56" s="129" customFormat="1" ht="315" x14ac:dyDescent="0.2">
      <c r="A68" s="150">
        <v>10</v>
      </c>
      <c r="B68" s="148">
        <v>65</v>
      </c>
      <c r="C68" s="116">
        <v>42311521</v>
      </c>
      <c r="D68" s="112" t="s">
        <v>648</v>
      </c>
      <c r="E68" s="105" t="s">
        <v>963</v>
      </c>
      <c r="F68" s="116" t="s">
        <v>286</v>
      </c>
      <c r="G68" s="143" t="s">
        <v>978</v>
      </c>
      <c r="H68" s="143" t="s">
        <v>978</v>
      </c>
      <c r="I68" s="143" t="s">
        <v>978</v>
      </c>
      <c r="J68" s="104" t="s">
        <v>978</v>
      </c>
      <c r="K68" s="104" t="s">
        <v>978</v>
      </c>
      <c r="L68" s="104" t="s">
        <v>978</v>
      </c>
      <c r="M68" s="104" t="s">
        <v>978</v>
      </c>
      <c r="N68" s="104" t="s">
        <v>978</v>
      </c>
      <c r="O68" s="104" t="s">
        <v>978</v>
      </c>
      <c r="P68" s="104" t="s">
        <v>978</v>
      </c>
      <c r="Q68" s="104" t="s">
        <v>1012</v>
      </c>
      <c r="R68" s="104" t="s">
        <v>978</v>
      </c>
      <c r="S68" s="104" t="s">
        <v>978</v>
      </c>
      <c r="T68" s="104" t="s">
        <v>978</v>
      </c>
      <c r="U68" s="104" t="s">
        <v>978</v>
      </c>
      <c r="V68" s="104" t="s">
        <v>978</v>
      </c>
      <c r="W68" s="104" t="s">
        <v>978</v>
      </c>
      <c r="X68" s="104" t="s">
        <v>978</v>
      </c>
      <c r="Y68" s="104" t="s">
        <v>978</v>
      </c>
      <c r="Z68" s="104" t="s">
        <v>978</v>
      </c>
      <c r="AA68" s="104" t="s">
        <v>978</v>
      </c>
      <c r="AB68" s="104" t="s">
        <v>978</v>
      </c>
      <c r="AC68" s="104" t="s">
        <v>978</v>
      </c>
      <c r="AD68" s="104" t="s">
        <v>978</v>
      </c>
      <c r="AE68" s="104" t="s">
        <v>978</v>
      </c>
      <c r="AF68" s="104" t="s">
        <v>978</v>
      </c>
      <c r="AG68" s="104" t="s">
        <v>978</v>
      </c>
      <c r="AH68" s="104" t="s">
        <v>978</v>
      </c>
      <c r="AI68" s="104" t="s">
        <v>978</v>
      </c>
      <c r="AJ68" s="104" t="s">
        <v>978</v>
      </c>
      <c r="AK68" s="104" t="s">
        <v>978</v>
      </c>
      <c r="AL68" s="104" t="s">
        <v>978</v>
      </c>
      <c r="AM68" s="120">
        <v>263100</v>
      </c>
      <c r="AN68" s="141">
        <v>321750</v>
      </c>
      <c r="AO68" s="119" t="s">
        <v>974</v>
      </c>
      <c r="AP68" s="103" t="s">
        <v>974</v>
      </c>
      <c r="AQ68" s="142">
        <v>340000</v>
      </c>
      <c r="AR68" s="103" t="s">
        <v>974</v>
      </c>
      <c r="AS68" s="103" t="s">
        <v>974</v>
      </c>
      <c r="AT68" s="103" t="s">
        <v>974</v>
      </c>
      <c r="AU68" s="103">
        <f t="shared" si="25"/>
        <v>321750</v>
      </c>
      <c r="AV68" s="158"/>
      <c r="AW68" s="156">
        <f>+AVERAGE(AL68,AU68,AM68)</f>
        <v>292425</v>
      </c>
      <c r="AX68" s="121">
        <f>+ROUND(AW68,0)</f>
        <v>292425</v>
      </c>
      <c r="AY68" s="163" t="s">
        <v>1075</v>
      </c>
      <c r="AZ68" s="160">
        <v>0</v>
      </c>
      <c r="BA68" s="138">
        <v>10</v>
      </c>
      <c r="BB68" s="138">
        <v>0</v>
      </c>
      <c r="BC68" s="139">
        <f t="shared" ref="BC68:BC81" si="29">+BA68+BB68</f>
        <v>10</v>
      </c>
      <c r="BD68" s="140">
        <f t="shared" si="3"/>
        <v>2924250</v>
      </c>
    </row>
    <row r="69" spans="1:56" s="129" customFormat="1" ht="303.75" x14ac:dyDescent="0.2">
      <c r="A69" s="150">
        <v>10</v>
      </c>
      <c r="B69" s="148">
        <v>66</v>
      </c>
      <c r="C69" s="105">
        <v>42311510</v>
      </c>
      <c r="D69" s="112" t="s">
        <v>620</v>
      </c>
      <c r="E69" s="105" t="s">
        <v>1041</v>
      </c>
      <c r="F69" s="105" t="s">
        <v>286</v>
      </c>
      <c r="G69" s="143" t="s">
        <v>978</v>
      </c>
      <c r="H69" s="143" t="s">
        <v>978</v>
      </c>
      <c r="I69" s="143" t="s">
        <v>978</v>
      </c>
      <c r="J69" s="104" t="s">
        <v>978</v>
      </c>
      <c r="K69" s="104" t="s">
        <v>978</v>
      </c>
      <c r="L69" s="104" t="s">
        <v>978</v>
      </c>
      <c r="M69" s="104" t="s">
        <v>978</v>
      </c>
      <c r="N69" s="104" t="s">
        <v>978</v>
      </c>
      <c r="O69" s="104" t="s">
        <v>978</v>
      </c>
      <c r="P69" s="104" t="s">
        <v>978</v>
      </c>
      <c r="Q69" s="104" t="s">
        <v>1012</v>
      </c>
      <c r="R69" s="104" t="s">
        <v>978</v>
      </c>
      <c r="S69" s="104" t="s">
        <v>978</v>
      </c>
      <c r="T69" s="104" t="s">
        <v>978</v>
      </c>
      <c r="U69" s="104" t="s">
        <v>978</v>
      </c>
      <c r="V69" s="104" t="s">
        <v>978</v>
      </c>
      <c r="W69" s="104" t="s">
        <v>978</v>
      </c>
      <c r="X69" s="104" t="s">
        <v>978</v>
      </c>
      <c r="Y69" s="104" t="s">
        <v>978</v>
      </c>
      <c r="Z69" s="104" t="s">
        <v>978</v>
      </c>
      <c r="AA69" s="104" t="s">
        <v>978</v>
      </c>
      <c r="AB69" s="104" t="s">
        <v>978</v>
      </c>
      <c r="AC69" s="104" t="s">
        <v>978</v>
      </c>
      <c r="AD69" s="104" t="s">
        <v>978</v>
      </c>
      <c r="AE69" s="104" t="s">
        <v>978</v>
      </c>
      <c r="AF69" s="104" t="s">
        <v>978</v>
      </c>
      <c r="AG69" s="104" t="s">
        <v>978</v>
      </c>
      <c r="AH69" s="104" t="s">
        <v>978</v>
      </c>
      <c r="AI69" s="104" t="s">
        <v>978</v>
      </c>
      <c r="AJ69" s="104" t="s">
        <v>978</v>
      </c>
      <c r="AK69" s="104" t="s">
        <v>978</v>
      </c>
      <c r="AL69" s="104" t="s">
        <v>978</v>
      </c>
      <c r="AM69" s="120" t="s">
        <v>978</v>
      </c>
      <c r="AN69" s="141">
        <v>25740</v>
      </c>
      <c r="AO69" s="119" t="s">
        <v>974</v>
      </c>
      <c r="AP69" s="103" t="s">
        <v>974</v>
      </c>
      <c r="AQ69" s="142">
        <v>23000</v>
      </c>
      <c r="AR69" s="103" t="s">
        <v>974</v>
      </c>
      <c r="AS69" s="103" t="s">
        <v>974</v>
      </c>
      <c r="AT69" s="103" t="s">
        <v>974</v>
      </c>
      <c r="AU69" s="103">
        <f t="shared" si="25"/>
        <v>23000</v>
      </c>
      <c r="AV69" s="158"/>
      <c r="AW69" s="156">
        <f t="shared" ref="AW69:AW74" si="30">+AVERAGE(AL69,AU69)</f>
        <v>23000</v>
      </c>
      <c r="AX69" s="121">
        <f t="shared" ref="AX69:AX81" si="31">+ROUND(AW69,0)</f>
        <v>23000</v>
      </c>
      <c r="AY69" s="163" t="s">
        <v>1073</v>
      </c>
      <c r="AZ69" s="160">
        <v>0</v>
      </c>
      <c r="BA69" s="138">
        <v>10</v>
      </c>
      <c r="BB69" s="138">
        <v>0</v>
      </c>
      <c r="BC69" s="139">
        <f t="shared" si="29"/>
        <v>10</v>
      </c>
      <c r="BD69" s="140">
        <f t="shared" ref="BD69:BD132" si="32">+BC69*AX69</f>
        <v>230000</v>
      </c>
    </row>
    <row r="70" spans="1:56" s="129" customFormat="1" ht="303.75" x14ac:dyDescent="0.2">
      <c r="A70" s="150">
        <v>10</v>
      </c>
      <c r="B70" s="148">
        <v>67</v>
      </c>
      <c r="C70" s="105">
        <v>42311510</v>
      </c>
      <c r="D70" s="106" t="s">
        <v>849</v>
      </c>
      <c r="E70" s="105" t="s">
        <v>1044</v>
      </c>
      <c r="F70" s="105" t="s">
        <v>286</v>
      </c>
      <c r="G70" s="143" t="s">
        <v>978</v>
      </c>
      <c r="H70" s="143" t="s">
        <v>978</v>
      </c>
      <c r="I70" s="143" t="s">
        <v>978</v>
      </c>
      <c r="J70" s="104" t="s">
        <v>978</v>
      </c>
      <c r="K70" s="104" t="s">
        <v>978</v>
      </c>
      <c r="L70" s="104" t="s">
        <v>978</v>
      </c>
      <c r="M70" s="104" t="s">
        <v>978</v>
      </c>
      <c r="N70" s="104" t="s">
        <v>978</v>
      </c>
      <c r="O70" s="104" t="s">
        <v>978</v>
      </c>
      <c r="P70" s="104" t="s">
        <v>978</v>
      </c>
      <c r="Q70" s="104" t="s">
        <v>1012</v>
      </c>
      <c r="R70" s="104" t="s">
        <v>978</v>
      </c>
      <c r="S70" s="104" t="s">
        <v>978</v>
      </c>
      <c r="T70" s="104" t="s">
        <v>978</v>
      </c>
      <c r="U70" s="104" t="s">
        <v>978</v>
      </c>
      <c r="V70" s="104" t="s">
        <v>978</v>
      </c>
      <c r="W70" s="104" t="s">
        <v>978</v>
      </c>
      <c r="X70" s="104" t="s">
        <v>978</v>
      </c>
      <c r="Y70" s="104" t="s">
        <v>978</v>
      </c>
      <c r="Z70" s="104" t="s">
        <v>978</v>
      </c>
      <c r="AA70" s="104" t="s">
        <v>978</v>
      </c>
      <c r="AB70" s="104" t="s">
        <v>978</v>
      </c>
      <c r="AC70" s="104" t="s">
        <v>978</v>
      </c>
      <c r="AD70" s="104" t="s">
        <v>978</v>
      </c>
      <c r="AE70" s="104" t="s">
        <v>978</v>
      </c>
      <c r="AF70" s="104" t="s">
        <v>978</v>
      </c>
      <c r="AG70" s="104" t="s">
        <v>978</v>
      </c>
      <c r="AH70" s="104" t="s">
        <v>978</v>
      </c>
      <c r="AI70" s="104" t="s">
        <v>978</v>
      </c>
      <c r="AJ70" s="104" t="s">
        <v>978</v>
      </c>
      <c r="AK70" s="104" t="s">
        <v>978</v>
      </c>
      <c r="AL70" s="104" t="s">
        <v>978</v>
      </c>
      <c r="AM70" s="120" t="s">
        <v>978</v>
      </c>
      <c r="AN70" s="141">
        <v>67210</v>
      </c>
      <c r="AO70" s="119" t="s">
        <v>974</v>
      </c>
      <c r="AP70" s="103" t="s">
        <v>974</v>
      </c>
      <c r="AQ70" s="142">
        <v>28000</v>
      </c>
      <c r="AR70" s="103" t="s">
        <v>974</v>
      </c>
      <c r="AS70" s="103" t="s">
        <v>974</v>
      </c>
      <c r="AT70" s="103" t="s">
        <v>974</v>
      </c>
      <c r="AU70" s="103">
        <f t="shared" si="25"/>
        <v>28000</v>
      </c>
      <c r="AV70" s="158"/>
      <c r="AW70" s="156">
        <f t="shared" si="30"/>
        <v>28000</v>
      </c>
      <c r="AX70" s="121">
        <f t="shared" si="31"/>
        <v>28000</v>
      </c>
      <c r="AY70" s="163" t="s">
        <v>1073</v>
      </c>
      <c r="AZ70" s="160">
        <v>0</v>
      </c>
      <c r="BA70" s="138">
        <v>10</v>
      </c>
      <c r="BB70" s="138">
        <v>0</v>
      </c>
      <c r="BC70" s="139">
        <f t="shared" si="29"/>
        <v>10</v>
      </c>
      <c r="BD70" s="140">
        <f t="shared" si="32"/>
        <v>280000</v>
      </c>
    </row>
    <row r="71" spans="1:56" s="129" customFormat="1" ht="303.75" x14ac:dyDescent="0.2">
      <c r="A71" s="150">
        <v>10</v>
      </c>
      <c r="B71" s="148">
        <v>68</v>
      </c>
      <c r="C71" s="105">
        <v>42311510</v>
      </c>
      <c r="D71" s="106" t="s">
        <v>850</v>
      </c>
      <c r="E71" s="105" t="s">
        <v>1044</v>
      </c>
      <c r="F71" s="105" t="s">
        <v>286</v>
      </c>
      <c r="G71" s="143" t="s">
        <v>978</v>
      </c>
      <c r="H71" s="143" t="s">
        <v>978</v>
      </c>
      <c r="I71" s="143" t="s">
        <v>978</v>
      </c>
      <c r="J71" s="104" t="s">
        <v>978</v>
      </c>
      <c r="K71" s="104" t="s">
        <v>978</v>
      </c>
      <c r="L71" s="104" t="s">
        <v>978</v>
      </c>
      <c r="M71" s="104" t="s">
        <v>978</v>
      </c>
      <c r="N71" s="104" t="s">
        <v>978</v>
      </c>
      <c r="O71" s="104" t="s">
        <v>978</v>
      </c>
      <c r="P71" s="104" t="s">
        <v>978</v>
      </c>
      <c r="Q71" s="104" t="s">
        <v>1012</v>
      </c>
      <c r="R71" s="104" t="s">
        <v>978</v>
      </c>
      <c r="S71" s="104" t="s">
        <v>978</v>
      </c>
      <c r="T71" s="104" t="s">
        <v>978</v>
      </c>
      <c r="U71" s="104" t="s">
        <v>978</v>
      </c>
      <c r="V71" s="104" t="s">
        <v>978</v>
      </c>
      <c r="W71" s="104" t="s">
        <v>978</v>
      </c>
      <c r="X71" s="104" t="s">
        <v>978</v>
      </c>
      <c r="Y71" s="104" t="s">
        <v>978</v>
      </c>
      <c r="Z71" s="104" t="s">
        <v>978</v>
      </c>
      <c r="AA71" s="104" t="s">
        <v>978</v>
      </c>
      <c r="AB71" s="104" t="s">
        <v>978</v>
      </c>
      <c r="AC71" s="104" t="s">
        <v>978</v>
      </c>
      <c r="AD71" s="104" t="s">
        <v>978</v>
      </c>
      <c r="AE71" s="104" t="s">
        <v>978</v>
      </c>
      <c r="AF71" s="104" t="s">
        <v>978</v>
      </c>
      <c r="AG71" s="104" t="s">
        <v>978</v>
      </c>
      <c r="AH71" s="104" t="s">
        <v>978</v>
      </c>
      <c r="AI71" s="104" t="s">
        <v>978</v>
      </c>
      <c r="AJ71" s="104" t="s">
        <v>978</v>
      </c>
      <c r="AK71" s="104" t="s">
        <v>978</v>
      </c>
      <c r="AL71" s="104" t="s">
        <v>978</v>
      </c>
      <c r="AM71" s="120" t="s">
        <v>978</v>
      </c>
      <c r="AN71" s="141">
        <v>168740</v>
      </c>
      <c r="AO71" s="119" t="s">
        <v>974</v>
      </c>
      <c r="AP71" s="103" t="s">
        <v>974</v>
      </c>
      <c r="AQ71" s="142">
        <v>34000</v>
      </c>
      <c r="AR71" s="103" t="s">
        <v>974</v>
      </c>
      <c r="AS71" s="103" t="s">
        <v>974</v>
      </c>
      <c r="AT71" s="103" t="s">
        <v>974</v>
      </c>
      <c r="AU71" s="103">
        <f t="shared" si="25"/>
        <v>34000</v>
      </c>
      <c r="AV71" s="158"/>
      <c r="AW71" s="156">
        <f t="shared" si="30"/>
        <v>34000</v>
      </c>
      <c r="AX71" s="121">
        <f t="shared" si="31"/>
        <v>34000</v>
      </c>
      <c r="AY71" s="163" t="s">
        <v>1073</v>
      </c>
      <c r="AZ71" s="160">
        <v>0</v>
      </c>
      <c r="BA71" s="138">
        <v>10</v>
      </c>
      <c r="BB71" s="138">
        <v>0</v>
      </c>
      <c r="BC71" s="139">
        <f t="shared" si="29"/>
        <v>10</v>
      </c>
      <c r="BD71" s="140">
        <f t="shared" si="32"/>
        <v>340000</v>
      </c>
    </row>
    <row r="72" spans="1:56" s="129" customFormat="1" ht="303.75" x14ac:dyDescent="0.2">
      <c r="A72" s="150">
        <v>10</v>
      </c>
      <c r="B72" s="148">
        <v>69</v>
      </c>
      <c r="C72" s="105">
        <v>42311510</v>
      </c>
      <c r="D72" s="106" t="s">
        <v>851</v>
      </c>
      <c r="E72" s="105" t="s">
        <v>1042</v>
      </c>
      <c r="F72" s="105" t="s">
        <v>286</v>
      </c>
      <c r="G72" s="143" t="s">
        <v>978</v>
      </c>
      <c r="H72" s="143" t="s">
        <v>978</v>
      </c>
      <c r="I72" s="143" t="s">
        <v>978</v>
      </c>
      <c r="J72" s="104" t="s">
        <v>978</v>
      </c>
      <c r="K72" s="104" t="s">
        <v>978</v>
      </c>
      <c r="L72" s="104" t="s">
        <v>978</v>
      </c>
      <c r="M72" s="104" t="s">
        <v>978</v>
      </c>
      <c r="N72" s="104" t="s">
        <v>978</v>
      </c>
      <c r="O72" s="104" t="s">
        <v>978</v>
      </c>
      <c r="P72" s="104" t="s">
        <v>978</v>
      </c>
      <c r="Q72" s="104" t="s">
        <v>1012</v>
      </c>
      <c r="R72" s="104" t="s">
        <v>978</v>
      </c>
      <c r="S72" s="104" t="s">
        <v>978</v>
      </c>
      <c r="T72" s="104" t="s">
        <v>978</v>
      </c>
      <c r="U72" s="104" t="s">
        <v>978</v>
      </c>
      <c r="V72" s="104" t="s">
        <v>978</v>
      </c>
      <c r="W72" s="104" t="s">
        <v>978</v>
      </c>
      <c r="X72" s="104" t="s">
        <v>978</v>
      </c>
      <c r="Y72" s="104" t="s">
        <v>978</v>
      </c>
      <c r="Z72" s="104" t="s">
        <v>978</v>
      </c>
      <c r="AA72" s="104" t="s">
        <v>978</v>
      </c>
      <c r="AB72" s="104" t="s">
        <v>978</v>
      </c>
      <c r="AC72" s="104" t="s">
        <v>978</v>
      </c>
      <c r="AD72" s="104" t="s">
        <v>978</v>
      </c>
      <c r="AE72" s="104" t="s">
        <v>978</v>
      </c>
      <c r="AF72" s="104" t="s">
        <v>978</v>
      </c>
      <c r="AG72" s="104" t="s">
        <v>978</v>
      </c>
      <c r="AH72" s="104" t="s">
        <v>978</v>
      </c>
      <c r="AI72" s="104" t="s">
        <v>978</v>
      </c>
      <c r="AJ72" s="104" t="s">
        <v>978</v>
      </c>
      <c r="AK72" s="104" t="s">
        <v>978</v>
      </c>
      <c r="AL72" s="104" t="s">
        <v>978</v>
      </c>
      <c r="AM72" s="120" t="s">
        <v>978</v>
      </c>
      <c r="AN72" s="141">
        <v>28600</v>
      </c>
      <c r="AO72" s="119" t="s">
        <v>974</v>
      </c>
      <c r="AP72" s="103" t="s">
        <v>974</v>
      </c>
      <c r="AQ72" s="142">
        <v>25000</v>
      </c>
      <c r="AR72" s="103" t="s">
        <v>974</v>
      </c>
      <c r="AS72" s="103" t="s">
        <v>974</v>
      </c>
      <c r="AT72" s="103" t="s">
        <v>974</v>
      </c>
      <c r="AU72" s="103">
        <f t="shared" si="25"/>
        <v>25000</v>
      </c>
      <c r="AV72" s="158"/>
      <c r="AW72" s="156">
        <f t="shared" si="30"/>
        <v>25000</v>
      </c>
      <c r="AX72" s="121">
        <f t="shared" si="31"/>
        <v>25000</v>
      </c>
      <c r="AY72" s="163" t="s">
        <v>1073</v>
      </c>
      <c r="AZ72" s="160">
        <v>0</v>
      </c>
      <c r="BA72" s="138">
        <v>10</v>
      </c>
      <c r="BB72" s="138">
        <v>0</v>
      </c>
      <c r="BC72" s="139">
        <f t="shared" si="29"/>
        <v>10</v>
      </c>
      <c r="BD72" s="140">
        <f t="shared" si="32"/>
        <v>250000</v>
      </c>
    </row>
    <row r="73" spans="1:56" s="129" customFormat="1" ht="67.5" x14ac:dyDescent="0.2">
      <c r="A73" s="150">
        <v>10</v>
      </c>
      <c r="B73" s="148">
        <v>70</v>
      </c>
      <c r="C73" s="111">
        <v>42311521</v>
      </c>
      <c r="D73" s="106" t="s">
        <v>621</v>
      </c>
      <c r="E73" s="105" t="s">
        <v>1047</v>
      </c>
      <c r="F73" s="105" t="s">
        <v>286</v>
      </c>
      <c r="G73" s="143" t="s">
        <v>978</v>
      </c>
      <c r="H73" s="143" t="s">
        <v>978</v>
      </c>
      <c r="I73" s="143" t="s">
        <v>978</v>
      </c>
      <c r="J73" s="104" t="s">
        <v>978</v>
      </c>
      <c r="K73" s="104" t="s">
        <v>978</v>
      </c>
      <c r="L73" s="104" t="s">
        <v>978</v>
      </c>
      <c r="M73" s="104" t="s">
        <v>978</v>
      </c>
      <c r="N73" s="104" t="s">
        <v>978</v>
      </c>
      <c r="O73" s="104" t="s">
        <v>978</v>
      </c>
      <c r="P73" s="104" t="s">
        <v>978</v>
      </c>
      <c r="Q73" s="104" t="s">
        <v>1012</v>
      </c>
      <c r="R73" s="104" t="s">
        <v>978</v>
      </c>
      <c r="S73" s="104" t="s">
        <v>978</v>
      </c>
      <c r="T73" s="104" t="s">
        <v>978</v>
      </c>
      <c r="U73" s="104" t="s">
        <v>978</v>
      </c>
      <c r="V73" s="104" t="s">
        <v>978</v>
      </c>
      <c r="W73" s="104" t="s">
        <v>978</v>
      </c>
      <c r="X73" s="104" t="s">
        <v>978</v>
      </c>
      <c r="Y73" s="104" t="s">
        <v>978</v>
      </c>
      <c r="Z73" s="104" t="s">
        <v>978</v>
      </c>
      <c r="AA73" s="104" t="s">
        <v>978</v>
      </c>
      <c r="AB73" s="104" t="s">
        <v>978</v>
      </c>
      <c r="AC73" s="104" t="s">
        <v>978</v>
      </c>
      <c r="AD73" s="104" t="s">
        <v>978</v>
      </c>
      <c r="AE73" s="104" t="s">
        <v>978</v>
      </c>
      <c r="AF73" s="104" t="s">
        <v>978</v>
      </c>
      <c r="AG73" s="104" t="s">
        <v>978</v>
      </c>
      <c r="AH73" s="104" t="s">
        <v>978</v>
      </c>
      <c r="AI73" s="104" t="s">
        <v>978</v>
      </c>
      <c r="AJ73" s="104" t="s">
        <v>978</v>
      </c>
      <c r="AK73" s="104" t="s">
        <v>978</v>
      </c>
      <c r="AL73" s="104" t="s">
        <v>978</v>
      </c>
      <c r="AM73" s="120" t="s">
        <v>978</v>
      </c>
      <c r="AN73" s="141">
        <v>94380</v>
      </c>
      <c r="AO73" s="119" t="s">
        <v>974</v>
      </c>
      <c r="AP73" s="103" t="s">
        <v>974</v>
      </c>
      <c r="AQ73" s="142">
        <v>185000</v>
      </c>
      <c r="AR73" s="103" t="s">
        <v>974</v>
      </c>
      <c r="AS73" s="103" t="s">
        <v>974</v>
      </c>
      <c r="AT73" s="103" t="s">
        <v>974</v>
      </c>
      <c r="AU73" s="103">
        <f t="shared" si="25"/>
        <v>94380</v>
      </c>
      <c r="AV73" s="158"/>
      <c r="AW73" s="156">
        <f t="shared" si="30"/>
        <v>94380</v>
      </c>
      <c r="AX73" s="121">
        <f t="shared" si="31"/>
        <v>94380</v>
      </c>
      <c r="AY73" s="163" t="s">
        <v>1073</v>
      </c>
      <c r="AZ73" s="160">
        <v>0</v>
      </c>
      <c r="BA73" s="138">
        <v>10</v>
      </c>
      <c r="BB73" s="138">
        <v>0</v>
      </c>
      <c r="BC73" s="139">
        <f t="shared" si="29"/>
        <v>10</v>
      </c>
      <c r="BD73" s="140">
        <f t="shared" si="32"/>
        <v>943800</v>
      </c>
    </row>
    <row r="74" spans="1:56" s="129" customFormat="1" ht="348.75" x14ac:dyDescent="0.2">
      <c r="A74" s="150">
        <v>10</v>
      </c>
      <c r="B74" s="148">
        <v>71</v>
      </c>
      <c r="C74" s="105">
        <v>42311511</v>
      </c>
      <c r="D74" s="106" t="s">
        <v>649</v>
      </c>
      <c r="E74" s="105" t="s">
        <v>852</v>
      </c>
      <c r="F74" s="105" t="s">
        <v>286</v>
      </c>
      <c r="G74" s="143" t="s">
        <v>978</v>
      </c>
      <c r="H74" s="143" t="s">
        <v>978</v>
      </c>
      <c r="I74" s="143" t="s">
        <v>978</v>
      </c>
      <c r="J74" s="104" t="s">
        <v>978</v>
      </c>
      <c r="K74" s="104" t="s">
        <v>978</v>
      </c>
      <c r="L74" s="104" t="s">
        <v>978</v>
      </c>
      <c r="M74" s="104" t="s">
        <v>978</v>
      </c>
      <c r="N74" s="104" t="s">
        <v>978</v>
      </c>
      <c r="O74" s="104" t="s">
        <v>978</v>
      </c>
      <c r="P74" s="104" t="s">
        <v>978</v>
      </c>
      <c r="Q74" s="104" t="s">
        <v>1012</v>
      </c>
      <c r="R74" s="104" t="s">
        <v>978</v>
      </c>
      <c r="S74" s="104" t="s">
        <v>978</v>
      </c>
      <c r="T74" s="104" t="s">
        <v>978</v>
      </c>
      <c r="U74" s="104" t="s">
        <v>978</v>
      </c>
      <c r="V74" s="104" t="s">
        <v>978</v>
      </c>
      <c r="W74" s="104" t="s">
        <v>978</v>
      </c>
      <c r="X74" s="104" t="s">
        <v>978</v>
      </c>
      <c r="Y74" s="104" t="s">
        <v>978</v>
      </c>
      <c r="Z74" s="104" t="s">
        <v>978</v>
      </c>
      <c r="AA74" s="104" t="s">
        <v>978</v>
      </c>
      <c r="AB74" s="104" t="s">
        <v>978</v>
      </c>
      <c r="AC74" s="104" t="s">
        <v>978</v>
      </c>
      <c r="AD74" s="104" t="s">
        <v>978</v>
      </c>
      <c r="AE74" s="104" t="s">
        <v>978</v>
      </c>
      <c r="AF74" s="104" t="s">
        <v>978</v>
      </c>
      <c r="AG74" s="104" t="s">
        <v>978</v>
      </c>
      <c r="AH74" s="104" t="s">
        <v>978</v>
      </c>
      <c r="AI74" s="104" t="s">
        <v>978</v>
      </c>
      <c r="AJ74" s="104" t="s">
        <v>978</v>
      </c>
      <c r="AK74" s="104" t="s">
        <v>978</v>
      </c>
      <c r="AL74" s="104" t="s">
        <v>978</v>
      </c>
      <c r="AM74" s="120" t="s">
        <v>978</v>
      </c>
      <c r="AN74" s="141">
        <v>64350</v>
      </c>
      <c r="AO74" s="119" t="s">
        <v>974</v>
      </c>
      <c r="AP74" s="103" t="s">
        <v>974</v>
      </c>
      <c r="AQ74" s="142">
        <v>48000</v>
      </c>
      <c r="AR74" s="103" t="s">
        <v>974</v>
      </c>
      <c r="AS74" s="103" t="s">
        <v>974</v>
      </c>
      <c r="AT74" s="103" t="s">
        <v>974</v>
      </c>
      <c r="AU74" s="103">
        <f t="shared" si="25"/>
        <v>48000</v>
      </c>
      <c r="AV74" s="158"/>
      <c r="AW74" s="156">
        <f t="shared" si="30"/>
        <v>48000</v>
      </c>
      <c r="AX74" s="121">
        <f t="shared" si="31"/>
        <v>48000</v>
      </c>
      <c r="AY74" s="163" t="s">
        <v>1073</v>
      </c>
      <c r="AZ74" s="160">
        <v>0</v>
      </c>
      <c r="BA74" s="138">
        <v>10</v>
      </c>
      <c r="BB74" s="138">
        <v>0</v>
      </c>
      <c r="BC74" s="139">
        <f t="shared" si="29"/>
        <v>10</v>
      </c>
      <c r="BD74" s="140">
        <f t="shared" si="32"/>
        <v>480000</v>
      </c>
    </row>
    <row r="75" spans="1:56" s="129" customFormat="1" ht="348.75" x14ac:dyDescent="0.2">
      <c r="A75" s="150">
        <v>10</v>
      </c>
      <c r="B75" s="148">
        <v>72</v>
      </c>
      <c r="C75" s="105">
        <v>42311511</v>
      </c>
      <c r="D75" s="106" t="s">
        <v>650</v>
      </c>
      <c r="E75" s="105" t="s">
        <v>852</v>
      </c>
      <c r="F75" s="105" t="s">
        <v>458</v>
      </c>
      <c r="G75" s="143" t="s">
        <v>978</v>
      </c>
      <c r="H75" s="143" t="s">
        <v>978</v>
      </c>
      <c r="I75" s="143" t="s">
        <v>978</v>
      </c>
      <c r="J75" s="104" t="s">
        <v>978</v>
      </c>
      <c r="K75" s="104" t="s">
        <v>978</v>
      </c>
      <c r="L75" s="104" t="s">
        <v>978</v>
      </c>
      <c r="M75" s="104" t="s">
        <v>978</v>
      </c>
      <c r="N75" s="104" t="s">
        <v>978</v>
      </c>
      <c r="O75" s="104" t="s">
        <v>978</v>
      </c>
      <c r="P75" s="104" t="s">
        <v>978</v>
      </c>
      <c r="Q75" s="104" t="s">
        <v>1012</v>
      </c>
      <c r="R75" s="104" t="s">
        <v>978</v>
      </c>
      <c r="S75" s="104" t="s">
        <v>978</v>
      </c>
      <c r="T75" s="104" t="s">
        <v>978</v>
      </c>
      <c r="U75" s="104" t="s">
        <v>978</v>
      </c>
      <c r="V75" s="104" t="s">
        <v>978</v>
      </c>
      <c r="W75" s="104" t="s">
        <v>978</v>
      </c>
      <c r="X75" s="104" t="s">
        <v>978</v>
      </c>
      <c r="Y75" s="104" t="s">
        <v>978</v>
      </c>
      <c r="Z75" s="104" t="s">
        <v>978</v>
      </c>
      <c r="AA75" s="104" t="s">
        <v>978</v>
      </c>
      <c r="AB75" s="104" t="s">
        <v>978</v>
      </c>
      <c r="AC75" s="104" t="s">
        <v>978</v>
      </c>
      <c r="AD75" s="104" t="s">
        <v>978</v>
      </c>
      <c r="AE75" s="104" t="s">
        <v>978</v>
      </c>
      <c r="AF75" s="104" t="s">
        <v>978</v>
      </c>
      <c r="AG75" s="104" t="s">
        <v>978</v>
      </c>
      <c r="AH75" s="104" t="s">
        <v>978</v>
      </c>
      <c r="AI75" s="104" t="s">
        <v>978</v>
      </c>
      <c r="AJ75" s="104" t="s">
        <v>978</v>
      </c>
      <c r="AK75" s="104" t="s">
        <v>978</v>
      </c>
      <c r="AL75" s="104" t="s">
        <v>978</v>
      </c>
      <c r="AM75" s="120" t="s">
        <v>978</v>
      </c>
      <c r="AN75" s="141">
        <f>61490*10</f>
        <v>614900</v>
      </c>
      <c r="AO75" s="119" t="s">
        <v>974</v>
      </c>
      <c r="AP75" s="103" t="s">
        <v>974</v>
      </c>
      <c r="AQ75" s="142">
        <f>33000*10</f>
        <v>330000</v>
      </c>
      <c r="AR75" s="103" t="s">
        <v>974</v>
      </c>
      <c r="AS75" s="103" t="s">
        <v>974</v>
      </c>
      <c r="AT75" s="103" t="s">
        <v>974</v>
      </c>
      <c r="AU75" s="103">
        <f t="shared" si="25"/>
        <v>330000</v>
      </c>
      <c r="AV75" s="158"/>
      <c r="AW75" s="156">
        <f>+AU75</f>
        <v>330000</v>
      </c>
      <c r="AX75" s="121">
        <f t="shared" si="31"/>
        <v>330000</v>
      </c>
      <c r="AY75" s="163" t="s">
        <v>1082</v>
      </c>
      <c r="AZ75" s="160">
        <v>0</v>
      </c>
      <c r="BA75" s="138">
        <v>10</v>
      </c>
      <c r="BB75" s="138">
        <v>0</v>
      </c>
      <c r="BC75" s="139">
        <f t="shared" si="29"/>
        <v>10</v>
      </c>
      <c r="BD75" s="140">
        <f t="shared" si="32"/>
        <v>3300000</v>
      </c>
    </row>
    <row r="76" spans="1:56" s="129" customFormat="1" ht="348.75" x14ac:dyDescent="0.2">
      <c r="A76" s="150">
        <v>10</v>
      </c>
      <c r="B76" s="148">
        <v>73</v>
      </c>
      <c r="C76" s="105">
        <v>42311506</v>
      </c>
      <c r="D76" s="106" t="s">
        <v>651</v>
      </c>
      <c r="E76" s="105" t="s">
        <v>852</v>
      </c>
      <c r="F76" s="105" t="s">
        <v>458</v>
      </c>
      <c r="G76" s="143" t="s">
        <v>978</v>
      </c>
      <c r="H76" s="143" t="s">
        <v>978</v>
      </c>
      <c r="I76" s="143" t="s">
        <v>978</v>
      </c>
      <c r="J76" s="104" t="s">
        <v>978</v>
      </c>
      <c r="K76" s="104" t="s">
        <v>978</v>
      </c>
      <c r="L76" s="104" t="s">
        <v>978</v>
      </c>
      <c r="M76" s="104" t="s">
        <v>978</v>
      </c>
      <c r="N76" s="104" t="s">
        <v>978</v>
      </c>
      <c r="O76" s="104" t="s">
        <v>978</v>
      </c>
      <c r="P76" s="104" t="s">
        <v>978</v>
      </c>
      <c r="Q76" s="104" t="s">
        <v>1012</v>
      </c>
      <c r="R76" s="104" t="s">
        <v>978</v>
      </c>
      <c r="S76" s="104" t="s">
        <v>978</v>
      </c>
      <c r="T76" s="104" t="s">
        <v>978</v>
      </c>
      <c r="U76" s="104" t="s">
        <v>978</v>
      </c>
      <c r="V76" s="104" t="s">
        <v>978</v>
      </c>
      <c r="W76" s="104" t="s">
        <v>978</v>
      </c>
      <c r="X76" s="104" t="s">
        <v>978</v>
      </c>
      <c r="Y76" s="104" t="s">
        <v>978</v>
      </c>
      <c r="Z76" s="104" t="s">
        <v>978</v>
      </c>
      <c r="AA76" s="104" t="s">
        <v>978</v>
      </c>
      <c r="AB76" s="104" t="s">
        <v>978</v>
      </c>
      <c r="AC76" s="104" t="s">
        <v>978</v>
      </c>
      <c r="AD76" s="104" t="s">
        <v>978</v>
      </c>
      <c r="AE76" s="104" t="s">
        <v>978</v>
      </c>
      <c r="AF76" s="104" t="s">
        <v>978</v>
      </c>
      <c r="AG76" s="104" t="s">
        <v>978</v>
      </c>
      <c r="AH76" s="104" t="s">
        <v>978</v>
      </c>
      <c r="AI76" s="104" t="s">
        <v>978</v>
      </c>
      <c r="AJ76" s="104" t="s">
        <v>978</v>
      </c>
      <c r="AK76" s="104" t="s">
        <v>978</v>
      </c>
      <c r="AL76" s="104" t="s">
        <v>978</v>
      </c>
      <c r="AM76" s="120" t="s">
        <v>978</v>
      </c>
      <c r="AN76" s="141">
        <f>60060*10</f>
        <v>600600</v>
      </c>
      <c r="AO76" s="119" t="s">
        <v>974</v>
      </c>
      <c r="AP76" s="103" t="s">
        <v>974</v>
      </c>
      <c r="AQ76" s="142">
        <f>28000*10</f>
        <v>280000</v>
      </c>
      <c r="AR76" s="103" t="s">
        <v>974</v>
      </c>
      <c r="AS76" s="103" t="s">
        <v>974</v>
      </c>
      <c r="AT76" s="103" t="s">
        <v>974</v>
      </c>
      <c r="AU76" s="103">
        <f t="shared" si="25"/>
        <v>280000</v>
      </c>
      <c r="AV76" s="158"/>
      <c r="AW76" s="156">
        <f>+AU76</f>
        <v>280000</v>
      </c>
      <c r="AX76" s="121">
        <f t="shared" si="31"/>
        <v>280000</v>
      </c>
      <c r="AY76" s="163" t="s">
        <v>1082</v>
      </c>
      <c r="AZ76" s="160">
        <v>0</v>
      </c>
      <c r="BA76" s="138">
        <v>10</v>
      </c>
      <c r="BB76" s="138">
        <v>0</v>
      </c>
      <c r="BC76" s="139">
        <f t="shared" si="29"/>
        <v>10</v>
      </c>
      <c r="BD76" s="140">
        <f t="shared" si="32"/>
        <v>2800000</v>
      </c>
    </row>
    <row r="77" spans="1:56" s="129" customFormat="1" ht="146.25" x14ac:dyDescent="0.2">
      <c r="A77" s="150">
        <v>10</v>
      </c>
      <c r="B77" s="148">
        <v>74</v>
      </c>
      <c r="C77" s="105">
        <v>42311510</v>
      </c>
      <c r="D77" s="106" t="s">
        <v>622</v>
      </c>
      <c r="E77" s="105" t="s">
        <v>1040</v>
      </c>
      <c r="F77" s="105" t="s">
        <v>548</v>
      </c>
      <c r="G77" s="143" t="s">
        <v>978</v>
      </c>
      <c r="H77" s="143" t="s">
        <v>978</v>
      </c>
      <c r="I77" s="143" t="s">
        <v>978</v>
      </c>
      <c r="J77" s="104" t="s">
        <v>978</v>
      </c>
      <c r="K77" s="104" t="s">
        <v>978</v>
      </c>
      <c r="L77" s="104" t="s">
        <v>978</v>
      </c>
      <c r="M77" s="104" t="s">
        <v>978</v>
      </c>
      <c r="N77" s="104" t="s">
        <v>978</v>
      </c>
      <c r="O77" s="104" t="s">
        <v>978</v>
      </c>
      <c r="P77" s="104" t="s">
        <v>978</v>
      </c>
      <c r="Q77" s="104" t="s">
        <v>1012</v>
      </c>
      <c r="R77" s="104" t="s">
        <v>978</v>
      </c>
      <c r="S77" s="104" t="s">
        <v>978</v>
      </c>
      <c r="T77" s="104" t="s">
        <v>978</v>
      </c>
      <c r="U77" s="104" t="s">
        <v>978</v>
      </c>
      <c r="V77" s="104" t="s">
        <v>978</v>
      </c>
      <c r="W77" s="104" t="s">
        <v>978</v>
      </c>
      <c r="X77" s="104" t="s">
        <v>978</v>
      </c>
      <c r="Y77" s="104" t="s">
        <v>978</v>
      </c>
      <c r="Z77" s="104" t="s">
        <v>978</v>
      </c>
      <c r="AA77" s="104" t="s">
        <v>978</v>
      </c>
      <c r="AB77" s="104" t="s">
        <v>978</v>
      </c>
      <c r="AC77" s="104" t="s">
        <v>978</v>
      </c>
      <c r="AD77" s="104" t="s">
        <v>978</v>
      </c>
      <c r="AE77" s="104" t="s">
        <v>978</v>
      </c>
      <c r="AF77" s="104" t="s">
        <v>978</v>
      </c>
      <c r="AG77" s="104" t="s">
        <v>978</v>
      </c>
      <c r="AH77" s="104" t="s">
        <v>978</v>
      </c>
      <c r="AI77" s="104" t="s">
        <v>978</v>
      </c>
      <c r="AJ77" s="104" t="s">
        <v>978</v>
      </c>
      <c r="AK77" s="104" t="s">
        <v>978</v>
      </c>
      <c r="AL77" s="104" t="s">
        <v>978</v>
      </c>
      <c r="AM77" s="120" t="s">
        <v>978</v>
      </c>
      <c r="AN77" s="141">
        <v>261690</v>
      </c>
      <c r="AO77" s="119" t="s">
        <v>974</v>
      </c>
      <c r="AP77" s="103" t="s">
        <v>974</v>
      </c>
      <c r="AQ77" s="142" t="s">
        <v>974</v>
      </c>
      <c r="AR77" s="103" t="s">
        <v>974</v>
      </c>
      <c r="AS77" s="103" t="s">
        <v>974</v>
      </c>
      <c r="AT77" s="103" t="s">
        <v>974</v>
      </c>
      <c r="AU77" s="103">
        <f t="shared" si="25"/>
        <v>261690</v>
      </c>
      <c r="AV77" s="158"/>
      <c r="AW77" s="156">
        <f>+AVERAGE(AL77,AU77)</f>
        <v>261690</v>
      </c>
      <c r="AX77" s="121">
        <f t="shared" si="31"/>
        <v>261690</v>
      </c>
      <c r="AY77" s="163" t="s">
        <v>1073</v>
      </c>
      <c r="AZ77" s="160">
        <v>0</v>
      </c>
      <c r="BA77" s="138">
        <v>10</v>
      </c>
      <c r="BB77" s="138">
        <v>0</v>
      </c>
      <c r="BC77" s="139">
        <f t="shared" si="29"/>
        <v>10</v>
      </c>
      <c r="BD77" s="140">
        <f t="shared" si="32"/>
        <v>2616900</v>
      </c>
    </row>
    <row r="78" spans="1:56" s="129" customFormat="1" ht="67.5" x14ac:dyDescent="0.2">
      <c r="A78" s="150">
        <v>10</v>
      </c>
      <c r="B78" s="148">
        <v>75</v>
      </c>
      <c r="C78" s="105">
        <v>42151660</v>
      </c>
      <c r="D78" s="106" t="s">
        <v>623</v>
      </c>
      <c r="E78" s="105" t="s">
        <v>1043</v>
      </c>
      <c r="F78" s="105" t="s">
        <v>286</v>
      </c>
      <c r="G78" s="143" t="s">
        <v>978</v>
      </c>
      <c r="H78" s="143" t="s">
        <v>978</v>
      </c>
      <c r="I78" s="143" t="s">
        <v>978</v>
      </c>
      <c r="J78" s="104" t="s">
        <v>978</v>
      </c>
      <c r="K78" s="104" t="s">
        <v>978</v>
      </c>
      <c r="L78" s="104" t="s">
        <v>978</v>
      </c>
      <c r="M78" s="104" t="s">
        <v>978</v>
      </c>
      <c r="N78" s="104" t="s">
        <v>978</v>
      </c>
      <c r="O78" s="104" t="s">
        <v>978</v>
      </c>
      <c r="P78" s="104" t="s">
        <v>978</v>
      </c>
      <c r="Q78" s="104" t="s">
        <v>1012</v>
      </c>
      <c r="R78" s="104" t="s">
        <v>978</v>
      </c>
      <c r="S78" s="104" t="s">
        <v>978</v>
      </c>
      <c r="T78" s="104" t="s">
        <v>978</v>
      </c>
      <c r="U78" s="104" t="s">
        <v>978</v>
      </c>
      <c r="V78" s="104" t="s">
        <v>978</v>
      </c>
      <c r="W78" s="104" t="s">
        <v>978</v>
      </c>
      <c r="X78" s="104" t="s">
        <v>978</v>
      </c>
      <c r="Y78" s="104" t="s">
        <v>978</v>
      </c>
      <c r="Z78" s="104" t="s">
        <v>978</v>
      </c>
      <c r="AA78" s="104" t="s">
        <v>978</v>
      </c>
      <c r="AB78" s="104" t="s">
        <v>978</v>
      </c>
      <c r="AC78" s="104" t="s">
        <v>978</v>
      </c>
      <c r="AD78" s="104" t="s">
        <v>978</v>
      </c>
      <c r="AE78" s="104" t="s">
        <v>978</v>
      </c>
      <c r="AF78" s="104" t="s">
        <v>978</v>
      </c>
      <c r="AG78" s="104" t="s">
        <v>978</v>
      </c>
      <c r="AH78" s="104" t="s">
        <v>978</v>
      </c>
      <c r="AI78" s="104" t="s">
        <v>978</v>
      </c>
      <c r="AJ78" s="104" t="s">
        <v>978</v>
      </c>
      <c r="AK78" s="104" t="s">
        <v>978</v>
      </c>
      <c r="AL78" s="104" t="s">
        <v>978</v>
      </c>
      <c r="AM78" s="120" t="s">
        <v>978</v>
      </c>
      <c r="AN78" s="141">
        <v>28600</v>
      </c>
      <c r="AO78" s="119" t="s">
        <v>974</v>
      </c>
      <c r="AP78" s="103" t="s">
        <v>974</v>
      </c>
      <c r="AQ78" s="142">
        <v>5500</v>
      </c>
      <c r="AR78" s="103" t="s">
        <v>974</v>
      </c>
      <c r="AS78" s="103" t="s">
        <v>974</v>
      </c>
      <c r="AT78" s="103" t="s">
        <v>974</v>
      </c>
      <c r="AU78" s="103">
        <f t="shared" si="25"/>
        <v>5500</v>
      </c>
      <c r="AV78" s="158"/>
      <c r="AW78" s="156">
        <f>+AVERAGE(AL78,AU78)</f>
        <v>5500</v>
      </c>
      <c r="AX78" s="121">
        <f t="shared" si="31"/>
        <v>5500</v>
      </c>
      <c r="AY78" s="163" t="s">
        <v>1073</v>
      </c>
      <c r="AZ78" s="160">
        <v>0</v>
      </c>
      <c r="BA78" s="138">
        <v>10</v>
      </c>
      <c r="BB78" s="138">
        <v>0</v>
      </c>
      <c r="BC78" s="139">
        <f t="shared" si="29"/>
        <v>10</v>
      </c>
      <c r="BD78" s="140">
        <f t="shared" si="32"/>
        <v>55000</v>
      </c>
    </row>
    <row r="79" spans="1:56" s="129" customFormat="1" ht="247.5" x14ac:dyDescent="0.2">
      <c r="A79" s="150">
        <v>10</v>
      </c>
      <c r="B79" s="148">
        <v>76</v>
      </c>
      <c r="C79" s="105">
        <v>42312504</v>
      </c>
      <c r="D79" s="106" t="s">
        <v>624</v>
      </c>
      <c r="E79" s="105" t="s">
        <v>853</v>
      </c>
      <c r="F79" s="105" t="s">
        <v>286</v>
      </c>
      <c r="G79" s="143" t="s">
        <v>978</v>
      </c>
      <c r="H79" s="143" t="s">
        <v>978</v>
      </c>
      <c r="I79" s="143" t="s">
        <v>978</v>
      </c>
      <c r="J79" s="104" t="s">
        <v>978</v>
      </c>
      <c r="K79" s="104" t="s">
        <v>978</v>
      </c>
      <c r="L79" s="104" t="s">
        <v>978</v>
      </c>
      <c r="M79" s="104" t="s">
        <v>978</v>
      </c>
      <c r="N79" s="104" t="s">
        <v>978</v>
      </c>
      <c r="O79" s="104" t="s">
        <v>978</v>
      </c>
      <c r="P79" s="104" t="s">
        <v>978</v>
      </c>
      <c r="Q79" s="104" t="s">
        <v>1012</v>
      </c>
      <c r="R79" s="104" t="s">
        <v>978</v>
      </c>
      <c r="S79" s="104" t="s">
        <v>978</v>
      </c>
      <c r="T79" s="104" t="s">
        <v>978</v>
      </c>
      <c r="U79" s="104" t="s">
        <v>978</v>
      </c>
      <c r="V79" s="104" t="s">
        <v>978</v>
      </c>
      <c r="W79" s="104" t="s">
        <v>978</v>
      </c>
      <c r="X79" s="104" t="s">
        <v>978</v>
      </c>
      <c r="Y79" s="104" t="s">
        <v>978</v>
      </c>
      <c r="Z79" s="104" t="s">
        <v>978</v>
      </c>
      <c r="AA79" s="104" t="s">
        <v>978</v>
      </c>
      <c r="AB79" s="104" t="s">
        <v>978</v>
      </c>
      <c r="AC79" s="104" t="s">
        <v>978</v>
      </c>
      <c r="AD79" s="104" t="s">
        <v>978</v>
      </c>
      <c r="AE79" s="104" t="s">
        <v>978</v>
      </c>
      <c r="AF79" s="104" t="s">
        <v>978</v>
      </c>
      <c r="AG79" s="104" t="s">
        <v>978</v>
      </c>
      <c r="AH79" s="104" t="s">
        <v>978</v>
      </c>
      <c r="AI79" s="104" t="s">
        <v>978</v>
      </c>
      <c r="AJ79" s="104" t="s">
        <v>978</v>
      </c>
      <c r="AK79" s="104" t="s">
        <v>978</v>
      </c>
      <c r="AL79" s="104" t="s">
        <v>978</v>
      </c>
      <c r="AM79" s="120" t="s">
        <v>978</v>
      </c>
      <c r="AN79" s="141">
        <v>51480</v>
      </c>
      <c r="AO79" s="119" t="s">
        <v>974</v>
      </c>
      <c r="AP79" s="103" t="s">
        <v>974</v>
      </c>
      <c r="AQ79" s="142" t="s">
        <v>974</v>
      </c>
      <c r="AR79" s="103" t="s">
        <v>974</v>
      </c>
      <c r="AS79" s="103" t="s">
        <v>974</v>
      </c>
      <c r="AT79" s="103" t="s">
        <v>974</v>
      </c>
      <c r="AU79" s="103">
        <f t="shared" si="25"/>
        <v>51480</v>
      </c>
      <c r="AV79" s="158"/>
      <c r="AW79" s="156">
        <f>+AVERAGE(AL79,AU79)</f>
        <v>51480</v>
      </c>
      <c r="AX79" s="121">
        <f t="shared" si="31"/>
        <v>51480</v>
      </c>
      <c r="AY79" s="163" t="s">
        <v>1073</v>
      </c>
      <c r="AZ79" s="160">
        <v>0</v>
      </c>
      <c r="BA79" s="138">
        <v>20</v>
      </c>
      <c r="BB79" s="138">
        <v>0</v>
      </c>
      <c r="BC79" s="139">
        <f t="shared" si="29"/>
        <v>20</v>
      </c>
      <c r="BD79" s="140">
        <f t="shared" si="32"/>
        <v>1029600</v>
      </c>
    </row>
    <row r="80" spans="1:56" s="129" customFormat="1" ht="146.25" x14ac:dyDescent="0.2">
      <c r="A80" s="150">
        <v>10</v>
      </c>
      <c r="B80" s="148">
        <v>77</v>
      </c>
      <c r="C80" s="105">
        <v>42311708</v>
      </c>
      <c r="D80" s="106" t="s">
        <v>652</v>
      </c>
      <c r="E80" s="105" t="s">
        <v>854</v>
      </c>
      <c r="F80" s="105" t="s">
        <v>286</v>
      </c>
      <c r="G80" s="143" t="s">
        <v>978</v>
      </c>
      <c r="H80" s="143" t="s">
        <v>978</v>
      </c>
      <c r="I80" s="143" t="s">
        <v>978</v>
      </c>
      <c r="J80" s="104" t="s">
        <v>978</v>
      </c>
      <c r="K80" s="104" t="s">
        <v>978</v>
      </c>
      <c r="L80" s="104" t="s">
        <v>978</v>
      </c>
      <c r="M80" s="104" t="s">
        <v>978</v>
      </c>
      <c r="N80" s="104" t="s">
        <v>978</v>
      </c>
      <c r="O80" s="104" t="s">
        <v>978</v>
      </c>
      <c r="P80" s="104" t="s">
        <v>978</v>
      </c>
      <c r="Q80" s="104" t="s">
        <v>1012</v>
      </c>
      <c r="R80" s="104" t="s">
        <v>978</v>
      </c>
      <c r="S80" s="104" t="s">
        <v>978</v>
      </c>
      <c r="T80" s="104" t="s">
        <v>978</v>
      </c>
      <c r="U80" s="104" t="s">
        <v>978</v>
      </c>
      <c r="V80" s="104" t="s">
        <v>978</v>
      </c>
      <c r="W80" s="104" t="s">
        <v>978</v>
      </c>
      <c r="X80" s="104" t="s">
        <v>978</v>
      </c>
      <c r="Y80" s="104" t="s">
        <v>978</v>
      </c>
      <c r="Z80" s="104" t="s">
        <v>978</v>
      </c>
      <c r="AA80" s="104" t="s">
        <v>978</v>
      </c>
      <c r="AB80" s="104" t="s">
        <v>978</v>
      </c>
      <c r="AC80" s="104" t="s">
        <v>978</v>
      </c>
      <c r="AD80" s="104" t="s">
        <v>978</v>
      </c>
      <c r="AE80" s="104" t="s">
        <v>978</v>
      </c>
      <c r="AF80" s="104" t="s">
        <v>978</v>
      </c>
      <c r="AG80" s="104" t="s">
        <v>978</v>
      </c>
      <c r="AH80" s="104" t="s">
        <v>978</v>
      </c>
      <c r="AI80" s="104" t="s">
        <v>978</v>
      </c>
      <c r="AJ80" s="104" t="s">
        <v>978</v>
      </c>
      <c r="AK80" s="104" t="s">
        <v>978</v>
      </c>
      <c r="AL80" s="104" t="s">
        <v>978</v>
      </c>
      <c r="AM80" s="120" t="s">
        <v>978</v>
      </c>
      <c r="AN80" s="141">
        <v>47190</v>
      </c>
      <c r="AO80" s="119" t="s">
        <v>974</v>
      </c>
      <c r="AP80" s="103">
        <v>25000</v>
      </c>
      <c r="AQ80" s="142">
        <v>48000</v>
      </c>
      <c r="AR80" s="103" t="s">
        <v>974</v>
      </c>
      <c r="AS80" s="103" t="s">
        <v>974</v>
      </c>
      <c r="AT80" s="103" t="s">
        <v>974</v>
      </c>
      <c r="AU80" s="103">
        <f t="shared" si="25"/>
        <v>25000</v>
      </c>
      <c r="AV80" s="158"/>
      <c r="AW80" s="156">
        <f>+AVERAGE(AL80,AU80)</f>
        <v>25000</v>
      </c>
      <c r="AX80" s="121">
        <f t="shared" si="31"/>
        <v>25000</v>
      </c>
      <c r="AY80" s="163" t="s">
        <v>1073</v>
      </c>
      <c r="AZ80" s="160">
        <v>0</v>
      </c>
      <c r="BA80" s="138">
        <v>10</v>
      </c>
      <c r="BB80" s="138">
        <v>0</v>
      </c>
      <c r="BC80" s="139">
        <f t="shared" si="29"/>
        <v>10</v>
      </c>
      <c r="BD80" s="140">
        <f t="shared" si="32"/>
        <v>250000</v>
      </c>
    </row>
    <row r="81" spans="1:56" s="129" customFormat="1" ht="168.75" x14ac:dyDescent="0.2">
      <c r="A81" s="150">
        <v>10</v>
      </c>
      <c r="B81" s="148">
        <v>78</v>
      </c>
      <c r="C81" s="105">
        <v>42132203</v>
      </c>
      <c r="D81" s="106" t="s">
        <v>653</v>
      </c>
      <c r="E81" s="105" t="s">
        <v>855</v>
      </c>
      <c r="F81" s="105" t="s">
        <v>299</v>
      </c>
      <c r="G81" s="143" t="s">
        <v>978</v>
      </c>
      <c r="H81" s="143" t="s">
        <v>978</v>
      </c>
      <c r="I81" s="143" t="s">
        <v>978</v>
      </c>
      <c r="J81" s="104" t="s">
        <v>978</v>
      </c>
      <c r="K81" s="104" t="s">
        <v>978</v>
      </c>
      <c r="L81" s="104" t="s">
        <v>978</v>
      </c>
      <c r="M81" s="104" t="s">
        <v>978</v>
      </c>
      <c r="N81" s="104" t="s">
        <v>978</v>
      </c>
      <c r="O81" s="104" t="s">
        <v>978</v>
      </c>
      <c r="P81" s="104">
        <v>200000</v>
      </c>
      <c r="Q81" s="104">
        <f>P81*(1+5.2%)*(1+5.1%)</f>
        <v>221130.4</v>
      </c>
      <c r="R81" s="104" t="s">
        <v>978</v>
      </c>
      <c r="S81" s="104" t="s">
        <v>978</v>
      </c>
      <c r="T81" s="104" t="s">
        <v>978</v>
      </c>
      <c r="U81" s="104" t="s">
        <v>978</v>
      </c>
      <c r="V81" s="104">
        <v>149780</v>
      </c>
      <c r="W81" s="104">
        <f>V81*(1+5.1%)</f>
        <v>157418.78</v>
      </c>
      <c r="X81" s="104" t="s">
        <v>978</v>
      </c>
      <c r="Y81" s="104" t="s">
        <v>978</v>
      </c>
      <c r="Z81" s="104" t="s">
        <v>978</v>
      </c>
      <c r="AA81" s="104" t="s">
        <v>978</v>
      </c>
      <c r="AB81" s="104">
        <v>87271</v>
      </c>
      <c r="AC81" s="104">
        <f>AB81*(1+5.1%)</f>
        <v>91721.820999999996</v>
      </c>
      <c r="AD81" s="104" t="s">
        <v>978</v>
      </c>
      <c r="AE81" s="104" t="s">
        <v>978</v>
      </c>
      <c r="AF81" s="104" t="s">
        <v>978</v>
      </c>
      <c r="AG81" s="104" t="s">
        <v>978</v>
      </c>
      <c r="AH81" s="104" t="s">
        <v>978</v>
      </c>
      <c r="AI81" s="104" t="s">
        <v>978</v>
      </c>
      <c r="AJ81" s="104" t="s">
        <v>978</v>
      </c>
      <c r="AK81" s="104" t="s">
        <v>978</v>
      </c>
      <c r="AL81" s="104">
        <f>+AVERAGE(K81,M81,O81,Q81,S81,U81,W81,Y81,AA81,AC81,AE81,AG81,AI81,AK81)</f>
        <v>156757.00033333333</v>
      </c>
      <c r="AM81" s="120" t="s">
        <v>978</v>
      </c>
      <c r="AN81" s="141">
        <v>429000</v>
      </c>
      <c r="AO81" s="119" t="s">
        <v>974</v>
      </c>
      <c r="AP81" s="103">
        <v>2500</v>
      </c>
      <c r="AQ81" s="142">
        <v>160000</v>
      </c>
      <c r="AR81" s="103" t="s">
        <v>974</v>
      </c>
      <c r="AS81" s="103" t="s">
        <v>974</v>
      </c>
      <c r="AT81" s="103" t="s">
        <v>974</v>
      </c>
      <c r="AU81" s="103">
        <f>+MIN(AN81,AQ81,AR81,AS81,AT81)</f>
        <v>160000</v>
      </c>
      <c r="AV81" s="158" t="s">
        <v>1076</v>
      </c>
      <c r="AW81" s="156">
        <f>+AVERAGE(AL81,AU81)</f>
        <v>158378.50016666666</v>
      </c>
      <c r="AX81" s="121">
        <f t="shared" si="31"/>
        <v>158379</v>
      </c>
      <c r="AY81" s="163" t="s">
        <v>1073</v>
      </c>
      <c r="AZ81" s="160">
        <v>0</v>
      </c>
      <c r="BA81" s="138">
        <v>25</v>
      </c>
      <c r="BB81" s="138">
        <v>0</v>
      </c>
      <c r="BC81" s="139">
        <f t="shared" si="29"/>
        <v>25</v>
      </c>
      <c r="BD81" s="140">
        <f t="shared" si="32"/>
        <v>3959475</v>
      </c>
    </row>
    <row r="82" spans="1:56" s="129" customFormat="1" ht="45" x14ac:dyDescent="0.2">
      <c r="A82" s="150">
        <v>10</v>
      </c>
      <c r="B82" s="148">
        <v>79</v>
      </c>
      <c r="C82" s="105">
        <v>42311512</v>
      </c>
      <c r="D82" s="112" t="s">
        <v>970</v>
      </c>
      <c r="E82" s="117" t="s">
        <v>970</v>
      </c>
      <c r="F82" s="107" t="s">
        <v>971</v>
      </c>
      <c r="G82" s="145" t="s">
        <v>978</v>
      </c>
      <c r="H82" s="145" t="s">
        <v>978</v>
      </c>
      <c r="I82" s="145" t="s">
        <v>978</v>
      </c>
      <c r="J82" s="104">
        <f>10072*2</f>
        <v>20144</v>
      </c>
      <c r="K82" s="104">
        <f>J82*(1+5.2%)*(1+5.1%)</f>
        <v>22272.253887999999</v>
      </c>
      <c r="L82" s="104" t="s">
        <v>978</v>
      </c>
      <c r="M82" s="104" t="s">
        <v>978</v>
      </c>
      <c r="N82" s="104" t="s">
        <v>978</v>
      </c>
      <c r="O82" s="104" t="s">
        <v>978</v>
      </c>
      <c r="P82" s="104" t="s">
        <v>978</v>
      </c>
      <c r="Q82" s="104" t="s">
        <v>1012</v>
      </c>
      <c r="R82" s="104" t="s">
        <v>978</v>
      </c>
      <c r="S82" s="104" t="s">
        <v>978</v>
      </c>
      <c r="T82" s="104" t="s">
        <v>978</v>
      </c>
      <c r="U82" s="104" t="s">
        <v>978</v>
      </c>
      <c r="V82" s="104" t="s">
        <v>978</v>
      </c>
      <c r="W82" s="104" t="s">
        <v>978</v>
      </c>
      <c r="X82" s="104" t="s">
        <v>978</v>
      </c>
      <c r="Y82" s="104" t="s">
        <v>978</v>
      </c>
      <c r="Z82" s="104" t="s">
        <v>978</v>
      </c>
      <c r="AA82" s="104" t="s">
        <v>978</v>
      </c>
      <c r="AB82" s="104" t="s">
        <v>978</v>
      </c>
      <c r="AC82" s="104" t="s">
        <v>978</v>
      </c>
      <c r="AD82" s="104" t="s">
        <v>978</v>
      </c>
      <c r="AE82" s="104" t="s">
        <v>978</v>
      </c>
      <c r="AF82" s="104" t="s">
        <v>978</v>
      </c>
      <c r="AG82" s="104" t="s">
        <v>978</v>
      </c>
      <c r="AH82" s="104" t="s">
        <v>978</v>
      </c>
      <c r="AI82" s="104" t="s">
        <v>978</v>
      </c>
      <c r="AJ82" s="104" t="s">
        <v>978</v>
      </c>
      <c r="AK82" s="104" t="s">
        <v>978</v>
      </c>
      <c r="AL82" s="104">
        <f>+AVERAGE(K82,M82,O82,Q82,S82,U82,W82,Y82,AA82,AC82,AE82,AG82,AI82,AK82)</f>
        <v>22272.253887999999</v>
      </c>
      <c r="AM82" s="120" t="s">
        <v>978</v>
      </c>
      <c r="AN82" s="103">
        <v>70000</v>
      </c>
      <c r="AO82" s="119" t="s">
        <v>974</v>
      </c>
      <c r="AP82" s="103" t="s">
        <v>974</v>
      </c>
      <c r="AQ82" s="142">
        <f>800*100</f>
        <v>80000</v>
      </c>
      <c r="AR82" s="103" t="s">
        <v>974</v>
      </c>
      <c r="AS82" s="103" t="s">
        <v>974</v>
      </c>
      <c r="AT82" s="103" t="s">
        <v>974</v>
      </c>
      <c r="AU82" s="103">
        <f t="shared" ref="AU82:AU113" si="33">+MIN(AN82:AT82)</f>
        <v>70000</v>
      </c>
      <c r="AV82" s="158"/>
      <c r="AW82" s="156">
        <f>+AVERAGE(I82,AL82,AM82,AU82)</f>
        <v>46136.126944000003</v>
      </c>
      <c r="AX82" s="121">
        <f>+ROUND(AW82,0)</f>
        <v>46136</v>
      </c>
      <c r="AY82" s="163" t="s">
        <v>1085</v>
      </c>
      <c r="AZ82" s="160">
        <v>100</v>
      </c>
      <c r="BA82" s="138">
        <v>30</v>
      </c>
      <c r="BB82" s="138">
        <v>0</v>
      </c>
      <c r="BC82" s="139">
        <f>+AZ82+BA82+BB82</f>
        <v>130</v>
      </c>
      <c r="BD82" s="140">
        <f t="shared" si="32"/>
        <v>5997680</v>
      </c>
    </row>
    <row r="83" spans="1:56" s="129" customFormat="1" ht="168" customHeight="1" x14ac:dyDescent="0.2">
      <c r="A83" s="150">
        <v>10</v>
      </c>
      <c r="B83" s="148">
        <v>80</v>
      </c>
      <c r="C83" s="105">
        <v>42132203</v>
      </c>
      <c r="D83" s="106" t="s">
        <v>625</v>
      </c>
      <c r="E83" s="105" t="s">
        <v>856</v>
      </c>
      <c r="F83" s="105" t="s">
        <v>302</v>
      </c>
      <c r="G83" s="143">
        <v>9880</v>
      </c>
      <c r="H83" s="143" t="s">
        <v>978</v>
      </c>
      <c r="I83" s="143">
        <f>+AVERAGE(G83:H83)</f>
        <v>9880</v>
      </c>
      <c r="J83" s="104" t="s">
        <v>978</v>
      </c>
      <c r="K83" s="104" t="s">
        <v>978</v>
      </c>
      <c r="L83" s="104" t="s">
        <v>978</v>
      </c>
      <c r="M83" s="104" t="s">
        <v>978</v>
      </c>
      <c r="N83" s="104" t="s">
        <v>978</v>
      </c>
      <c r="O83" s="104" t="s">
        <v>978</v>
      </c>
      <c r="P83" s="104" t="s">
        <v>978</v>
      </c>
      <c r="Q83" s="104" t="s">
        <v>1012</v>
      </c>
      <c r="R83" s="104" t="s">
        <v>978</v>
      </c>
      <c r="S83" s="104" t="s">
        <v>978</v>
      </c>
      <c r="T83" s="104" t="s">
        <v>978</v>
      </c>
      <c r="U83" s="104" t="s">
        <v>978</v>
      </c>
      <c r="V83" s="104" t="s">
        <v>978</v>
      </c>
      <c r="W83" s="104" t="s">
        <v>978</v>
      </c>
      <c r="X83" s="104" t="s">
        <v>978</v>
      </c>
      <c r="Y83" s="104" t="s">
        <v>978</v>
      </c>
      <c r="Z83" s="104" t="s">
        <v>978</v>
      </c>
      <c r="AA83" s="104" t="s">
        <v>978</v>
      </c>
      <c r="AB83" s="104">
        <v>5588</v>
      </c>
      <c r="AC83" s="104">
        <f>AB83*(1+5.1%)</f>
        <v>5872.9879999999994</v>
      </c>
      <c r="AD83" s="104" t="s">
        <v>978</v>
      </c>
      <c r="AE83" s="104" t="s">
        <v>978</v>
      </c>
      <c r="AF83" s="104" t="s">
        <v>978</v>
      </c>
      <c r="AG83" s="104" t="s">
        <v>978</v>
      </c>
      <c r="AH83" s="104" t="s">
        <v>978</v>
      </c>
      <c r="AI83" s="104" t="s">
        <v>978</v>
      </c>
      <c r="AJ83" s="104" t="s">
        <v>978</v>
      </c>
      <c r="AK83" s="104" t="s">
        <v>978</v>
      </c>
      <c r="AL83" s="104">
        <f>+AVERAGE(K83,M83,O83,Q83,S83,U83,W83,Y83,AA83,AC83,AE83,AG83,AI83,AK83)</f>
        <v>5872.9879999999994</v>
      </c>
      <c r="AM83" s="120">
        <v>12500</v>
      </c>
      <c r="AN83" s="103">
        <v>17160</v>
      </c>
      <c r="AO83" s="103">
        <v>10313.333333333334</v>
      </c>
      <c r="AP83" s="103">
        <v>18000</v>
      </c>
      <c r="AQ83" s="103">
        <v>18000</v>
      </c>
      <c r="AR83" s="103" t="s">
        <v>974</v>
      </c>
      <c r="AS83" s="103" t="s">
        <v>974</v>
      </c>
      <c r="AT83" s="103" t="s">
        <v>974</v>
      </c>
      <c r="AU83" s="103">
        <f t="shared" si="33"/>
        <v>10313.333333333334</v>
      </c>
      <c r="AV83" s="158"/>
      <c r="AW83" s="156">
        <f>+AVERAGE(AL83,AU83,I83)</f>
        <v>8688.7737777777784</v>
      </c>
      <c r="AX83" s="121">
        <f>+ROUND(AW83,0)</f>
        <v>8689</v>
      </c>
      <c r="AY83" s="163" t="s">
        <v>1079</v>
      </c>
      <c r="AZ83" s="160">
        <v>30</v>
      </c>
      <c r="BA83" s="138">
        <v>200</v>
      </c>
      <c r="BB83" s="138">
        <v>0</v>
      </c>
      <c r="BC83" s="139">
        <f>+AZ83+BA83+BB83</f>
        <v>230</v>
      </c>
      <c r="BD83" s="140">
        <f t="shared" si="32"/>
        <v>1998470</v>
      </c>
    </row>
    <row r="84" spans="1:56" s="129" customFormat="1" ht="24" customHeight="1" x14ac:dyDescent="0.2">
      <c r="A84" s="150">
        <v>10</v>
      </c>
      <c r="B84" s="148">
        <v>81</v>
      </c>
      <c r="C84" s="105">
        <v>42201708</v>
      </c>
      <c r="D84" s="106" t="s">
        <v>597</v>
      </c>
      <c r="E84" s="105" t="s">
        <v>806</v>
      </c>
      <c r="F84" s="105" t="s">
        <v>596</v>
      </c>
      <c r="G84" s="145" t="s">
        <v>978</v>
      </c>
      <c r="H84" s="145" t="s">
        <v>978</v>
      </c>
      <c r="I84" s="145" t="s">
        <v>978</v>
      </c>
      <c r="J84" s="104" t="s">
        <v>978</v>
      </c>
      <c r="K84" s="104" t="s">
        <v>978</v>
      </c>
      <c r="L84" s="104" t="s">
        <v>978</v>
      </c>
      <c r="M84" s="104" t="s">
        <v>978</v>
      </c>
      <c r="N84" s="104" t="s">
        <v>978</v>
      </c>
      <c r="O84" s="104" t="s">
        <v>978</v>
      </c>
      <c r="P84" s="104">
        <v>6856</v>
      </c>
      <c r="Q84" s="104">
        <f>P84*(1+5.2%)*(1+5.1%)</f>
        <v>7580.3501120000001</v>
      </c>
      <c r="R84" s="104" t="s">
        <v>978</v>
      </c>
      <c r="S84" s="104" t="s">
        <v>978</v>
      </c>
      <c r="T84" s="104" t="s">
        <v>978</v>
      </c>
      <c r="U84" s="104" t="s">
        <v>978</v>
      </c>
      <c r="V84" s="104">
        <v>6097</v>
      </c>
      <c r="W84" s="104">
        <f>V84*(1+5.1%)</f>
        <v>6407.9469999999992</v>
      </c>
      <c r="X84" s="104" t="s">
        <v>978</v>
      </c>
      <c r="Y84" s="104" t="s">
        <v>978</v>
      </c>
      <c r="Z84" s="104" t="s">
        <v>978</v>
      </c>
      <c r="AA84" s="104" t="s">
        <v>978</v>
      </c>
      <c r="AB84" s="104">
        <v>4336</v>
      </c>
      <c r="AC84" s="104">
        <f>AB84*(1+5.1%)</f>
        <v>4557.1359999999995</v>
      </c>
      <c r="AD84" s="104" t="s">
        <v>978</v>
      </c>
      <c r="AE84" s="104" t="s">
        <v>978</v>
      </c>
      <c r="AF84" s="104" t="s">
        <v>978</v>
      </c>
      <c r="AG84" s="104" t="s">
        <v>978</v>
      </c>
      <c r="AH84" s="104" t="s">
        <v>978</v>
      </c>
      <c r="AI84" s="104" t="s">
        <v>978</v>
      </c>
      <c r="AJ84" s="104" t="s">
        <v>978</v>
      </c>
      <c r="AK84" s="104" t="s">
        <v>978</v>
      </c>
      <c r="AL84" s="104">
        <f>+AVERAGE(K84,M84,O84,Q84,S84,U84,W84,Y84,AA84,AC84,AE84,AG84,AI84,AK84)</f>
        <v>6181.8110373333329</v>
      </c>
      <c r="AM84" s="120">
        <v>6800</v>
      </c>
      <c r="AN84" s="103">
        <v>11440</v>
      </c>
      <c r="AO84" s="103" t="s">
        <v>974</v>
      </c>
      <c r="AP84" s="103" t="s">
        <v>974</v>
      </c>
      <c r="AQ84" s="103">
        <v>8000</v>
      </c>
      <c r="AR84" s="103" t="s">
        <v>974</v>
      </c>
      <c r="AS84" s="103" t="s">
        <v>974</v>
      </c>
      <c r="AT84" s="103" t="s">
        <v>974</v>
      </c>
      <c r="AU84" s="103">
        <f t="shared" si="33"/>
        <v>8000</v>
      </c>
      <c r="AV84" s="158"/>
      <c r="AW84" s="156">
        <f>+AVERAGE(AL84,AU84,AM84)</f>
        <v>6993.937012444444</v>
      </c>
      <c r="AX84" s="121">
        <f>+ROUND(AW84,0)</f>
        <v>6994</v>
      </c>
      <c r="AY84" s="163" t="s">
        <v>1075</v>
      </c>
      <c r="AZ84" s="160">
        <v>150</v>
      </c>
      <c r="BA84" s="138">
        <v>70</v>
      </c>
      <c r="BB84" s="138">
        <v>20</v>
      </c>
      <c r="BC84" s="139">
        <f>+AZ84+BA84+BB84</f>
        <v>240</v>
      </c>
      <c r="BD84" s="140">
        <f t="shared" si="32"/>
        <v>1678560</v>
      </c>
    </row>
    <row r="85" spans="1:56" s="129" customFormat="1" ht="120" customHeight="1" x14ac:dyDescent="0.2">
      <c r="A85" s="150">
        <v>10</v>
      </c>
      <c r="B85" s="148">
        <v>82</v>
      </c>
      <c r="C85" s="105">
        <v>42311513</v>
      </c>
      <c r="D85" s="106" t="s">
        <v>654</v>
      </c>
      <c r="E85" s="105" t="s">
        <v>857</v>
      </c>
      <c r="F85" s="105" t="s">
        <v>628</v>
      </c>
      <c r="G85" s="145" t="s">
        <v>978</v>
      </c>
      <c r="H85" s="145" t="s">
        <v>978</v>
      </c>
      <c r="I85" s="145" t="s">
        <v>978</v>
      </c>
      <c r="J85" s="104" t="s">
        <v>978</v>
      </c>
      <c r="K85" s="104" t="s">
        <v>978</v>
      </c>
      <c r="L85" s="104" t="s">
        <v>978</v>
      </c>
      <c r="M85" s="104" t="s">
        <v>978</v>
      </c>
      <c r="N85" s="104" t="s">
        <v>978</v>
      </c>
      <c r="O85" s="104" t="s">
        <v>978</v>
      </c>
      <c r="P85" s="104" t="s">
        <v>978</v>
      </c>
      <c r="Q85" s="104" t="s">
        <v>1012</v>
      </c>
      <c r="R85" s="104" t="s">
        <v>978</v>
      </c>
      <c r="S85" s="104" t="s">
        <v>978</v>
      </c>
      <c r="T85" s="104" t="s">
        <v>978</v>
      </c>
      <c r="U85" s="104" t="s">
        <v>978</v>
      </c>
      <c r="V85" s="104" t="s">
        <v>978</v>
      </c>
      <c r="W85" s="104" t="s">
        <v>978</v>
      </c>
      <c r="X85" s="104" t="s">
        <v>978</v>
      </c>
      <c r="Y85" s="104" t="s">
        <v>978</v>
      </c>
      <c r="Z85" s="104" t="s">
        <v>978</v>
      </c>
      <c r="AA85" s="104" t="s">
        <v>978</v>
      </c>
      <c r="AB85" s="104" t="s">
        <v>978</v>
      </c>
      <c r="AC85" s="104" t="s">
        <v>978</v>
      </c>
      <c r="AD85" s="104" t="s">
        <v>978</v>
      </c>
      <c r="AE85" s="104" t="s">
        <v>978</v>
      </c>
      <c r="AF85" s="104" t="s">
        <v>978</v>
      </c>
      <c r="AG85" s="104" t="s">
        <v>978</v>
      </c>
      <c r="AH85" s="104" t="s">
        <v>978</v>
      </c>
      <c r="AI85" s="104" t="s">
        <v>978</v>
      </c>
      <c r="AJ85" s="104" t="s">
        <v>978</v>
      </c>
      <c r="AK85" s="104" t="s">
        <v>978</v>
      </c>
      <c r="AL85" s="104" t="s">
        <v>978</v>
      </c>
      <c r="AM85" s="120" t="s">
        <v>978</v>
      </c>
      <c r="AN85" s="103">
        <v>110110</v>
      </c>
      <c r="AO85" s="103" t="s">
        <v>974</v>
      </c>
      <c r="AP85" s="103" t="s">
        <v>974</v>
      </c>
      <c r="AQ85" s="103">
        <v>120000</v>
      </c>
      <c r="AR85" s="103" t="s">
        <v>974</v>
      </c>
      <c r="AS85" s="103" t="s">
        <v>974</v>
      </c>
      <c r="AT85" s="103" t="s">
        <v>974</v>
      </c>
      <c r="AU85" s="103">
        <f t="shared" si="33"/>
        <v>110110</v>
      </c>
      <c r="AV85" s="158"/>
      <c r="AW85" s="156">
        <f>+AVERAGE(AL85,AU85)</f>
        <v>110110</v>
      </c>
      <c r="AX85" s="121">
        <f t="shared" ref="AX85:AX91" si="34">+ROUND(AW85,0)</f>
        <v>110110</v>
      </c>
      <c r="AY85" s="163" t="s">
        <v>1073</v>
      </c>
      <c r="AZ85" s="160">
        <v>0</v>
      </c>
      <c r="BA85" s="138">
        <v>20</v>
      </c>
      <c r="BB85" s="138">
        <v>0</v>
      </c>
      <c r="BC85" s="139">
        <f>+BA85+BB85</f>
        <v>20</v>
      </c>
      <c r="BD85" s="140">
        <f t="shared" si="32"/>
        <v>2202200</v>
      </c>
    </row>
    <row r="86" spans="1:56" s="129" customFormat="1" ht="409.5" x14ac:dyDescent="0.2">
      <c r="A86" s="150">
        <v>10</v>
      </c>
      <c r="B86" s="148">
        <v>83</v>
      </c>
      <c r="C86" s="105">
        <v>42311513</v>
      </c>
      <c r="D86" s="106" t="s">
        <v>626</v>
      </c>
      <c r="E86" s="105" t="s">
        <v>858</v>
      </c>
      <c r="F86" s="105" t="s">
        <v>629</v>
      </c>
      <c r="G86" s="145" t="s">
        <v>978</v>
      </c>
      <c r="H86" s="145" t="s">
        <v>978</v>
      </c>
      <c r="I86" s="145" t="s">
        <v>978</v>
      </c>
      <c r="J86" s="104" t="s">
        <v>978</v>
      </c>
      <c r="K86" s="104" t="s">
        <v>978</v>
      </c>
      <c r="L86" s="104" t="s">
        <v>978</v>
      </c>
      <c r="M86" s="104" t="s">
        <v>978</v>
      </c>
      <c r="N86" s="104" t="s">
        <v>978</v>
      </c>
      <c r="O86" s="104" t="s">
        <v>978</v>
      </c>
      <c r="P86" s="104" t="s">
        <v>978</v>
      </c>
      <c r="Q86" s="104" t="s">
        <v>1012</v>
      </c>
      <c r="R86" s="104" t="s">
        <v>978</v>
      </c>
      <c r="S86" s="104" t="s">
        <v>978</v>
      </c>
      <c r="T86" s="104" t="s">
        <v>978</v>
      </c>
      <c r="U86" s="104" t="s">
        <v>978</v>
      </c>
      <c r="V86" s="104" t="s">
        <v>978</v>
      </c>
      <c r="W86" s="104" t="s">
        <v>978</v>
      </c>
      <c r="X86" s="104" t="s">
        <v>978</v>
      </c>
      <c r="Y86" s="104" t="s">
        <v>978</v>
      </c>
      <c r="Z86" s="104" t="s">
        <v>978</v>
      </c>
      <c r="AA86" s="104" t="s">
        <v>978</v>
      </c>
      <c r="AB86" s="104" t="s">
        <v>978</v>
      </c>
      <c r="AC86" s="104" t="s">
        <v>978</v>
      </c>
      <c r="AD86" s="104" t="s">
        <v>978</v>
      </c>
      <c r="AE86" s="104" t="s">
        <v>978</v>
      </c>
      <c r="AF86" s="104" t="s">
        <v>978</v>
      </c>
      <c r="AG86" s="104" t="s">
        <v>978</v>
      </c>
      <c r="AH86" s="104" t="s">
        <v>978</v>
      </c>
      <c r="AI86" s="104" t="s">
        <v>978</v>
      </c>
      <c r="AJ86" s="104" t="s">
        <v>978</v>
      </c>
      <c r="AK86" s="104" t="s">
        <v>978</v>
      </c>
      <c r="AL86" s="104" t="s">
        <v>978</v>
      </c>
      <c r="AM86" s="120" t="s">
        <v>978</v>
      </c>
      <c r="AN86" s="103">
        <v>175890</v>
      </c>
      <c r="AO86" s="103" t="s">
        <v>974</v>
      </c>
      <c r="AP86" s="103" t="s">
        <v>974</v>
      </c>
      <c r="AQ86" s="103">
        <v>148000</v>
      </c>
      <c r="AR86" s="103" t="s">
        <v>974</v>
      </c>
      <c r="AS86" s="103" t="s">
        <v>974</v>
      </c>
      <c r="AT86" s="103" t="s">
        <v>974</v>
      </c>
      <c r="AU86" s="103">
        <f t="shared" si="33"/>
        <v>148000</v>
      </c>
      <c r="AV86" s="158"/>
      <c r="AW86" s="156">
        <f>+AVERAGE(AL86,AU86)</f>
        <v>148000</v>
      </c>
      <c r="AX86" s="121">
        <f t="shared" si="34"/>
        <v>148000</v>
      </c>
      <c r="AY86" s="163" t="s">
        <v>1073</v>
      </c>
      <c r="AZ86" s="160">
        <v>0</v>
      </c>
      <c r="BA86" s="138">
        <v>20</v>
      </c>
      <c r="BB86" s="138">
        <v>0</v>
      </c>
      <c r="BC86" s="139">
        <f>+BA86+BB86</f>
        <v>20</v>
      </c>
      <c r="BD86" s="140">
        <f t="shared" si="32"/>
        <v>2960000</v>
      </c>
    </row>
    <row r="87" spans="1:56" s="129" customFormat="1" ht="22.5" x14ac:dyDescent="0.2">
      <c r="A87" s="150">
        <v>10</v>
      </c>
      <c r="B87" s="148">
        <v>84</v>
      </c>
      <c r="C87" s="105">
        <v>42181715</v>
      </c>
      <c r="D87" s="106" t="s">
        <v>599</v>
      </c>
      <c r="E87" s="105" t="s">
        <v>807</v>
      </c>
      <c r="F87" s="107" t="s">
        <v>598</v>
      </c>
      <c r="G87" s="145" t="s">
        <v>978</v>
      </c>
      <c r="H87" s="145" t="s">
        <v>978</v>
      </c>
      <c r="I87" s="145" t="s">
        <v>978</v>
      </c>
      <c r="J87" s="104" t="s">
        <v>978</v>
      </c>
      <c r="K87" s="104" t="s">
        <v>978</v>
      </c>
      <c r="L87" s="104" t="s">
        <v>978</v>
      </c>
      <c r="M87" s="104" t="s">
        <v>978</v>
      </c>
      <c r="N87" s="104" t="s">
        <v>978</v>
      </c>
      <c r="O87" s="104" t="s">
        <v>978</v>
      </c>
      <c r="P87" s="104" t="s">
        <v>978</v>
      </c>
      <c r="Q87" s="104" t="s">
        <v>1012</v>
      </c>
      <c r="R87" s="104" t="s">
        <v>978</v>
      </c>
      <c r="S87" s="104" t="s">
        <v>978</v>
      </c>
      <c r="T87" s="104" t="s">
        <v>978</v>
      </c>
      <c r="U87" s="104" t="s">
        <v>978</v>
      </c>
      <c r="V87" s="104" t="s">
        <v>978</v>
      </c>
      <c r="W87" s="104" t="s">
        <v>978</v>
      </c>
      <c r="X87" s="104" t="s">
        <v>978</v>
      </c>
      <c r="Y87" s="104" t="s">
        <v>978</v>
      </c>
      <c r="Z87" s="104" t="s">
        <v>978</v>
      </c>
      <c r="AA87" s="104" t="s">
        <v>978</v>
      </c>
      <c r="AB87" s="104" t="s">
        <v>978</v>
      </c>
      <c r="AC87" s="104" t="s">
        <v>978</v>
      </c>
      <c r="AD87" s="104" t="s">
        <v>978</v>
      </c>
      <c r="AE87" s="104" t="s">
        <v>978</v>
      </c>
      <c r="AF87" s="104" t="s">
        <v>978</v>
      </c>
      <c r="AG87" s="104" t="s">
        <v>978</v>
      </c>
      <c r="AH87" s="104" t="s">
        <v>978</v>
      </c>
      <c r="AI87" s="104" t="s">
        <v>978</v>
      </c>
      <c r="AJ87" s="104" t="s">
        <v>978</v>
      </c>
      <c r="AK87" s="104" t="s">
        <v>978</v>
      </c>
      <c r="AL87" s="104" t="s">
        <v>978</v>
      </c>
      <c r="AM87" s="120" t="s">
        <v>978</v>
      </c>
      <c r="AN87" s="103">
        <v>178750</v>
      </c>
      <c r="AO87" s="103" t="s">
        <v>974</v>
      </c>
      <c r="AP87" s="103" t="s">
        <v>974</v>
      </c>
      <c r="AQ87" s="103">
        <v>225000</v>
      </c>
      <c r="AR87" s="103" t="s">
        <v>974</v>
      </c>
      <c r="AS87" s="103" t="s">
        <v>974</v>
      </c>
      <c r="AT87" s="103" t="s">
        <v>974</v>
      </c>
      <c r="AU87" s="103">
        <f t="shared" si="33"/>
        <v>178750</v>
      </c>
      <c r="AV87" s="158"/>
      <c r="AW87" s="156">
        <f>+AVERAGE(AL87,AU87)</f>
        <v>178750</v>
      </c>
      <c r="AX87" s="121">
        <f t="shared" si="34"/>
        <v>178750</v>
      </c>
      <c r="AY87" s="163" t="s">
        <v>1073</v>
      </c>
      <c r="AZ87" s="160">
        <v>1</v>
      </c>
      <c r="BA87" s="138">
        <v>0</v>
      </c>
      <c r="BB87" s="138">
        <v>0</v>
      </c>
      <c r="BC87" s="139">
        <f t="shared" ref="BC87:BC97" si="35">+AZ87+BA87+BB87</f>
        <v>1</v>
      </c>
      <c r="BD87" s="140">
        <f t="shared" si="32"/>
        <v>178750</v>
      </c>
    </row>
    <row r="88" spans="1:56" s="129" customFormat="1" ht="24.75" customHeight="1" x14ac:dyDescent="0.2">
      <c r="A88" s="150">
        <v>10</v>
      </c>
      <c r="B88" s="148">
        <v>85</v>
      </c>
      <c r="C88" s="105">
        <v>11121802</v>
      </c>
      <c r="D88" s="106" t="s">
        <v>601</v>
      </c>
      <c r="E88" s="105" t="s">
        <v>815</v>
      </c>
      <c r="F88" s="105" t="s">
        <v>600</v>
      </c>
      <c r="G88" s="145" t="s">
        <v>978</v>
      </c>
      <c r="H88" s="145" t="s">
        <v>978</v>
      </c>
      <c r="I88" s="145" t="s">
        <v>978</v>
      </c>
      <c r="J88" s="104" t="s">
        <v>978</v>
      </c>
      <c r="K88" s="104" t="s">
        <v>978</v>
      </c>
      <c r="L88" s="104" t="s">
        <v>978</v>
      </c>
      <c r="M88" s="104" t="s">
        <v>978</v>
      </c>
      <c r="N88" s="104" t="s">
        <v>978</v>
      </c>
      <c r="O88" s="104" t="s">
        <v>978</v>
      </c>
      <c r="P88" s="104">
        <v>22004</v>
      </c>
      <c r="Q88" s="104">
        <f>P88*(1+5.2%)*(1+5.1%)</f>
        <v>24328.766608000002</v>
      </c>
      <c r="R88" s="104" t="s">
        <v>978</v>
      </c>
      <c r="S88" s="104" t="s">
        <v>978</v>
      </c>
      <c r="T88" s="104" t="s">
        <v>978</v>
      </c>
      <c r="U88" s="104" t="s">
        <v>978</v>
      </c>
      <c r="V88" s="104">
        <v>20657</v>
      </c>
      <c r="W88" s="104">
        <f t="shared" ref="W88:W90" si="36">V88*(1+5.1%)</f>
        <v>21710.506999999998</v>
      </c>
      <c r="X88" s="104" t="s">
        <v>978</v>
      </c>
      <c r="Y88" s="104" t="s">
        <v>978</v>
      </c>
      <c r="Z88" s="104" t="s">
        <v>978</v>
      </c>
      <c r="AA88" s="104" t="s">
        <v>978</v>
      </c>
      <c r="AB88" s="104">
        <v>3335</v>
      </c>
      <c r="AC88" s="104">
        <f>AB88*(1+5.1%)</f>
        <v>3505.0849999999996</v>
      </c>
      <c r="AD88" s="104" t="s">
        <v>978</v>
      </c>
      <c r="AE88" s="104" t="s">
        <v>978</v>
      </c>
      <c r="AF88" s="104" t="s">
        <v>978</v>
      </c>
      <c r="AG88" s="104" t="s">
        <v>978</v>
      </c>
      <c r="AH88" s="104" t="s">
        <v>978</v>
      </c>
      <c r="AI88" s="104" t="s">
        <v>978</v>
      </c>
      <c r="AJ88" s="104" t="s">
        <v>978</v>
      </c>
      <c r="AK88" s="104" t="s">
        <v>978</v>
      </c>
      <c r="AL88" s="104">
        <f t="shared" ref="AL88:AL90" si="37">+AVERAGE(K88,M88,O88,Q88,S88,U88,W88,Y88,AA88,AC88,AE88,AG88,AI88,AK88)</f>
        <v>16514.786202666666</v>
      </c>
      <c r="AM88" s="120">
        <v>29900</v>
      </c>
      <c r="AN88" s="103">
        <v>41470</v>
      </c>
      <c r="AO88" s="103" t="s">
        <v>974</v>
      </c>
      <c r="AP88" s="103" t="s">
        <v>974</v>
      </c>
      <c r="AQ88" s="103">
        <v>38000</v>
      </c>
      <c r="AR88" s="103" t="s">
        <v>974</v>
      </c>
      <c r="AS88" s="103" t="s">
        <v>974</v>
      </c>
      <c r="AT88" s="103" t="s">
        <v>974</v>
      </c>
      <c r="AU88" s="103">
        <f t="shared" si="33"/>
        <v>38000</v>
      </c>
      <c r="AV88" s="158"/>
      <c r="AW88" s="156">
        <f>+AVERAGE(AL88,AU88,I88,AM88)</f>
        <v>28138.262067555555</v>
      </c>
      <c r="AX88" s="121">
        <f t="shared" si="34"/>
        <v>28138</v>
      </c>
      <c r="AY88" s="163" t="s">
        <v>1085</v>
      </c>
      <c r="AZ88" s="160">
        <v>12</v>
      </c>
      <c r="BA88" s="138">
        <v>20</v>
      </c>
      <c r="BB88" s="138">
        <v>0</v>
      </c>
      <c r="BC88" s="139">
        <f t="shared" si="35"/>
        <v>32</v>
      </c>
      <c r="BD88" s="140">
        <f t="shared" si="32"/>
        <v>900416</v>
      </c>
    </row>
    <row r="89" spans="1:56" s="129" customFormat="1" ht="24" customHeight="1" x14ac:dyDescent="0.2">
      <c r="A89" s="150">
        <v>10</v>
      </c>
      <c r="B89" s="148">
        <v>86</v>
      </c>
      <c r="C89" s="105">
        <v>42262008</v>
      </c>
      <c r="D89" s="106" t="s">
        <v>603</v>
      </c>
      <c r="E89" s="105" t="s">
        <v>805</v>
      </c>
      <c r="F89" s="105" t="s">
        <v>602</v>
      </c>
      <c r="G89" s="145" t="s">
        <v>978</v>
      </c>
      <c r="H89" s="145" t="s">
        <v>978</v>
      </c>
      <c r="I89" s="145" t="s">
        <v>978</v>
      </c>
      <c r="J89" s="104" t="s">
        <v>978</v>
      </c>
      <c r="K89" s="104" t="s">
        <v>978</v>
      </c>
      <c r="L89" s="104" t="s">
        <v>978</v>
      </c>
      <c r="M89" s="104" t="s">
        <v>978</v>
      </c>
      <c r="N89" s="104" t="s">
        <v>978</v>
      </c>
      <c r="O89" s="104" t="s">
        <v>978</v>
      </c>
      <c r="P89" s="104">
        <v>164934</v>
      </c>
      <c r="Q89" s="104">
        <f>P89*(1+5.2%)*(1+5.1%)</f>
        <v>182359.60696799998</v>
      </c>
      <c r="R89" s="104" t="s">
        <v>978</v>
      </c>
      <c r="S89" s="104" t="s">
        <v>978</v>
      </c>
      <c r="T89" s="104" t="s">
        <v>978</v>
      </c>
      <c r="U89" s="104" t="s">
        <v>978</v>
      </c>
      <c r="V89" s="104">
        <v>11293</v>
      </c>
      <c r="W89" s="104">
        <f t="shared" si="36"/>
        <v>11868.942999999999</v>
      </c>
      <c r="X89" s="104" t="s">
        <v>978</v>
      </c>
      <c r="Y89" s="104" t="s">
        <v>978</v>
      </c>
      <c r="Z89" s="104" t="s">
        <v>978</v>
      </c>
      <c r="AA89" s="104" t="s">
        <v>978</v>
      </c>
      <c r="AB89" s="104" t="s">
        <v>978</v>
      </c>
      <c r="AC89" s="104" t="s">
        <v>978</v>
      </c>
      <c r="AD89" s="104" t="s">
        <v>978</v>
      </c>
      <c r="AE89" s="104" t="s">
        <v>978</v>
      </c>
      <c r="AF89" s="104" t="s">
        <v>978</v>
      </c>
      <c r="AG89" s="104" t="s">
        <v>978</v>
      </c>
      <c r="AH89" s="104" t="s">
        <v>978</v>
      </c>
      <c r="AI89" s="104" t="s">
        <v>978</v>
      </c>
      <c r="AJ89" s="104" t="s">
        <v>978</v>
      </c>
      <c r="AK89" s="104" t="s">
        <v>978</v>
      </c>
      <c r="AL89" s="104">
        <f t="shared" si="37"/>
        <v>97114.274983999989</v>
      </c>
      <c r="AM89" s="120">
        <v>9757</v>
      </c>
      <c r="AN89" s="103">
        <v>68640</v>
      </c>
      <c r="AO89" s="103" t="s">
        <v>974</v>
      </c>
      <c r="AP89" s="103" t="s">
        <v>974</v>
      </c>
      <c r="AQ89" s="103">
        <v>10000</v>
      </c>
      <c r="AR89" s="103" t="s">
        <v>974</v>
      </c>
      <c r="AS89" s="103" t="s">
        <v>974</v>
      </c>
      <c r="AT89" s="103" t="s">
        <v>974</v>
      </c>
      <c r="AU89" s="103">
        <f t="shared" si="33"/>
        <v>10000</v>
      </c>
      <c r="AV89" s="158"/>
      <c r="AW89" s="156">
        <f>+AVERAGE(AU89,AM89)</f>
        <v>9878.5</v>
      </c>
      <c r="AX89" s="121">
        <f>+ROUND(AW89,0)</f>
        <v>9879</v>
      </c>
      <c r="AY89" s="163" t="s">
        <v>1080</v>
      </c>
      <c r="AZ89" s="160">
        <v>5</v>
      </c>
      <c r="BA89" s="138">
        <v>0</v>
      </c>
      <c r="BB89" s="138">
        <v>0</v>
      </c>
      <c r="BC89" s="139">
        <f t="shared" si="35"/>
        <v>5</v>
      </c>
      <c r="BD89" s="140">
        <f t="shared" si="32"/>
        <v>49395</v>
      </c>
    </row>
    <row r="90" spans="1:56" s="129" customFormat="1" ht="36.75" customHeight="1" x14ac:dyDescent="0.2">
      <c r="A90" s="150">
        <v>10</v>
      </c>
      <c r="B90" s="148">
        <v>87</v>
      </c>
      <c r="C90" s="105">
        <v>42221803</v>
      </c>
      <c r="D90" s="106" t="s">
        <v>859</v>
      </c>
      <c r="E90" s="105" t="s">
        <v>860</v>
      </c>
      <c r="F90" s="105" t="s">
        <v>605</v>
      </c>
      <c r="G90" s="145" t="s">
        <v>978</v>
      </c>
      <c r="H90" s="145" t="s">
        <v>978</v>
      </c>
      <c r="I90" s="145" t="s">
        <v>978</v>
      </c>
      <c r="J90" s="104" t="s">
        <v>978</v>
      </c>
      <c r="K90" s="104" t="s">
        <v>978</v>
      </c>
      <c r="L90" s="104" t="s">
        <v>978</v>
      </c>
      <c r="M90" s="104" t="s">
        <v>978</v>
      </c>
      <c r="N90" s="104" t="s">
        <v>978</v>
      </c>
      <c r="O90" s="104" t="s">
        <v>978</v>
      </c>
      <c r="P90" s="104" t="s">
        <v>978</v>
      </c>
      <c r="Q90" s="104" t="s">
        <v>1012</v>
      </c>
      <c r="R90" s="104" t="s">
        <v>978</v>
      </c>
      <c r="S90" s="104" t="s">
        <v>978</v>
      </c>
      <c r="T90" s="104" t="s">
        <v>978</v>
      </c>
      <c r="U90" s="104" t="s">
        <v>978</v>
      </c>
      <c r="V90" s="104">
        <v>70370</v>
      </c>
      <c r="W90" s="104">
        <f t="shared" si="36"/>
        <v>73958.87</v>
      </c>
      <c r="X90" s="104" t="s">
        <v>978</v>
      </c>
      <c r="Y90" s="104" t="s">
        <v>978</v>
      </c>
      <c r="Z90" s="104" t="s">
        <v>978</v>
      </c>
      <c r="AA90" s="104" t="s">
        <v>978</v>
      </c>
      <c r="AB90" s="104">
        <v>63776</v>
      </c>
      <c r="AC90" s="104">
        <f>AB90*(1+5.1%)</f>
        <v>67028.576000000001</v>
      </c>
      <c r="AD90" s="104" t="s">
        <v>978</v>
      </c>
      <c r="AE90" s="104" t="s">
        <v>978</v>
      </c>
      <c r="AF90" s="104" t="s">
        <v>978</v>
      </c>
      <c r="AG90" s="104" t="s">
        <v>978</v>
      </c>
      <c r="AH90" s="104" t="s">
        <v>978</v>
      </c>
      <c r="AI90" s="104" t="s">
        <v>978</v>
      </c>
      <c r="AJ90" s="104" t="s">
        <v>978</v>
      </c>
      <c r="AK90" s="104" t="s">
        <v>978</v>
      </c>
      <c r="AL90" s="104">
        <f t="shared" si="37"/>
        <v>70493.722999999998</v>
      </c>
      <c r="AM90" s="120" t="s">
        <v>978</v>
      </c>
      <c r="AN90" s="103">
        <v>111540</v>
      </c>
      <c r="AO90" s="103" t="s">
        <v>974</v>
      </c>
      <c r="AP90" s="103" t="s">
        <v>974</v>
      </c>
      <c r="AQ90" s="103">
        <v>89800</v>
      </c>
      <c r="AR90" s="103" t="s">
        <v>974</v>
      </c>
      <c r="AS90" s="103" t="s">
        <v>974</v>
      </c>
      <c r="AT90" s="103" t="s">
        <v>974</v>
      </c>
      <c r="AU90" s="103">
        <f t="shared" si="33"/>
        <v>89800</v>
      </c>
      <c r="AV90" s="158"/>
      <c r="AW90" s="156">
        <f>+AVERAGE(AL90,AU90)</f>
        <v>80146.861499999999</v>
      </c>
      <c r="AX90" s="121">
        <f t="shared" si="34"/>
        <v>80147</v>
      </c>
      <c r="AY90" s="163" t="s">
        <v>1073</v>
      </c>
      <c r="AZ90" s="160">
        <v>9</v>
      </c>
      <c r="BA90" s="138">
        <v>0</v>
      </c>
      <c r="BB90" s="138">
        <v>0</v>
      </c>
      <c r="BC90" s="139">
        <f t="shared" si="35"/>
        <v>9</v>
      </c>
      <c r="BD90" s="140">
        <f t="shared" si="32"/>
        <v>721323</v>
      </c>
    </row>
    <row r="91" spans="1:56" s="129" customFormat="1" ht="36" customHeight="1" x14ac:dyDescent="0.2">
      <c r="A91" s="150">
        <v>10</v>
      </c>
      <c r="B91" s="148">
        <v>88</v>
      </c>
      <c r="C91" s="105">
        <v>51241217</v>
      </c>
      <c r="D91" s="106" t="s">
        <v>483</v>
      </c>
      <c r="E91" s="105" t="s">
        <v>861</v>
      </c>
      <c r="F91" s="107" t="s">
        <v>556</v>
      </c>
      <c r="G91" s="145" t="s">
        <v>978</v>
      </c>
      <c r="H91" s="145" t="s">
        <v>978</v>
      </c>
      <c r="I91" s="145" t="s">
        <v>978</v>
      </c>
      <c r="J91" s="104" t="s">
        <v>978</v>
      </c>
      <c r="K91" s="104" t="s">
        <v>978</v>
      </c>
      <c r="L91" s="104" t="s">
        <v>978</v>
      </c>
      <c r="M91" s="104" t="s">
        <v>978</v>
      </c>
      <c r="N91" s="104" t="s">
        <v>978</v>
      </c>
      <c r="O91" s="104" t="s">
        <v>978</v>
      </c>
      <c r="P91" s="104" t="s">
        <v>978</v>
      </c>
      <c r="Q91" s="104" t="s">
        <v>1012</v>
      </c>
      <c r="R91" s="104" t="s">
        <v>978</v>
      </c>
      <c r="S91" s="104" t="s">
        <v>978</v>
      </c>
      <c r="T91" s="104" t="s">
        <v>978</v>
      </c>
      <c r="U91" s="104" t="s">
        <v>978</v>
      </c>
      <c r="V91" s="104" t="s">
        <v>978</v>
      </c>
      <c r="W91" s="104" t="s">
        <v>978</v>
      </c>
      <c r="X91" s="104" t="s">
        <v>978</v>
      </c>
      <c r="Y91" s="104" t="s">
        <v>978</v>
      </c>
      <c r="Z91" s="104" t="s">
        <v>978</v>
      </c>
      <c r="AA91" s="104" t="s">
        <v>978</v>
      </c>
      <c r="AB91" s="104" t="s">
        <v>978</v>
      </c>
      <c r="AC91" s="104" t="s">
        <v>978</v>
      </c>
      <c r="AD91" s="104" t="s">
        <v>978</v>
      </c>
      <c r="AE91" s="104" t="s">
        <v>978</v>
      </c>
      <c r="AF91" s="104" t="s">
        <v>978</v>
      </c>
      <c r="AG91" s="104" t="s">
        <v>978</v>
      </c>
      <c r="AH91" s="104" t="s">
        <v>978</v>
      </c>
      <c r="AI91" s="104" t="s">
        <v>978</v>
      </c>
      <c r="AJ91" s="104" t="s">
        <v>978</v>
      </c>
      <c r="AK91" s="104" t="s">
        <v>978</v>
      </c>
      <c r="AL91" s="104" t="s">
        <v>978</v>
      </c>
      <c r="AM91" s="120">
        <v>395000</v>
      </c>
      <c r="AN91" s="103">
        <v>929500</v>
      </c>
      <c r="AO91" s="103" t="s">
        <v>974</v>
      </c>
      <c r="AP91" s="103" t="s">
        <v>974</v>
      </c>
      <c r="AQ91" s="103">
        <v>575000</v>
      </c>
      <c r="AR91" s="103" t="s">
        <v>974</v>
      </c>
      <c r="AS91" s="103" t="s">
        <v>974</v>
      </c>
      <c r="AT91" s="103" t="s">
        <v>974</v>
      </c>
      <c r="AU91" s="103">
        <f t="shared" si="33"/>
        <v>575000</v>
      </c>
      <c r="AV91" s="158"/>
      <c r="AW91" s="156">
        <f>+AVERAGE(AM91,AU91)</f>
        <v>485000</v>
      </c>
      <c r="AX91" s="121">
        <f t="shared" si="34"/>
        <v>485000</v>
      </c>
      <c r="AY91" s="163" t="s">
        <v>1085</v>
      </c>
      <c r="AZ91" s="160">
        <v>48</v>
      </c>
      <c r="BA91" s="138">
        <v>38</v>
      </c>
      <c r="BB91" s="138">
        <v>0</v>
      </c>
      <c r="BC91" s="139">
        <f t="shared" si="35"/>
        <v>86</v>
      </c>
      <c r="BD91" s="140">
        <f t="shared" si="32"/>
        <v>41710000</v>
      </c>
    </row>
    <row r="92" spans="1:56" s="129" customFormat="1" ht="36.75" customHeight="1" x14ac:dyDescent="0.2">
      <c r="A92" s="150">
        <v>11</v>
      </c>
      <c r="B92" s="148">
        <v>89</v>
      </c>
      <c r="C92" s="105">
        <v>42141507</v>
      </c>
      <c r="D92" s="106" t="s">
        <v>297</v>
      </c>
      <c r="E92" s="105" t="s">
        <v>740</v>
      </c>
      <c r="F92" s="105" t="s">
        <v>288</v>
      </c>
      <c r="G92" s="145">
        <v>7600</v>
      </c>
      <c r="H92" s="145" t="s">
        <v>978</v>
      </c>
      <c r="I92" s="145">
        <f>+AVERAGE(G92:H92)</f>
        <v>7600</v>
      </c>
      <c r="J92" s="104">
        <v>6514</v>
      </c>
      <c r="K92" s="104">
        <f>J92*(1+5.2%)*(1+5.1%)</f>
        <v>7202.2171279999993</v>
      </c>
      <c r="L92" s="104" t="s">
        <v>978</v>
      </c>
      <c r="M92" s="104" t="s">
        <v>978</v>
      </c>
      <c r="N92" s="104" t="s">
        <v>978</v>
      </c>
      <c r="O92" s="104" t="s">
        <v>978</v>
      </c>
      <c r="P92" s="104">
        <v>7425</v>
      </c>
      <c r="Q92" s="104">
        <f>P92*(1+5.2%)*(1+5.1%)</f>
        <v>8209.4660999999996</v>
      </c>
      <c r="R92" s="104" t="s">
        <v>978</v>
      </c>
      <c r="S92" s="104" t="s">
        <v>978</v>
      </c>
      <c r="T92" s="104" t="s">
        <v>978</v>
      </c>
      <c r="U92" s="104" t="s">
        <v>978</v>
      </c>
      <c r="V92" s="104">
        <v>5214</v>
      </c>
      <c r="W92" s="104">
        <f t="shared" ref="W92:W95" si="38">V92*(1+5.1%)</f>
        <v>5479.9139999999998</v>
      </c>
      <c r="X92" s="104" t="s">
        <v>978</v>
      </c>
      <c r="Y92" s="104" t="s">
        <v>978</v>
      </c>
      <c r="Z92" s="104" t="s">
        <v>978</v>
      </c>
      <c r="AA92" s="104" t="s">
        <v>978</v>
      </c>
      <c r="AB92" s="104">
        <v>4160</v>
      </c>
      <c r="AC92" s="104">
        <f t="shared" ref="AC92:AC98" si="39">AB92*(1+5.1%)</f>
        <v>4372.16</v>
      </c>
      <c r="AD92" s="104" t="s">
        <v>978</v>
      </c>
      <c r="AE92" s="104" t="s">
        <v>978</v>
      </c>
      <c r="AF92" s="104">
        <v>6174</v>
      </c>
      <c r="AG92" s="104">
        <f>AF92*(1+5.1%)</f>
        <v>6488.8739999999998</v>
      </c>
      <c r="AH92" s="104" t="s">
        <v>978</v>
      </c>
      <c r="AI92" s="104" t="s">
        <v>978</v>
      </c>
      <c r="AJ92" s="104" t="s">
        <v>978</v>
      </c>
      <c r="AK92" s="104" t="s">
        <v>978</v>
      </c>
      <c r="AL92" s="104">
        <f t="shared" ref="AL92:AL100" si="40">+AVERAGE(K92,M92,O92,Q92,S92,U92,W92,Y92,AA92,AC92,AE92,AG92,AI92,AK92)</f>
        <v>6350.5262456</v>
      </c>
      <c r="AM92" s="120">
        <v>9000</v>
      </c>
      <c r="AN92" s="103">
        <v>13585</v>
      </c>
      <c r="AO92" s="103" t="s">
        <v>974</v>
      </c>
      <c r="AP92" s="103">
        <v>10000</v>
      </c>
      <c r="AQ92" s="103">
        <v>9000</v>
      </c>
      <c r="AR92" s="103">
        <v>11453.75</v>
      </c>
      <c r="AS92" s="103">
        <v>8415</v>
      </c>
      <c r="AT92" s="103">
        <v>9200</v>
      </c>
      <c r="AU92" s="103">
        <f t="shared" si="33"/>
        <v>8415</v>
      </c>
      <c r="AV92" s="158"/>
      <c r="AW92" s="156">
        <f>+AVERAGE(I92,AL92,AU92)</f>
        <v>7455.1754151999994</v>
      </c>
      <c r="AX92" s="121">
        <f t="shared" ref="AX92" si="41">+ROUND(AW92,0)</f>
        <v>7455</v>
      </c>
      <c r="AY92" s="163" t="s">
        <v>1079</v>
      </c>
      <c r="AZ92" s="160">
        <v>0</v>
      </c>
      <c r="BA92" s="138">
        <v>86</v>
      </c>
      <c r="BB92" s="138">
        <v>0</v>
      </c>
      <c r="BC92" s="139">
        <f t="shared" si="35"/>
        <v>86</v>
      </c>
      <c r="BD92" s="140">
        <f t="shared" si="32"/>
        <v>641130</v>
      </c>
    </row>
    <row r="93" spans="1:56" s="129" customFormat="1" ht="36.75" customHeight="1" x14ac:dyDescent="0.2">
      <c r="A93" s="150">
        <v>11</v>
      </c>
      <c r="B93" s="148">
        <v>90</v>
      </c>
      <c r="C93" s="105">
        <v>42281704</v>
      </c>
      <c r="D93" s="106" t="s">
        <v>581</v>
      </c>
      <c r="E93" s="105" t="s">
        <v>862</v>
      </c>
      <c r="F93" s="105" t="s">
        <v>580</v>
      </c>
      <c r="G93" s="145" t="s">
        <v>978</v>
      </c>
      <c r="H93" s="145" t="s">
        <v>978</v>
      </c>
      <c r="I93" s="145" t="s">
        <v>978</v>
      </c>
      <c r="J93" s="104" t="s">
        <v>978</v>
      </c>
      <c r="K93" s="104" t="s">
        <v>978</v>
      </c>
      <c r="L93" s="104" t="s">
        <v>978</v>
      </c>
      <c r="M93" s="104" t="s">
        <v>978</v>
      </c>
      <c r="N93" s="104" t="s">
        <v>978</v>
      </c>
      <c r="O93" s="104" t="s">
        <v>978</v>
      </c>
      <c r="P93" s="104" t="s">
        <v>978</v>
      </c>
      <c r="Q93" s="104" t="s">
        <v>1012</v>
      </c>
      <c r="R93" s="104" t="s">
        <v>978</v>
      </c>
      <c r="S93" s="104" t="s">
        <v>978</v>
      </c>
      <c r="T93" s="104" t="s">
        <v>978</v>
      </c>
      <c r="U93" s="104" t="s">
        <v>978</v>
      </c>
      <c r="V93" s="104" t="s">
        <v>978</v>
      </c>
      <c r="W93" s="104" t="s">
        <v>978</v>
      </c>
      <c r="X93" s="104">
        <v>61192</v>
      </c>
      <c r="Y93" s="104">
        <f>X93*(1+5.1%)</f>
        <v>64312.791999999994</v>
      </c>
      <c r="Z93" s="104" t="s">
        <v>978</v>
      </c>
      <c r="AA93" s="104" t="s">
        <v>978</v>
      </c>
      <c r="AB93" s="104">
        <v>46643</v>
      </c>
      <c r="AC93" s="104">
        <f t="shared" si="39"/>
        <v>49021.792999999998</v>
      </c>
      <c r="AD93" s="104" t="s">
        <v>978</v>
      </c>
      <c r="AE93" s="104" t="s">
        <v>978</v>
      </c>
      <c r="AF93" s="104">
        <v>46643</v>
      </c>
      <c r="AG93" s="104">
        <f>AF93*(1+5.1%)</f>
        <v>49021.792999999998</v>
      </c>
      <c r="AH93" s="104" t="s">
        <v>978</v>
      </c>
      <c r="AI93" s="104" t="s">
        <v>978</v>
      </c>
      <c r="AJ93" s="104" t="s">
        <v>978</v>
      </c>
      <c r="AK93" s="104" t="s">
        <v>978</v>
      </c>
      <c r="AL93" s="104">
        <f t="shared" si="40"/>
        <v>54118.792666666668</v>
      </c>
      <c r="AM93" s="120">
        <v>69900</v>
      </c>
      <c r="AN93" s="103">
        <v>104390</v>
      </c>
      <c r="AO93" s="103" t="s">
        <v>974</v>
      </c>
      <c r="AP93" s="103" t="s">
        <v>974</v>
      </c>
      <c r="AQ93" s="103">
        <v>105000</v>
      </c>
      <c r="AR93" s="103" t="s">
        <v>974</v>
      </c>
      <c r="AS93" s="103" t="s">
        <v>974</v>
      </c>
      <c r="AT93" s="103" t="s">
        <v>974</v>
      </c>
      <c r="AU93" s="103">
        <f t="shared" si="33"/>
        <v>104390</v>
      </c>
      <c r="AV93" s="158"/>
      <c r="AW93" s="156">
        <f>+AVERAGE(AL93,AU93,AM93)</f>
        <v>76136.26422222222</v>
      </c>
      <c r="AX93" s="121">
        <f t="shared" ref="AX93:AX98" si="42">+ROUND(AW93,0)</f>
        <v>76136</v>
      </c>
      <c r="AY93" s="163" t="s">
        <v>1085</v>
      </c>
      <c r="AZ93" s="160">
        <v>140</v>
      </c>
      <c r="BA93" s="138">
        <v>28</v>
      </c>
      <c r="BB93" s="138">
        <v>0</v>
      </c>
      <c r="BC93" s="139">
        <f t="shared" si="35"/>
        <v>168</v>
      </c>
      <c r="BD93" s="140">
        <f t="shared" si="32"/>
        <v>12790848</v>
      </c>
    </row>
    <row r="94" spans="1:56" s="129" customFormat="1" ht="36" customHeight="1" x14ac:dyDescent="0.2">
      <c r="A94" s="150">
        <v>11</v>
      </c>
      <c r="B94" s="148">
        <v>91</v>
      </c>
      <c r="C94" s="105">
        <v>42281704</v>
      </c>
      <c r="D94" s="106" t="s">
        <v>583</v>
      </c>
      <c r="E94" s="105" t="s">
        <v>863</v>
      </c>
      <c r="F94" s="105" t="s">
        <v>582</v>
      </c>
      <c r="G94" s="145" t="s">
        <v>978</v>
      </c>
      <c r="H94" s="145" t="s">
        <v>978</v>
      </c>
      <c r="I94" s="145" t="s">
        <v>978</v>
      </c>
      <c r="J94" s="104" t="s">
        <v>978</v>
      </c>
      <c r="K94" s="104" t="s">
        <v>978</v>
      </c>
      <c r="L94" s="104" t="s">
        <v>978</v>
      </c>
      <c r="M94" s="104" t="s">
        <v>978</v>
      </c>
      <c r="N94" s="104" t="s">
        <v>978</v>
      </c>
      <c r="O94" s="104" t="s">
        <v>978</v>
      </c>
      <c r="P94" s="104" t="s">
        <v>978</v>
      </c>
      <c r="Q94" s="104" t="s">
        <v>1012</v>
      </c>
      <c r="R94" s="104" t="s">
        <v>978</v>
      </c>
      <c r="S94" s="104" t="s">
        <v>978</v>
      </c>
      <c r="T94" s="104" t="s">
        <v>978</v>
      </c>
      <c r="U94" s="104" t="s">
        <v>978</v>
      </c>
      <c r="V94" s="104" t="s">
        <v>978</v>
      </c>
      <c r="W94" s="104" t="s">
        <v>978</v>
      </c>
      <c r="X94" s="104">
        <v>67498</v>
      </c>
      <c r="Y94" s="104">
        <f>X94*(1+5.1%)</f>
        <v>70940.398000000001</v>
      </c>
      <c r="Z94" s="104" t="s">
        <v>978</v>
      </c>
      <c r="AA94" s="104" t="s">
        <v>978</v>
      </c>
      <c r="AB94" s="104" t="s">
        <v>978</v>
      </c>
      <c r="AC94" s="104" t="s">
        <v>978</v>
      </c>
      <c r="AD94" s="104" t="s">
        <v>978</v>
      </c>
      <c r="AE94" s="104" t="s">
        <v>978</v>
      </c>
      <c r="AF94" s="104" t="s">
        <v>978</v>
      </c>
      <c r="AG94" s="104" t="s">
        <v>978</v>
      </c>
      <c r="AH94" s="104" t="s">
        <v>978</v>
      </c>
      <c r="AI94" s="104" t="s">
        <v>978</v>
      </c>
      <c r="AJ94" s="104" t="s">
        <v>978</v>
      </c>
      <c r="AK94" s="104" t="s">
        <v>978</v>
      </c>
      <c r="AL94" s="104">
        <f t="shared" si="40"/>
        <v>70940.398000000001</v>
      </c>
      <c r="AM94" s="120" t="s">
        <v>978</v>
      </c>
      <c r="AN94" s="103">
        <v>80080</v>
      </c>
      <c r="AO94" s="103" t="s">
        <v>974</v>
      </c>
      <c r="AP94" s="103" t="s">
        <v>974</v>
      </c>
      <c r="AQ94" s="103">
        <v>185000</v>
      </c>
      <c r="AR94" s="103" t="s">
        <v>974</v>
      </c>
      <c r="AS94" s="103" t="s">
        <v>974</v>
      </c>
      <c r="AT94" s="103" t="s">
        <v>974</v>
      </c>
      <c r="AU94" s="103">
        <f t="shared" si="33"/>
        <v>80080</v>
      </c>
      <c r="AV94" s="158"/>
      <c r="AW94" s="156">
        <f>+AVERAGE(AL94,AU94)</f>
        <v>75510.198999999993</v>
      </c>
      <c r="AX94" s="121">
        <f t="shared" si="42"/>
        <v>75510</v>
      </c>
      <c r="AY94" s="163" t="s">
        <v>1073</v>
      </c>
      <c r="AZ94" s="160">
        <v>10</v>
      </c>
      <c r="BA94" s="138">
        <v>0</v>
      </c>
      <c r="BB94" s="138">
        <v>0</v>
      </c>
      <c r="BC94" s="139">
        <f t="shared" si="35"/>
        <v>10</v>
      </c>
      <c r="BD94" s="140">
        <f t="shared" si="32"/>
        <v>755100</v>
      </c>
    </row>
    <row r="95" spans="1:56" s="129" customFormat="1" ht="24.75" customHeight="1" x14ac:dyDescent="0.2">
      <c r="A95" s="150">
        <v>11</v>
      </c>
      <c r="B95" s="148">
        <v>92</v>
      </c>
      <c r="C95" s="105">
        <v>51102722</v>
      </c>
      <c r="D95" s="106" t="s">
        <v>595</v>
      </c>
      <c r="E95" s="105" t="s">
        <v>808</v>
      </c>
      <c r="F95" s="105" t="s">
        <v>594</v>
      </c>
      <c r="G95" s="145">
        <v>9312</v>
      </c>
      <c r="H95" s="145" t="s">
        <v>978</v>
      </c>
      <c r="I95" s="145">
        <f>+AVERAGE(G95:H95)</f>
        <v>9312</v>
      </c>
      <c r="J95" s="104" t="s">
        <v>978</v>
      </c>
      <c r="K95" s="104" t="s">
        <v>978</v>
      </c>
      <c r="L95" s="104" t="s">
        <v>978</v>
      </c>
      <c r="M95" s="104" t="s">
        <v>978</v>
      </c>
      <c r="N95" s="104" t="s">
        <v>978</v>
      </c>
      <c r="O95" s="104" t="s">
        <v>978</v>
      </c>
      <c r="P95" s="104">
        <v>8788</v>
      </c>
      <c r="Q95" s="104">
        <f>P95*(1+5.2%)*(1+5.1%)</f>
        <v>9716.4697759999999</v>
      </c>
      <c r="R95" s="104" t="s">
        <v>978</v>
      </c>
      <c r="S95" s="104" t="s">
        <v>978</v>
      </c>
      <c r="T95" s="104" t="s">
        <v>978</v>
      </c>
      <c r="U95" s="104" t="s">
        <v>978</v>
      </c>
      <c r="V95" s="104">
        <v>7408</v>
      </c>
      <c r="W95" s="104">
        <f t="shared" si="38"/>
        <v>7785.8079999999991</v>
      </c>
      <c r="X95" s="104" t="s">
        <v>978</v>
      </c>
      <c r="Y95" s="104" t="s">
        <v>978</v>
      </c>
      <c r="Z95" s="104" t="s">
        <v>978</v>
      </c>
      <c r="AA95" s="104" t="s">
        <v>978</v>
      </c>
      <c r="AB95" s="104">
        <v>5820</v>
      </c>
      <c r="AC95" s="104">
        <f t="shared" si="39"/>
        <v>6116.82</v>
      </c>
      <c r="AD95" s="104" t="s">
        <v>978</v>
      </c>
      <c r="AE95" s="104" t="s">
        <v>978</v>
      </c>
      <c r="AF95" s="104" t="s">
        <v>978</v>
      </c>
      <c r="AG95" s="104" t="s">
        <v>978</v>
      </c>
      <c r="AH95" s="104" t="s">
        <v>978</v>
      </c>
      <c r="AI95" s="104" t="s">
        <v>978</v>
      </c>
      <c r="AJ95" s="104" t="s">
        <v>978</v>
      </c>
      <c r="AK95" s="104" t="s">
        <v>978</v>
      </c>
      <c r="AL95" s="104">
        <f t="shared" si="40"/>
        <v>7873.0325919999996</v>
      </c>
      <c r="AM95" s="120">
        <v>10781</v>
      </c>
      <c r="AN95" s="103">
        <v>7150</v>
      </c>
      <c r="AO95" s="103" t="s">
        <v>974</v>
      </c>
      <c r="AP95" s="103" t="s">
        <v>974</v>
      </c>
      <c r="AQ95" s="103">
        <v>9000</v>
      </c>
      <c r="AR95" s="103" t="s">
        <v>974</v>
      </c>
      <c r="AS95" s="103" t="s">
        <v>974</v>
      </c>
      <c r="AT95" s="103" t="s">
        <v>974</v>
      </c>
      <c r="AU95" s="103">
        <f t="shared" si="33"/>
        <v>7150</v>
      </c>
      <c r="AV95" s="158"/>
      <c r="AW95" s="156">
        <f>+AVERAGE(AL95,AU95)</f>
        <v>7511.5162959999998</v>
      </c>
      <c r="AX95" s="121">
        <f t="shared" si="42"/>
        <v>7512</v>
      </c>
      <c r="AY95" s="163" t="s">
        <v>1073</v>
      </c>
      <c r="AZ95" s="160">
        <v>0</v>
      </c>
      <c r="BA95" s="138">
        <v>10</v>
      </c>
      <c r="BB95" s="138">
        <v>0</v>
      </c>
      <c r="BC95" s="139">
        <f t="shared" si="35"/>
        <v>10</v>
      </c>
      <c r="BD95" s="140">
        <f t="shared" si="32"/>
        <v>75120</v>
      </c>
    </row>
    <row r="96" spans="1:56" s="129" customFormat="1" ht="123.75" x14ac:dyDescent="0.2">
      <c r="A96" s="150">
        <v>11</v>
      </c>
      <c r="B96" s="148">
        <v>93</v>
      </c>
      <c r="C96" s="105">
        <v>51102707</v>
      </c>
      <c r="D96" s="106" t="s">
        <v>619</v>
      </c>
      <c r="E96" s="105" t="s">
        <v>864</v>
      </c>
      <c r="F96" s="107" t="s">
        <v>550</v>
      </c>
      <c r="G96" s="145" t="s">
        <v>978</v>
      </c>
      <c r="H96" s="145" t="s">
        <v>978</v>
      </c>
      <c r="I96" s="145" t="s">
        <v>978</v>
      </c>
      <c r="J96" s="104" t="s">
        <v>978</v>
      </c>
      <c r="K96" s="104" t="s">
        <v>978</v>
      </c>
      <c r="L96" s="104" t="s">
        <v>978</v>
      </c>
      <c r="M96" s="104" t="s">
        <v>978</v>
      </c>
      <c r="N96" s="104" t="s">
        <v>978</v>
      </c>
      <c r="O96" s="104" t="s">
        <v>978</v>
      </c>
      <c r="P96" s="104" t="s">
        <v>978</v>
      </c>
      <c r="Q96" s="104" t="s">
        <v>1012</v>
      </c>
      <c r="R96" s="104" t="s">
        <v>978</v>
      </c>
      <c r="S96" s="104" t="s">
        <v>978</v>
      </c>
      <c r="T96" s="104" t="s">
        <v>978</v>
      </c>
      <c r="U96" s="104" t="s">
        <v>978</v>
      </c>
      <c r="V96" s="104" t="s">
        <v>978</v>
      </c>
      <c r="W96" s="104" t="s">
        <v>978</v>
      </c>
      <c r="X96" s="104" t="s">
        <v>978</v>
      </c>
      <c r="Y96" s="104" t="s">
        <v>978</v>
      </c>
      <c r="Z96" s="104" t="s">
        <v>978</v>
      </c>
      <c r="AA96" s="104" t="s">
        <v>978</v>
      </c>
      <c r="AB96" s="104" t="s">
        <v>978</v>
      </c>
      <c r="AC96" s="104" t="s">
        <v>978</v>
      </c>
      <c r="AD96" s="104" t="s">
        <v>978</v>
      </c>
      <c r="AE96" s="104" t="s">
        <v>978</v>
      </c>
      <c r="AF96" s="104" t="s">
        <v>978</v>
      </c>
      <c r="AG96" s="104" t="s">
        <v>978</v>
      </c>
      <c r="AH96" s="104" t="s">
        <v>978</v>
      </c>
      <c r="AI96" s="104" t="s">
        <v>978</v>
      </c>
      <c r="AJ96" s="104" t="s">
        <v>978</v>
      </c>
      <c r="AK96" s="104" t="s">
        <v>978</v>
      </c>
      <c r="AL96" s="104" t="s">
        <v>978</v>
      </c>
      <c r="AM96" s="120" t="s">
        <v>978</v>
      </c>
      <c r="AN96" s="103">
        <v>174460</v>
      </c>
      <c r="AO96" s="103" t="s">
        <v>974</v>
      </c>
      <c r="AP96" s="103" t="s">
        <v>974</v>
      </c>
      <c r="AQ96" s="103">
        <v>172000</v>
      </c>
      <c r="AR96" s="103" t="s">
        <v>974</v>
      </c>
      <c r="AS96" s="103" t="s">
        <v>974</v>
      </c>
      <c r="AT96" s="103" t="s">
        <v>974</v>
      </c>
      <c r="AU96" s="103">
        <f t="shared" si="33"/>
        <v>172000</v>
      </c>
      <c r="AV96" s="158"/>
      <c r="AW96" s="156">
        <f>+AVERAGE(AL96,AU96)</f>
        <v>172000</v>
      </c>
      <c r="AX96" s="121">
        <f t="shared" si="42"/>
        <v>172000</v>
      </c>
      <c r="AY96" s="163" t="s">
        <v>1073</v>
      </c>
      <c r="AZ96" s="160">
        <v>2</v>
      </c>
      <c r="BA96" s="138">
        <v>0</v>
      </c>
      <c r="BB96" s="138">
        <v>0</v>
      </c>
      <c r="BC96" s="139">
        <f t="shared" si="35"/>
        <v>2</v>
      </c>
      <c r="BD96" s="140">
        <f t="shared" si="32"/>
        <v>344000</v>
      </c>
    </row>
    <row r="97" spans="1:56" s="129" customFormat="1" ht="60.75" customHeight="1" x14ac:dyDescent="0.2">
      <c r="A97" s="150">
        <v>11</v>
      </c>
      <c r="B97" s="148">
        <v>94</v>
      </c>
      <c r="C97" s="105">
        <v>42281704</v>
      </c>
      <c r="D97" s="106" t="s">
        <v>618</v>
      </c>
      <c r="E97" s="105" t="s">
        <v>618</v>
      </c>
      <c r="F97" s="107" t="s">
        <v>604</v>
      </c>
      <c r="G97" s="145" t="s">
        <v>978</v>
      </c>
      <c r="H97" s="145" t="s">
        <v>978</v>
      </c>
      <c r="I97" s="145" t="s">
        <v>978</v>
      </c>
      <c r="J97" s="104" t="s">
        <v>978</v>
      </c>
      <c r="K97" s="104" t="s">
        <v>978</v>
      </c>
      <c r="L97" s="104" t="s">
        <v>978</v>
      </c>
      <c r="M97" s="104" t="s">
        <v>978</v>
      </c>
      <c r="N97" s="104" t="s">
        <v>978</v>
      </c>
      <c r="O97" s="104" t="s">
        <v>978</v>
      </c>
      <c r="P97" s="104" t="s">
        <v>978</v>
      </c>
      <c r="Q97" s="104" t="s">
        <v>1012</v>
      </c>
      <c r="R97" s="104" t="s">
        <v>978</v>
      </c>
      <c r="S97" s="104" t="s">
        <v>978</v>
      </c>
      <c r="T97" s="104" t="s">
        <v>978</v>
      </c>
      <c r="U97" s="104" t="s">
        <v>978</v>
      </c>
      <c r="V97" s="104" t="s">
        <v>978</v>
      </c>
      <c r="W97" s="104" t="s">
        <v>978</v>
      </c>
      <c r="X97" s="104" t="s">
        <v>978</v>
      </c>
      <c r="Y97" s="104" t="s">
        <v>978</v>
      </c>
      <c r="Z97" s="104" t="s">
        <v>978</v>
      </c>
      <c r="AA97" s="104" t="s">
        <v>978</v>
      </c>
      <c r="AB97" s="104">
        <v>48050</v>
      </c>
      <c r="AC97" s="104">
        <f>AB97*(1+5.1%)</f>
        <v>50500.549999999996</v>
      </c>
      <c r="AD97" s="104" t="s">
        <v>978</v>
      </c>
      <c r="AE97" s="104" t="s">
        <v>978</v>
      </c>
      <c r="AF97" s="104" t="s">
        <v>978</v>
      </c>
      <c r="AG97" s="104" t="s">
        <v>978</v>
      </c>
      <c r="AH97" s="104" t="s">
        <v>978</v>
      </c>
      <c r="AI97" s="104" t="s">
        <v>978</v>
      </c>
      <c r="AJ97" s="104" t="s">
        <v>978</v>
      </c>
      <c r="AK97" s="104" t="s">
        <v>978</v>
      </c>
      <c r="AL97" s="104">
        <f t="shared" si="40"/>
        <v>50500.549999999996</v>
      </c>
      <c r="AM97" s="120" t="s">
        <v>978</v>
      </c>
      <c r="AN97" s="103">
        <v>110110</v>
      </c>
      <c r="AO97" s="103" t="s">
        <v>974</v>
      </c>
      <c r="AP97" s="103" t="s">
        <v>974</v>
      </c>
      <c r="AQ97" s="103">
        <v>142800</v>
      </c>
      <c r="AR97" s="103" t="s">
        <v>974</v>
      </c>
      <c r="AS97" s="103" t="s">
        <v>974</v>
      </c>
      <c r="AT97" s="103" t="s">
        <v>974</v>
      </c>
      <c r="AU97" s="103">
        <f t="shared" si="33"/>
        <v>110110</v>
      </c>
      <c r="AV97" s="158"/>
      <c r="AW97" s="156">
        <f>+AVERAGE(AL97,AU97,I97,AM97)</f>
        <v>80305.274999999994</v>
      </c>
      <c r="AX97" s="121">
        <f t="shared" ref="AX97" si="43">+ROUND(AW97,0)</f>
        <v>80305</v>
      </c>
      <c r="AY97" s="163" t="s">
        <v>1085</v>
      </c>
      <c r="AZ97" s="160">
        <v>79</v>
      </c>
      <c r="BA97" s="138">
        <v>30</v>
      </c>
      <c r="BB97" s="138">
        <v>0</v>
      </c>
      <c r="BC97" s="139">
        <f t="shared" si="35"/>
        <v>109</v>
      </c>
      <c r="BD97" s="140">
        <f t="shared" si="32"/>
        <v>8753245</v>
      </c>
    </row>
    <row r="98" spans="1:56" s="129" customFormat="1" ht="84" customHeight="1" x14ac:dyDescent="0.2">
      <c r="A98" s="150">
        <v>11</v>
      </c>
      <c r="B98" s="148">
        <v>95</v>
      </c>
      <c r="C98" s="105">
        <v>42281704</v>
      </c>
      <c r="D98" s="106" t="s">
        <v>655</v>
      </c>
      <c r="E98" s="105" t="s">
        <v>865</v>
      </c>
      <c r="F98" s="105" t="s">
        <v>554</v>
      </c>
      <c r="G98" s="145" t="s">
        <v>978</v>
      </c>
      <c r="H98" s="145" t="s">
        <v>978</v>
      </c>
      <c r="I98" s="145" t="s">
        <v>978</v>
      </c>
      <c r="J98" s="104" t="s">
        <v>978</v>
      </c>
      <c r="K98" s="104" t="s">
        <v>978</v>
      </c>
      <c r="L98" s="104" t="s">
        <v>978</v>
      </c>
      <c r="M98" s="104" t="s">
        <v>978</v>
      </c>
      <c r="N98" s="104" t="s">
        <v>978</v>
      </c>
      <c r="O98" s="104" t="s">
        <v>978</v>
      </c>
      <c r="P98" s="104" t="s">
        <v>978</v>
      </c>
      <c r="Q98" s="104" t="s">
        <v>1012</v>
      </c>
      <c r="R98" s="104" t="s">
        <v>978</v>
      </c>
      <c r="S98" s="104" t="s">
        <v>978</v>
      </c>
      <c r="T98" s="104" t="s">
        <v>978</v>
      </c>
      <c r="U98" s="104" t="s">
        <v>978</v>
      </c>
      <c r="V98" s="104" t="s">
        <v>978</v>
      </c>
      <c r="W98" s="104" t="s">
        <v>978</v>
      </c>
      <c r="X98" s="104" t="s">
        <v>978</v>
      </c>
      <c r="Y98" s="104" t="s">
        <v>978</v>
      </c>
      <c r="Z98" s="104" t="s">
        <v>978</v>
      </c>
      <c r="AA98" s="104" t="s">
        <v>978</v>
      </c>
      <c r="AB98" s="104">
        <v>51015</v>
      </c>
      <c r="AC98" s="104">
        <f t="shared" si="39"/>
        <v>53616.764999999999</v>
      </c>
      <c r="AD98" s="104" t="s">
        <v>978</v>
      </c>
      <c r="AE98" s="104" t="s">
        <v>978</v>
      </c>
      <c r="AF98" s="104" t="s">
        <v>978</v>
      </c>
      <c r="AG98" s="104" t="s">
        <v>978</v>
      </c>
      <c r="AH98" s="104" t="s">
        <v>978</v>
      </c>
      <c r="AI98" s="104" t="s">
        <v>978</v>
      </c>
      <c r="AJ98" s="104" t="s">
        <v>978</v>
      </c>
      <c r="AK98" s="104" t="s">
        <v>978</v>
      </c>
      <c r="AL98" s="104">
        <f t="shared" si="40"/>
        <v>53616.764999999999</v>
      </c>
      <c r="AM98" s="120" t="s">
        <v>978</v>
      </c>
      <c r="AN98" s="103">
        <v>54340</v>
      </c>
      <c r="AO98" s="103" t="s">
        <v>974</v>
      </c>
      <c r="AP98" s="103" t="s">
        <v>974</v>
      </c>
      <c r="AQ98" s="103">
        <v>52000</v>
      </c>
      <c r="AR98" s="103" t="s">
        <v>974</v>
      </c>
      <c r="AS98" s="103" t="s">
        <v>974</v>
      </c>
      <c r="AT98" s="103" t="s">
        <v>974</v>
      </c>
      <c r="AU98" s="103">
        <f t="shared" si="33"/>
        <v>52000</v>
      </c>
      <c r="AV98" s="158"/>
      <c r="AW98" s="156">
        <f>+AU98</f>
        <v>52000</v>
      </c>
      <c r="AX98" s="121">
        <f t="shared" si="42"/>
        <v>52000</v>
      </c>
      <c r="AY98" s="163" t="s">
        <v>1080</v>
      </c>
      <c r="AZ98" s="160">
        <v>0</v>
      </c>
      <c r="BA98" s="138">
        <v>50</v>
      </c>
      <c r="BB98" s="138">
        <v>0</v>
      </c>
      <c r="BC98" s="139">
        <f>+BA98+BB98</f>
        <v>50</v>
      </c>
      <c r="BD98" s="140">
        <f t="shared" si="32"/>
        <v>2600000</v>
      </c>
    </row>
    <row r="99" spans="1:56" s="129" customFormat="1" ht="24" customHeight="1" x14ac:dyDescent="0.2">
      <c r="A99" s="150">
        <v>11</v>
      </c>
      <c r="B99" s="148">
        <v>96</v>
      </c>
      <c r="C99" s="105">
        <v>42151902</v>
      </c>
      <c r="D99" s="106" t="s">
        <v>486</v>
      </c>
      <c r="E99" s="105" t="s">
        <v>741</v>
      </c>
      <c r="F99" s="105" t="s">
        <v>557</v>
      </c>
      <c r="G99" s="145" t="s">
        <v>978</v>
      </c>
      <c r="H99" s="145" t="s">
        <v>978</v>
      </c>
      <c r="I99" s="145" t="s">
        <v>978</v>
      </c>
      <c r="J99" s="104" t="s">
        <v>978</v>
      </c>
      <c r="K99" s="104" t="s">
        <v>978</v>
      </c>
      <c r="L99" s="104" t="s">
        <v>978</v>
      </c>
      <c r="M99" s="104" t="s">
        <v>978</v>
      </c>
      <c r="N99" s="104" t="s">
        <v>978</v>
      </c>
      <c r="O99" s="104" t="s">
        <v>978</v>
      </c>
      <c r="P99" s="104" t="s">
        <v>978</v>
      </c>
      <c r="Q99" s="104" t="s">
        <v>1012</v>
      </c>
      <c r="R99" s="104">
        <v>10650</v>
      </c>
      <c r="S99" s="104">
        <f>R99*(1+5.2%)*(1+5.1%)</f>
        <v>11775.193800000001</v>
      </c>
      <c r="T99" s="104" t="s">
        <v>978</v>
      </c>
      <c r="U99" s="104" t="s">
        <v>978</v>
      </c>
      <c r="V99" s="104" t="s">
        <v>978</v>
      </c>
      <c r="W99" s="104" t="s">
        <v>978</v>
      </c>
      <c r="X99" s="104" t="s">
        <v>978</v>
      </c>
      <c r="Y99" s="104" t="s">
        <v>978</v>
      </c>
      <c r="Z99" s="104" t="s">
        <v>978</v>
      </c>
      <c r="AA99" s="104" t="s">
        <v>978</v>
      </c>
      <c r="AB99" s="104" t="s">
        <v>978</v>
      </c>
      <c r="AC99" s="104" t="s">
        <v>978</v>
      </c>
      <c r="AD99" s="104" t="s">
        <v>978</v>
      </c>
      <c r="AE99" s="104" t="s">
        <v>978</v>
      </c>
      <c r="AF99" s="104" t="s">
        <v>978</v>
      </c>
      <c r="AG99" s="104" t="s">
        <v>978</v>
      </c>
      <c r="AH99" s="104" t="s">
        <v>978</v>
      </c>
      <c r="AI99" s="104" t="s">
        <v>978</v>
      </c>
      <c r="AJ99" s="104">
        <v>8736</v>
      </c>
      <c r="AK99" s="104">
        <f>AJ99*(1+5.1%)</f>
        <v>9181.5360000000001</v>
      </c>
      <c r="AL99" s="104">
        <f t="shared" si="40"/>
        <v>10478.3649</v>
      </c>
      <c r="AM99" s="120">
        <v>13200</v>
      </c>
      <c r="AN99" s="103">
        <v>17160</v>
      </c>
      <c r="AO99" s="103" t="s">
        <v>974</v>
      </c>
      <c r="AP99" s="103" t="s">
        <v>974</v>
      </c>
      <c r="AQ99" s="103">
        <v>16660</v>
      </c>
      <c r="AR99" s="103" t="s">
        <v>974</v>
      </c>
      <c r="AS99" s="103" t="s">
        <v>974</v>
      </c>
      <c r="AT99" s="103" t="s">
        <v>974</v>
      </c>
      <c r="AU99" s="103">
        <f t="shared" si="33"/>
        <v>16660</v>
      </c>
      <c r="AV99" s="158"/>
      <c r="AW99" s="156">
        <f>+AVERAGE(AL99,AU99,AM99)</f>
        <v>13446.121633333334</v>
      </c>
      <c r="AX99" s="121">
        <f t="shared" ref="AX99:AX100" si="44">+ROUND(AW99,0)</f>
        <v>13446</v>
      </c>
      <c r="AY99" s="163" t="s">
        <v>1085</v>
      </c>
      <c r="AZ99" s="160">
        <v>10</v>
      </c>
      <c r="BA99" s="138">
        <v>5</v>
      </c>
      <c r="BB99" s="138">
        <v>36</v>
      </c>
      <c r="BC99" s="139">
        <f t="shared" ref="BC99:BC108" si="45">+AZ99+BA99+BB99</f>
        <v>51</v>
      </c>
      <c r="BD99" s="140">
        <f t="shared" si="32"/>
        <v>685746</v>
      </c>
    </row>
    <row r="100" spans="1:56" s="129" customFormat="1" ht="48.75" customHeight="1" x14ac:dyDescent="0.2">
      <c r="A100" s="150">
        <v>11</v>
      </c>
      <c r="B100" s="148">
        <v>97</v>
      </c>
      <c r="C100" s="105">
        <v>51102707</v>
      </c>
      <c r="D100" s="106" t="s">
        <v>287</v>
      </c>
      <c r="E100" s="105" t="s">
        <v>742</v>
      </c>
      <c r="F100" s="105" t="s">
        <v>459</v>
      </c>
      <c r="G100" s="145" t="s">
        <v>978</v>
      </c>
      <c r="H100" s="145" t="s">
        <v>978</v>
      </c>
      <c r="I100" s="145" t="s">
        <v>978</v>
      </c>
      <c r="J100" s="104" t="s">
        <v>978</v>
      </c>
      <c r="K100" s="104" t="s">
        <v>978</v>
      </c>
      <c r="L100" s="104" t="s">
        <v>978</v>
      </c>
      <c r="M100" s="104" t="s">
        <v>978</v>
      </c>
      <c r="N100" s="104" t="s">
        <v>978</v>
      </c>
      <c r="O100" s="104" t="s">
        <v>978</v>
      </c>
      <c r="P100" s="104">
        <v>27908</v>
      </c>
      <c r="Q100" s="104">
        <f>P100*(1+5.2%)*(1+5.1%)</f>
        <v>30856.536015999998</v>
      </c>
      <c r="R100" s="104" t="s">
        <v>978</v>
      </c>
      <c r="S100" s="104" t="s">
        <v>978</v>
      </c>
      <c r="T100" s="104" t="s">
        <v>978</v>
      </c>
      <c r="U100" s="104" t="s">
        <v>978</v>
      </c>
      <c r="V100" s="104" t="s">
        <v>978</v>
      </c>
      <c r="W100" s="104" t="s">
        <v>978</v>
      </c>
      <c r="X100" s="104" t="s">
        <v>978</v>
      </c>
      <c r="Y100" s="104" t="s">
        <v>978</v>
      </c>
      <c r="Z100" s="104" t="s">
        <v>978</v>
      </c>
      <c r="AA100" s="104" t="s">
        <v>978</v>
      </c>
      <c r="AB100" s="104" t="s">
        <v>978</v>
      </c>
      <c r="AC100" s="104" t="s">
        <v>978</v>
      </c>
      <c r="AD100" s="104" t="s">
        <v>978</v>
      </c>
      <c r="AE100" s="104" t="s">
        <v>978</v>
      </c>
      <c r="AF100" s="104" t="s">
        <v>978</v>
      </c>
      <c r="AG100" s="104" t="s">
        <v>978</v>
      </c>
      <c r="AH100" s="104" t="s">
        <v>978</v>
      </c>
      <c r="AI100" s="104" t="s">
        <v>978</v>
      </c>
      <c r="AJ100" s="104" t="s">
        <v>978</v>
      </c>
      <c r="AK100" s="104" t="s">
        <v>978</v>
      </c>
      <c r="AL100" s="104">
        <f t="shared" si="40"/>
        <v>30856.536015999998</v>
      </c>
      <c r="AM100" s="120">
        <v>24900</v>
      </c>
      <c r="AN100" s="103">
        <v>121550</v>
      </c>
      <c r="AO100" s="103" t="s">
        <v>974</v>
      </c>
      <c r="AP100" s="103" t="s">
        <v>974</v>
      </c>
      <c r="AQ100" s="103">
        <v>35000</v>
      </c>
      <c r="AR100" s="103" t="s">
        <v>974</v>
      </c>
      <c r="AS100" s="103" t="s">
        <v>974</v>
      </c>
      <c r="AT100" s="103" t="s">
        <v>974</v>
      </c>
      <c r="AU100" s="103">
        <f t="shared" si="33"/>
        <v>35000</v>
      </c>
      <c r="AV100" s="158"/>
      <c r="AW100" s="156">
        <f>+AVERAGE(AL100,AU100,AM100)</f>
        <v>30252.178671999998</v>
      </c>
      <c r="AX100" s="121">
        <f t="shared" si="44"/>
        <v>30252</v>
      </c>
      <c r="AY100" s="163" t="s">
        <v>1085</v>
      </c>
      <c r="AZ100" s="160">
        <v>314</v>
      </c>
      <c r="BA100" s="138">
        <v>50</v>
      </c>
      <c r="BB100" s="138">
        <v>20</v>
      </c>
      <c r="BC100" s="139">
        <f t="shared" si="45"/>
        <v>384</v>
      </c>
      <c r="BD100" s="140">
        <f t="shared" si="32"/>
        <v>11616768</v>
      </c>
    </row>
    <row r="101" spans="1:56" s="129" customFormat="1" ht="48.75" customHeight="1" x14ac:dyDescent="0.2">
      <c r="A101" s="150">
        <v>12</v>
      </c>
      <c r="B101" s="148">
        <v>98</v>
      </c>
      <c r="C101" s="105">
        <v>42152443</v>
      </c>
      <c r="D101" s="106" t="s">
        <v>487</v>
      </c>
      <c r="E101" s="105" t="s">
        <v>743</v>
      </c>
      <c r="F101" s="105" t="s">
        <v>437</v>
      </c>
      <c r="G101" s="145" t="s">
        <v>978</v>
      </c>
      <c r="H101" s="145" t="s">
        <v>978</v>
      </c>
      <c r="I101" s="145" t="s">
        <v>978</v>
      </c>
      <c r="J101" s="104" t="s">
        <v>978</v>
      </c>
      <c r="K101" s="104" t="s">
        <v>978</v>
      </c>
      <c r="L101" s="104" t="s">
        <v>978</v>
      </c>
      <c r="M101" s="104" t="s">
        <v>978</v>
      </c>
      <c r="N101" s="104" t="s">
        <v>978</v>
      </c>
      <c r="O101" s="104" t="s">
        <v>978</v>
      </c>
      <c r="P101" s="104" t="s">
        <v>978</v>
      </c>
      <c r="Q101" s="104" t="s">
        <v>1012</v>
      </c>
      <c r="R101" s="104">
        <v>28950</v>
      </c>
      <c r="S101" s="104">
        <f t="shared" ref="S101:S107" si="46">R101*(1+5.2%)*(1+5.1%)</f>
        <v>32008.625400000001</v>
      </c>
      <c r="T101" s="104" t="s">
        <v>978</v>
      </c>
      <c r="U101" s="104" t="s">
        <v>978</v>
      </c>
      <c r="V101" s="104" t="s">
        <v>978</v>
      </c>
      <c r="W101" s="104" t="s">
        <v>978</v>
      </c>
      <c r="X101" s="104" t="s">
        <v>978</v>
      </c>
      <c r="Y101" s="104" t="s">
        <v>978</v>
      </c>
      <c r="Z101" s="104" t="s">
        <v>978</v>
      </c>
      <c r="AA101" s="104" t="s">
        <v>978</v>
      </c>
      <c r="AB101" s="104" t="s">
        <v>978</v>
      </c>
      <c r="AC101" s="104" t="s">
        <v>978</v>
      </c>
      <c r="AD101" s="104" t="s">
        <v>978</v>
      </c>
      <c r="AE101" s="104" t="s">
        <v>978</v>
      </c>
      <c r="AF101" s="104" t="s">
        <v>978</v>
      </c>
      <c r="AG101" s="104" t="s">
        <v>978</v>
      </c>
      <c r="AH101" s="104" t="s">
        <v>978</v>
      </c>
      <c r="AI101" s="104" t="s">
        <v>978</v>
      </c>
      <c r="AJ101" s="104">
        <v>31094</v>
      </c>
      <c r="AK101" s="104">
        <f t="shared" ref="AK101:AK107" si="47">AJ101*(1+5.1%)</f>
        <v>32679.793999999998</v>
      </c>
      <c r="AL101" s="104">
        <f t="shared" ref="AL101:AL107" si="48">+AVERAGE(K101,M101,O101,Q101,S101,U101,W101,Y101,AA101,AC101,AE101,AG101,AI101,AK101)</f>
        <v>32344.209699999999</v>
      </c>
      <c r="AM101" s="120" t="s">
        <v>978</v>
      </c>
      <c r="AN101" s="103">
        <v>52910</v>
      </c>
      <c r="AO101" s="103" t="s">
        <v>974</v>
      </c>
      <c r="AP101" s="103" t="s">
        <v>974</v>
      </c>
      <c r="AQ101" s="103">
        <v>62000</v>
      </c>
      <c r="AR101" s="103" t="s">
        <v>974</v>
      </c>
      <c r="AS101" s="103" t="s">
        <v>974</v>
      </c>
      <c r="AT101" s="103" t="s">
        <v>974</v>
      </c>
      <c r="AU101" s="103">
        <f t="shared" si="33"/>
        <v>52910</v>
      </c>
      <c r="AV101" s="158"/>
      <c r="AW101" s="156">
        <f t="shared" ref="AW101:AW108" si="49">+AVERAGE(AL101,AU101)</f>
        <v>42627.104850000003</v>
      </c>
      <c r="AX101" s="121">
        <f t="shared" ref="AX101:AX108" si="50">+ROUND(AW101,0)</f>
        <v>42627</v>
      </c>
      <c r="AY101" s="163" t="s">
        <v>1073</v>
      </c>
      <c r="AZ101" s="160">
        <v>2</v>
      </c>
      <c r="BA101" s="138">
        <v>14</v>
      </c>
      <c r="BB101" s="138">
        <v>6</v>
      </c>
      <c r="BC101" s="139">
        <f t="shared" si="45"/>
        <v>22</v>
      </c>
      <c r="BD101" s="140">
        <f t="shared" si="32"/>
        <v>937794</v>
      </c>
    </row>
    <row r="102" spans="1:56" s="129" customFormat="1" ht="96" customHeight="1" x14ac:dyDescent="0.2">
      <c r="A102" s="150">
        <v>12</v>
      </c>
      <c r="B102" s="148">
        <v>99</v>
      </c>
      <c r="C102" s="105">
        <v>42152443</v>
      </c>
      <c r="D102" s="106" t="s">
        <v>488</v>
      </c>
      <c r="E102" s="105" t="s">
        <v>866</v>
      </c>
      <c r="F102" s="105" t="s">
        <v>438</v>
      </c>
      <c r="G102" s="145" t="s">
        <v>978</v>
      </c>
      <c r="H102" s="145" t="s">
        <v>978</v>
      </c>
      <c r="I102" s="145" t="s">
        <v>978</v>
      </c>
      <c r="J102" s="104" t="s">
        <v>978</v>
      </c>
      <c r="K102" s="104" t="s">
        <v>978</v>
      </c>
      <c r="L102" s="104" t="s">
        <v>978</v>
      </c>
      <c r="M102" s="104" t="s">
        <v>978</v>
      </c>
      <c r="N102" s="104" t="s">
        <v>978</v>
      </c>
      <c r="O102" s="104" t="s">
        <v>978</v>
      </c>
      <c r="P102" s="104" t="s">
        <v>978</v>
      </c>
      <c r="Q102" s="104" t="s">
        <v>1012</v>
      </c>
      <c r="R102" s="104">
        <v>156743</v>
      </c>
      <c r="S102" s="104">
        <f t="shared" si="46"/>
        <v>173303.21143599998</v>
      </c>
      <c r="T102" s="104" t="s">
        <v>978</v>
      </c>
      <c r="U102" s="104" t="s">
        <v>978</v>
      </c>
      <c r="V102" s="104" t="s">
        <v>978</v>
      </c>
      <c r="W102" s="104" t="s">
        <v>978</v>
      </c>
      <c r="X102" s="104" t="s">
        <v>978</v>
      </c>
      <c r="Y102" s="104" t="s">
        <v>978</v>
      </c>
      <c r="Z102" s="104" t="s">
        <v>978</v>
      </c>
      <c r="AA102" s="104" t="s">
        <v>978</v>
      </c>
      <c r="AB102" s="104" t="s">
        <v>978</v>
      </c>
      <c r="AC102" s="104" t="s">
        <v>978</v>
      </c>
      <c r="AD102" s="104" t="s">
        <v>978</v>
      </c>
      <c r="AE102" s="104" t="s">
        <v>978</v>
      </c>
      <c r="AF102" s="104" t="s">
        <v>978</v>
      </c>
      <c r="AG102" s="104" t="s">
        <v>978</v>
      </c>
      <c r="AH102" s="104" t="s">
        <v>978</v>
      </c>
      <c r="AI102" s="104" t="s">
        <v>978</v>
      </c>
      <c r="AJ102" s="104">
        <v>203071</v>
      </c>
      <c r="AK102" s="104">
        <f t="shared" si="47"/>
        <v>213427.62099999998</v>
      </c>
      <c r="AL102" s="104">
        <f t="shared" si="48"/>
        <v>193365.416218</v>
      </c>
      <c r="AM102" s="120" t="s">
        <v>978</v>
      </c>
      <c r="AN102" s="103">
        <v>325754</v>
      </c>
      <c r="AO102" s="103" t="s">
        <v>974</v>
      </c>
      <c r="AP102" s="103" t="s">
        <v>974</v>
      </c>
      <c r="AQ102" s="103">
        <v>381000</v>
      </c>
      <c r="AR102" s="103" t="s">
        <v>974</v>
      </c>
      <c r="AS102" s="103" t="s">
        <v>974</v>
      </c>
      <c r="AT102" s="103" t="s">
        <v>974</v>
      </c>
      <c r="AU102" s="103">
        <f t="shared" si="33"/>
        <v>325754</v>
      </c>
      <c r="AV102" s="158"/>
      <c r="AW102" s="156">
        <f t="shared" si="49"/>
        <v>259559.708109</v>
      </c>
      <c r="AX102" s="121">
        <f t="shared" si="50"/>
        <v>259560</v>
      </c>
      <c r="AY102" s="163" t="s">
        <v>1073</v>
      </c>
      <c r="AZ102" s="160">
        <v>1</v>
      </c>
      <c r="BA102" s="138">
        <v>0</v>
      </c>
      <c r="BB102" s="138">
        <v>0</v>
      </c>
      <c r="BC102" s="139">
        <f t="shared" si="45"/>
        <v>1</v>
      </c>
      <c r="BD102" s="140">
        <f t="shared" si="32"/>
        <v>259560</v>
      </c>
    </row>
    <row r="103" spans="1:56" s="129" customFormat="1" ht="24.75" customHeight="1" x14ac:dyDescent="0.2">
      <c r="A103" s="150">
        <v>12</v>
      </c>
      <c r="B103" s="148">
        <v>100</v>
      </c>
      <c r="C103" s="105">
        <v>42151900</v>
      </c>
      <c r="D103" s="106" t="s">
        <v>489</v>
      </c>
      <c r="E103" s="105" t="s">
        <v>1023</v>
      </c>
      <c r="F103" s="105" t="s">
        <v>447</v>
      </c>
      <c r="G103" s="145">
        <v>153600</v>
      </c>
      <c r="H103" s="145" t="s">
        <v>978</v>
      </c>
      <c r="I103" s="145">
        <f>+G103</f>
        <v>153600</v>
      </c>
      <c r="J103" s="104" t="s">
        <v>978</v>
      </c>
      <c r="K103" s="104" t="s">
        <v>978</v>
      </c>
      <c r="L103" s="104" t="s">
        <v>978</v>
      </c>
      <c r="M103" s="104" t="s">
        <v>978</v>
      </c>
      <c r="N103" s="104" t="s">
        <v>978</v>
      </c>
      <c r="O103" s="104" t="s">
        <v>978</v>
      </c>
      <c r="P103" s="104" t="s">
        <v>978</v>
      </c>
      <c r="Q103" s="104" t="s">
        <v>1012</v>
      </c>
      <c r="R103" s="104" t="s">
        <v>978</v>
      </c>
      <c r="S103" s="104" t="s">
        <v>978</v>
      </c>
      <c r="T103" s="104" t="s">
        <v>978</v>
      </c>
      <c r="U103" s="104" t="s">
        <v>978</v>
      </c>
      <c r="V103" s="104" t="s">
        <v>978</v>
      </c>
      <c r="W103" s="104" t="s">
        <v>978</v>
      </c>
      <c r="X103" s="104" t="s">
        <v>978</v>
      </c>
      <c r="Y103" s="104" t="s">
        <v>978</v>
      </c>
      <c r="Z103" s="104" t="s">
        <v>978</v>
      </c>
      <c r="AA103" s="104" t="s">
        <v>978</v>
      </c>
      <c r="AB103" s="104" t="s">
        <v>978</v>
      </c>
      <c r="AC103" s="104" t="s">
        <v>978</v>
      </c>
      <c r="AD103" s="104" t="s">
        <v>978</v>
      </c>
      <c r="AE103" s="104" t="s">
        <v>978</v>
      </c>
      <c r="AF103" s="104" t="s">
        <v>978</v>
      </c>
      <c r="AG103" s="104" t="s">
        <v>978</v>
      </c>
      <c r="AH103" s="104" t="s">
        <v>978</v>
      </c>
      <c r="AI103" s="104" t="s">
        <v>978</v>
      </c>
      <c r="AJ103" s="104" t="s">
        <v>978</v>
      </c>
      <c r="AK103" s="104" t="s">
        <v>978</v>
      </c>
      <c r="AL103" s="104" t="s">
        <v>978</v>
      </c>
      <c r="AM103" s="120" t="s">
        <v>978</v>
      </c>
      <c r="AN103" s="103" t="s">
        <v>978</v>
      </c>
      <c r="AO103" s="103" t="s">
        <v>974</v>
      </c>
      <c r="AP103" s="103" t="s">
        <v>974</v>
      </c>
      <c r="AQ103" s="103">
        <v>130305</v>
      </c>
      <c r="AR103" s="103" t="s">
        <v>974</v>
      </c>
      <c r="AS103" s="103" t="s">
        <v>974</v>
      </c>
      <c r="AT103" s="103" t="s">
        <v>974</v>
      </c>
      <c r="AU103" s="103">
        <f t="shared" si="33"/>
        <v>130305</v>
      </c>
      <c r="AV103" s="158"/>
      <c r="AW103" s="156">
        <f t="shared" si="49"/>
        <v>130305</v>
      </c>
      <c r="AX103" s="121">
        <f t="shared" si="50"/>
        <v>130305</v>
      </c>
      <c r="AY103" s="163" t="s">
        <v>1074</v>
      </c>
      <c r="AZ103" s="160">
        <v>17</v>
      </c>
      <c r="BA103" s="138">
        <v>0</v>
      </c>
      <c r="BB103" s="138">
        <v>36</v>
      </c>
      <c r="BC103" s="139">
        <f t="shared" si="45"/>
        <v>53</v>
      </c>
      <c r="BD103" s="140">
        <f t="shared" si="32"/>
        <v>6906165</v>
      </c>
    </row>
    <row r="104" spans="1:56" s="129" customFormat="1" ht="24" customHeight="1" x14ac:dyDescent="0.2">
      <c r="A104" s="150">
        <v>12</v>
      </c>
      <c r="B104" s="148">
        <v>101</v>
      </c>
      <c r="C104" s="105">
        <v>42281803</v>
      </c>
      <c r="D104" s="106" t="s">
        <v>656</v>
      </c>
      <c r="E104" s="105" t="s">
        <v>744</v>
      </c>
      <c r="F104" s="105" t="s">
        <v>299</v>
      </c>
      <c r="G104" s="145" t="s">
        <v>978</v>
      </c>
      <c r="H104" s="145" t="s">
        <v>978</v>
      </c>
      <c r="I104" s="145" t="s">
        <v>978</v>
      </c>
      <c r="J104" s="104" t="s">
        <v>978</v>
      </c>
      <c r="K104" s="104" t="s">
        <v>978</v>
      </c>
      <c r="L104" s="104" t="s">
        <v>978</v>
      </c>
      <c r="M104" s="104" t="s">
        <v>978</v>
      </c>
      <c r="N104" s="104" t="s">
        <v>978</v>
      </c>
      <c r="O104" s="104" t="s">
        <v>978</v>
      </c>
      <c r="P104" s="104" t="s">
        <v>978</v>
      </c>
      <c r="Q104" s="104" t="s">
        <v>1012</v>
      </c>
      <c r="R104" s="104" t="s">
        <v>978</v>
      </c>
      <c r="S104" s="104" t="s">
        <v>978</v>
      </c>
      <c r="T104" s="104" t="s">
        <v>978</v>
      </c>
      <c r="U104" s="104" t="s">
        <v>978</v>
      </c>
      <c r="V104" s="104" t="s">
        <v>978</v>
      </c>
      <c r="W104" s="104" t="s">
        <v>978</v>
      </c>
      <c r="X104" s="104" t="s">
        <v>978</v>
      </c>
      <c r="Y104" s="104" t="s">
        <v>978</v>
      </c>
      <c r="Z104" s="104" t="s">
        <v>978</v>
      </c>
      <c r="AA104" s="104" t="s">
        <v>978</v>
      </c>
      <c r="AB104" s="104" t="s">
        <v>978</v>
      </c>
      <c r="AC104" s="104" t="s">
        <v>978</v>
      </c>
      <c r="AD104" s="104" t="s">
        <v>978</v>
      </c>
      <c r="AE104" s="104" t="s">
        <v>978</v>
      </c>
      <c r="AF104" s="104" t="s">
        <v>978</v>
      </c>
      <c r="AG104" s="104" t="s">
        <v>978</v>
      </c>
      <c r="AH104" s="104">
        <v>1894255</v>
      </c>
      <c r="AI104" s="104">
        <f t="shared" ref="AI104:AI105" si="51">AH104*(1+5.1%)</f>
        <v>1990862.0049999999</v>
      </c>
      <c r="AJ104" s="104" t="s">
        <v>978</v>
      </c>
      <c r="AK104" s="104" t="s">
        <v>978</v>
      </c>
      <c r="AL104" s="104" t="s">
        <v>978</v>
      </c>
      <c r="AM104" s="120">
        <v>3148091</v>
      </c>
      <c r="AN104" s="103">
        <v>4576000</v>
      </c>
      <c r="AO104" s="103" t="s">
        <v>974</v>
      </c>
      <c r="AP104" s="103" t="s">
        <v>974</v>
      </c>
      <c r="AQ104" s="103">
        <v>2201500</v>
      </c>
      <c r="AR104" s="103" t="s">
        <v>974</v>
      </c>
      <c r="AS104" s="103" t="s">
        <v>974</v>
      </c>
      <c r="AT104" s="103" t="s">
        <v>974</v>
      </c>
      <c r="AU104" s="103">
        <f t="shared" si="33"/>
        <v>2201500</v>
      </c>
      <c r="AV104" s="158"/>
      <c r="AW104" s="156">
        <f t="shared" si="49"/>
        <v>2201500</v>
      </c>
      <c r="AX104" s="121">
        <f t="shared" si="50"/>
        <v>2201500</v>
      </c>
      <c r="AY104" s="163" t="s">
        <v>1078</v>
      </c>
      <c r="AZ104" s="160">
        <v>2</v>
      </c>
      <c r="BA104" s="138">
        <v>0</v>
      </c>
      <c r="BB104" s="138">
        <v>0</v>
      </c>
      <c r="BC104" s="139">
        <f t="shared" si="45"/>
        <v>2</v>
      </c>
      <c r="BD104" s="140">
        <f t="shared" si="32"/>
        <v>4403000</v>
      </c>
    </row>
    <row r="105" spans="1:56" s="129" customFormat="1" ht="24.75" customHeight="1" x14ac:dyDescent="0.2">
      <c r="A105" s="150">
        <v>12</v>
      </c>
      <c r="B105" s="148">
        <v>102</v>
      </c>
      <c r="C105" s="105">
        <v>42181901</v>
      </c>
      <c r="D105" s="106" t="s">
        <v>499</v>
      </c>
      <c r="E105" s="105" t="s">
        <v>499</v>
      </c>
      <c r="F105" s="105" t="s">
        <v>462</v>
      </c>
      <c r="G105" s="145" t="s">
        <v>978</v>
      </c>
      <c r="H105" s="145" t="s">
        <v>978</v>
      </c>
      <c r="I105" s="145" t="s">
        <v>978</v>
      </c>
      <c r="J105" s="104" t="s">
        <v>978</v>
      </c>
      <c r="K105" s="104" t="s">
        <v>978</v>
      </c>
      <c r="L105" s="104" t="s">
        <v>978</v>
      </c>
      <c r="M105" s="104" t="s">
        <v>978</v>
      </c>
      <c r="N105" s="104" t="s">
        <v>978</v>
      </c>
      <c r="O105" s="104" t="s">
        <v>978</v>
      </c>
      <c r="P105" s="104" t="s">
        <v>978</v>
      </c>
      <c r="Q105" s="104" t="s">
        <v>1012</v>
      </c>
      <c r="R105" s="104" t="s">
        <v>978</v>
      </c>
      <c r="S105" s="104" t="s">
        <v>978</v>
      </c>
      <c r="T105" s="104" t="s">
        <v>978</v>
      </c>
      <c r="U105" s="104" t="s">
        <v>978</v>
      </c>
      <c r="V105" s="104" t="s">
        <v>978</v>
      </c>
      <c r="W105" s="104" t="s">
        <v>978</v>
      </c>
      <c r="X105" s="104" t="s">
        <v>978</v>
      </c>
      <c r="Y105" s="104" t="s">
        <v>978</v>
      </c>
      <c r="Z105" s="104" t="s">
        <v>978</v>
      </c>
      <c r="AA105" s="104" t="s">
        <v>978</v>
      </c>
      <c r="AB105" s="104" t="s">
        <v>978</v>
      </c>
      <c r="AC105" s="104" t="s">
        <v>978</v>
      </c>
      <c r="AD105" s="104" t="s">
        <v>978</v>
      </c>
      <c r="AE105" s="104" t="s">
        <v>978</v>
      </c>
      <c r="AF105" s="104" t="s">
        <v>978</v>
      </c>
      <c r="AG105" s="104" t="s">
        <v>978</v>
      </c>
      <c r="AH105" s="104">
        <v>96766</v>
      </c>
      <c r="AI105" s="104">
        <f t="shared" si="51"/>
        <v>101701.06599999999</v>
      </c>
      <c r="AJ105" s="104" t="s">
        <v>978</v>
      </c>
      <c r="AK105" s="104" t="s">
        <v>978</v>
      </c>
      <c r="AL105" s="104" t="s">
        <v>978</v>
      </c>
      <c r="AM105" s="120" t="s">
        <v>978</v>
      </c>
      <c r="AN105" s="103">
        <v>92950</v>
      </c>
      <c r="AO105" s="103" t="s">
        <v>974</v>
      </c>
      <c r="AP105" s="103" t="s">
        <v>974</v>
      </c>
      <c r="AQ105" s="103">
        <v>130900</v>
      </c>
      <c r="AR105" s="103" t="s">
        <v>974</v>
      </c>
      <c r="AS105" s="103" t="s">
        <v>974</v>
      </c>
      <c r="AT105" s="103" t="s">
        <v>974</v>
      </c>
      <c r="AU105" s="103">
        <f t="shared" si="33"/>
        <v>92950</v>
      </c>
      <c r="AV105" s="158"/>
      <c r="AW105" s="156">
        <f t="shared" si="49"/>
        <v>92950</v>
      </c>
      <c r="AX105" s="121">
        <f t="shared" si="50"/>
        <v>92950</v>
      </c>
      <c r="AY105" s="163" t="s">
        <v>1078</v>
      </c>
      <c r="AZ105" s="160">
        <v>3</v>
      </c>
      <c r="BA105" s="138">
        <v>0</v>
      </c>
      <c r="BB105" s="138">
        <v>0</v>
      </c>
      <c r="BC105" s="139">
        <f t="shared" si="45"/>
        <v>3</v>
      </c>
      <c r="BD105" s="140">
        <f t="shared" si="32"/>
        <v>278850</v>
      </c>
    </row>
    <row r="106" spans="1:56" s="129" customFormat="1" ht="72" customHeight="1" x14ac:dyDescent="0.2">
      <c r="A106" s="150">
        <v>12</v>
      </c>
      <c r="B106" s="148">
        <v>103</v>
      </c>
      <c r="C106" s="105">
        <v>42152428</v>
      </c>
      <c r="D106" s="106" t="s">
        <v>510</v>
      </c>
      <c r="E106" s="105" t="s">
        <v>730</v>
      </c>
      <c r="F106" s="105" t="s">
        <v>449</v>
      </c>
      <c r="G106" s="145" t="s">
        <v>978</v>
      </c>
      <c r="H106" s="145" t="s">
        <v>978</v>
      </c>
      <c r="I106" s="145" t="s">
        <v>978</v>
      </c>
      <c r="J106" s="104" t="s">
        <v>978</v>
      </c>
      <c r="K106" s="104" t="s">
        <v>978</v>
      </c>
      <c r="L106" s="104" t="s">
        <v>978</v>
      </c>
      <c r="M106" s="104" t="s">
        <v>978</v>
      </c>
      <c r="N106" s="104" t="s">
        <v>978</v>
      </c>
      <c r="O106" s="104" t="s">
        <v>978</v>
      </c>
      <c r="P106" s="104" t="s">
        <v>978</v>
      </c>
      <c r="Q106" s="104" t="s">
        <v>1012</v>
      </c>
      <c r="R106" s="104">
        <v>55286</v>
      </c>
      <c r="S106" s="104">
        <f t="shared" si="46"/>
        <v>61127.076472000001</v>
      </c>
      <c r="T106" s="104" t="s">
        <v>978</v>
      </c>
      <c r="U106" s="104" t="s">
        <v>978</v>
      </c>
      <c r="V106" s="104" t="s">
        <v>978</v>
      </c>
      <c r="W106" s="104" t="s">
        <v>978</v>
      </c>
      <c r="X106" s="104" t="s">
        <v>978</v>
      </c>
      <c r="Y106" s="104" t="s">
        <v>978</v>
      </c>
      <c r="Z106" s="104" t="s">
        <v>978</v>
      </c>
      <c r="AA106" s="104" t="s">
        <v>978</v>
      </c>
      <c r="AB106" s="104" t="s">
        <v>978</v>
      </c>
      <c r="AC106" s="104" t="s">
        <v>978</v>
      </c>
      <c r="AD106" s="104" t="s">
        <v>978</v>
      </c>
      <c r="AE106" s="104" t="s">
        <v>978</v>
      </c>
      <c r="AF106" s="104" t="s">
        <v>978</v>
      </c>
      <c r="AG106" s="104" t="s">
        <v>978</v>
      </c>
      <c r="AH106" s="104" t="s">
        <v>978</v>
      </c>
      <c r="AI106" s="104" t="s">
        <v>978</v>
      </c>
      <c r="AJ106" s="104">
        <v>96156</v>
      </c>
      <c r="AK106" s="104">
        <f t="shared" si="47"/>
        <v>101059.95599999999</v>
      </c>
      <c r="AL106" s="104">
        <f t="shared" si="48"/>
        <v>81093.516235999996</v>
      </c>
      <c r="AM106" s="120" t="s">
        <v>978</v>
      </c>
      <c r="AN106" s="103">
        <v>178750</v>
      </c>
      <c r="AO106" s="103" t="s">
        <v>974</v>
      </c>
      <c r="AP106" s="103" t="s">
        <v>974</v>
      </c>
      <c r="AQ106" s="103">
        <v>180000</v>
      </c>
      <c r="AR106" s="103" t="s">
        <v>974</v>
      </c>
      <c r="AS106" s="103" t="s">
        <v>974</v>
      </c>
      <c r="AT106" s="103" t="s">
        <v>974</v>
      </c>
      <c r="AU106" s="103">
        <f t="shared" si="33"/>
        <v>178750</v>
      </c>
      <c r="AV106" s="158"/>
      <c r="AW106" s="156">
        <f t="shared" si="49"/>
        <v>129921.758118</v>
      </c>
      <c r="AX106" s="121">
        <f t="shared" si="50"/>
        <v>129922</v>
      </c>
      <c r="AY106" s="163" t="s">
        <v>1073</v>
      </c>
      <c r="AZ106" s="160">
        <v>14</v>
      </c>
      <c r="BA106" s="138">
        <v>30</v>
      </c>
      <c r="BB106" s="138">
        <v>25</v>
      </c>
      <c r="BC106" s="139">
        <f t="shared" si="45"/>
        <v>69</v>
      </c>
      <c r="BD106" s="140">
        <f t="shared" si="32"/>
        <v>8964618</v>
      </c>
    </row>
    <row r="107" spans="1:56" s="129" customFormat="1" ht="72.75" customHeight="1" x14ac:dyDescent="0.2">
      <c r="A107" s="150">
        <v>12</v>
      </c>
      <c r="B107" s="148">
        <v>104</v>
      </c>
      <c r="C107" s="105">
        <v>42152428</v>
      </c>
      <c r="D107" s="106" t="s">
        <v>511</v>
      </c>
      <c r="E107" s="105" t="s">
        <v>731</v>
      </c>
      <c r="F107" s="105" t="s">
        <v>449</v>
      </c>
      <c r="G107" s="145" t="s">
        <v>978</v>
      </c>
      <c r="H107" s="145" t="s">
        <v>978</v>
      </c>
      <c r="I107" s="145" t="s">
        <v>978</v>
      </c>
      <c r="J107" s="104" t="s">
        <v>978</v>
      </c>
      <c r="K107" s="104" t="s">
        <v>978</v>
      </c>
      <c r="L107" s="104" t="s">
        <v>978</v>
      </c>
      <c r="M107" s="104" t="s">
        <v>978</v>
      </c>
      <c r="N107" s="104" t="s">
        <v>978</v>
      </c>
      <c r="O107" s="104" t="s">
        <v>978</v>
      </c>
      <c r="P107" s="104" t="s">
        <v>978</v>
      </c>
      <c r="Q107" s="104" t="s">
        <v>1012</v>
      </c>
      <c r="R107" s="104">
        <v>68668</v>
      </c>
      <c r="S107" s="104">
        <f t="shared" si="46"/>
        <v>75922.911536</v>
      </c>
      <c r="T107" s="104" t="s">
        <v>978</v>
      </c>
      <c r="U107" s="104" t="s">
        <v>978</v>
      </c>
      <c r="V107" s="104" t="s">
        <v>978</v>
      </c>
      <c r="W107" s="104" t="s">
        <v>978</v>
      </c>
      <c r="X107" s="104" t="s">
        <v>978</v>
      </c>
      <c r="Y107" s="104" t="s">
        <v>978</v>
      </c>
      <c r="Z107" s="104" t="s">
        <v>978</v>
      </c>
      <c r="AA107" s="104" t="s">
        <v>978</v>
      </c>
      <c r="AB107" s="104" t="s">
        <v>978</v>
      </c>
      <c r="AC107" s="104" t="s">
        <v>978</v>
      </c>
      <c r="AD107" s="104" t="s">
        <v>978</v>
      </c>
      <c r="AE107" s="104" t="s">
        <v>978</v>
      </c>
      <c r="AF107" s="104" t="s">
        <v>978</v>
      </c>
      <c r="AG107" s="104" t="s">
        <v>978</v>
      </c>
      <c r="AH107" s="104" t="s">
        <v>978</v>
      </c>
      <c r="AI107" s="104" t="s">
        <v>978</v>
      </c>
      <c r="AJ107" s="104">
        <v>95665</v>
      </c>
      <c r="AK107" s="104">
        <f t="shared" si="47"/>
        <v>100543.91499999999</v>
      </c>
      <c r="AL107" s="104">
        <f t="shared" si="48"/>
        <v>88233.413268000004</v>
      </c>
      <c r="AM107" s="120" t="s">
        <v>978</v>
      </c>
      <c r="AN107" s="103">
        <v>178750</v>
      </c>
      <c r="AO107" s="103" t="s">
        <v>974</v>
      </c>
      <c r="AP107" s="103" t="s">
        <v>974</v>
      </c>
      <c r="AQ107" s="103">
        <v>180000</v>
      </c>
      <c r="AR107" s="103" t="s">
        <v>974</v>
      </c>
      <c r="AS107" s="103" t="s">
        <v>974</v>
      </c>
      <c r="AT107" s="103" t="s">
        <v>974</v>
      </c>
      <c r="AU107" s="103">
        <f t="shared" si="33"/>
        <v>178750</v>
      </c>
      <c r="AV107" s="158"/>
      <c r="AW107" s="156">
        <f t="shared" si="49"/>
        <v>133491.706634</v>
      </c>
      <c r="AX107" s="121">
        <f t="shared" si="50"/>
        <v>133492</v>
      </c>
      <c r="AY107" s="163" t="s">
        <v>1073</v>
      </c>
      <c r="AZ107" s="160">
        <v>14</v>
      </c>
      <c r="BA107" s="138">
        <v>30</v>
      </c>
      <c r="BB107" s="138">
        <v>25</v>
      </c>
      <c r="BC107" s="139">
        <f t="shared" si="45"/>
        <v>69</v>
      </c>
      <c r="BD107" s="140">
        <f t="shared" si="32"/>
        <v>9210948</v>
      </c>
    </row>
    <row r="108" spans="1:56" s="129" customFormat="1" ht="48" customHeight="1" x14ac:dyDescent="0.2">
      <c r="A108" s="150">
        <v>12</v>
      </c>
      <c r="B108" s="148">
        <v>105</v>
      </c>
      <c r="C108" s="105">
        <v>42311601</v>
      </c>
      <c r="D108" s="106" t="s">
        <v>609</v>
      </c>
      <c r="E108" s="105" t="s">
        <v>809</v>
      </c>
      <c r="F108" s="107" t="s">
        <v>608</v>
      </c>
      <c r="G108" s="145" t="s">
        <v>978</v>
      </c>
      <c r="H108" s="145" t="s">
        <v>978</v>
      </c>
      <c r="I108" s="145" t="s">
        <v>978</v>
      </c>
      <c r="J108" s="104" t="s">
        <v>978</v>
      </c>
      <c r="K108" s="104" t="s">
        <v>978</v>
      </c>
      <c r="L108" s="104" t="s">
        <v>978</v>
      </c>
      <c r="M108" s="104" t="s">
        <v>978</v>
      </c>
      <c r="N108" s="104" t="s">
        <v>978</v>
      </c>
      <c r="O108" s="104" t="s">
        <v>978</v>
      </c>
      <c r="P108" s="104" t="s">
        <v>978</v>
      </c>
      <c r="Q108" s="104" t="s">
        <v>1012</v>
      </c>
      <c r="R108" s="104" t="s">
        <v>978</v>
      </c>
      <c r="S108" s="104" t="s">
        <v>978</v>
      </c>
      <c r="T108" s="104" t="s">
        <v>978</v>
      </c>
      <c r="U108" s="104" t="s">
        <v>978</v>
      </c>
      <c r="V108" s="104" t="s">
        <v>978</v>
      </c>
      <c r="W108" s="104" t="s">
        <v>978</v>
      </c>
      <c r="X108" s="104" t="s">
        <v>978</v>
      </c>
      <c r="Y108" s="104" t="s">
        <v>978</v>
      </c>
      <c r="Z108" s="104" t="s">
        <v>978</v>
      </c>
      <c r="AA108" s="104" t="s">
        <v>978</v>
      </c>
      <c r="AB108" s="104" t="s">
        <v>978</v>
      </c>
      <c r="AC108" s="104" t="s">
        <v>978</v>
      </c>
      <c r="AD108" s="104" t="s">
        <v>978</v>
      </c>
      <c r="AE108" s="104" t="s">
        <v>978</v>
      </c>
      <c r="AF108" s="104" t="s">
        <v>978</v>
      </c>
      <c r="AG108" s="104" t="s">
        <v>978</v>
      </c>
      <c r="AH108" s="104" t="s">
        <v>978</v>
      </c>
      <c r="AI108" s="104" t="s">
        <v>978</v>
      </c>
      <c r="AJ108" s="104" t="s">
        <v>978</v>
      </c>
      <c r="AK108" s="104" t="s">
        <v>978</v>
      </c>
      <c r="AL108" s="104" t="s">
        <v>978</v>
      </c>
      <c r="AM108" s="120" t="s">
        <v>978</v>
      </c>
      <c r="AN108" s="103">
        <v>97240</v>
      </c>
      <c r="AO108" s="103" t="s">
        <v>974</v>
      </c>
      <c r="AP108" s="103" t="s">
        <v>974</v>
      </c>
      <c r="AQ108" s="103">
        <v>125000</v>
      </c>
      <c r="AR108" s="103" t="s">
        <v>974</v>
      </c>
      <c r="AS108" s="103" t="s">
        <v>974</v>
      </c>
      <c r="AT108" s="103" t="s">
        <v>974</v>
      </c>
      <c r="AU108" s="103">
        <f t="shared" si="33"/>
        <v>97240</v>
      </c>
      <c r="AV108" s="158"/>
      <c r="AW108" s="156">
        <f t="shared" si="49"/>
        <v>97240</v>
      </c>
      <c r="AX108" s="121">
        <f t="shared" si="50"/>
        <v>97240</v>
      </c>
      <c r="AY108" s="163" t="s">
        <v>1073</v>
      </c>
      <c r="AZ108" s="160">
        <v>12</v>
      </c>
      <c r="BA108" s="138">
        <v>8</v>
      </c>
      <c r="BB108" s="138">
        <v>18</v>
      </c>
      <c r="BC108" s="139">
        <f t="shared" si="45"/>
        <v>38</v>
      </c>
      <c r="BD108" s="140">
        <f t="shared" si="32"/>
        <v>3695120</v>
      </c>
    </row>
    <row r="109" spans="1:56" s="129" customFormat="1" ht="36" customHeight="1" x14ac:dyDescent="0.2">
      <c r="A109" s="150">
        <v>12</v>
      </c>
      <c r="B109" s="148">
        <v>106</v>
      </c>
      <c r="C109" s="105"/>
      <c r="D109" s="106" t="s">
        <v>630</v>
      </c>
      <c r="E109" s="105" t="s">
        <v>810</v>
      </c>
      <c r="F109" s="107" t="s">
        <v>636</v>
      </c>
      <c r="G109" s="145" t="s">
        <v>978</v>
      </c>
      <c r="H109" s="143" t="s">
        <v>978</v>
      </c>
      <c r="I109" s="145" t="s">
        <v>978</v>
      </c>
      <c r="J109" s="104" t="s">
        <v>978</v>
      </c>
      <c r="K109" s="104" t="s">
        <v>978</v>
      </c>
      <c r="L109" s="104" t="s">
        <v>978</v>
      </c>
      <c r="M109" s="104" t="s">
        <v>978</v>
      </c>
      <c r="N109" s="104" t="s">
        <v>978</v>
      </c>
      <c r="O109" s="104" t="s">
        <v>978</v>
      </c>
      <c r="P109" s="104" t="s">
        <v>978</v>
      </c>
      <c r="Q109" s="104" t="s">
        <v>1012</v>
      </c>
      <c r="R109" s="104">
        <v>27169</v>
      </c>
      <c r="S109" s="104">
        <f>R109*(1+5.2%)*(1+5.1%)</f>
        <v>30039.459187999997</v>
      </c>
      <c r="T109" s="104" t="s">
        <v>978</v>
      </c>
      <c r="U109" s="104" t="s">
        <v>978</v>
      </c>
      <c r="V109" s="104" t="s">
        <v>978</v>
      </c>
      <c r="W109" s="104" t="s">
        <v>978</v>
      </c>
      <c r="X109" s="104" t="s">
        <v>978</v>
      </c>
      <c r="Y109" s="104" t="s">
        <v>978</v>
      </c>
      <c r="Z109" s="104" t="s">
        <v>978</v>
      </c>
      <c r="AA109" s="104" t="s">
        <v>978</v>
      </c>
      <c r="AB109" s="104" t="s">
        <v>978</v>
      </c>
      <c r="AC109" s="104" t="s">
        <v>978</v>
      </c>
      <c r="AD109" s="104" t="s">
        <v>978</v>
      </c>
      <c r="AE109" s="104" t="s">
        <v>978</v>
      </c>
      <c r="AF109" s="104" t="s">
        <v>978</v>
      </c>
      <c r="AG109" s="104" t="s">
        <v>978</v>
      </c>
      <c r="AH109" s="104" t="s">
        <v>978</v>
      </c>
      <c r="AI109" s="104" t="s">
        <v>978</v>
      </c>
      <c r="AJ109" s="104">
        <v>35910</v>
      </c>
      <c r="AK109" s="104">
        <f>AJ109*(1+5.1%)</f>
        <v>37741.409999999996</v>
      </c>
      <c r="AL109" s="104">
        <f>+AVERAGE(K109,M109,O109,Q109,S109,U109,W109,Y109,AA109,AC109,AE109,AG109,AI109,AK109)</f>
        <v>33890.434593999998</v>
      </c>
      <c r="AM109" s="120">
        <v>41581</v>
      </c>
      <c r="AN109" s="103">
        <v>42185</v>
      </c>
      <c r="AO109" s="103" t="s">
        <v>974</v>
      </c>
      <c r="AP109" s="103" t="s">
        <v>974</v>
      </c>
      <c r="AQ109" s="103">
        <v>65450</v>
      </c>
      <c r="AR109" s="103" t="s">
        <v>974</v>
      </c>
      <c r="AS109" s="103" t="s">
        <v>974</v>
      </c>
      <c r="AT109" s="103" t="s">
        <v>974</v>
      </c>
      <c r="AU109" s="103">
        <f t="shared" si="33"/>
        <v>42185</v>
      </c>
      <c r="AV109" s="158"/>
      <c r="AW109" s="156">
        <f>+AVERAGE(AL109,AU109,AM109)</f>
        <v>39218.811531333333</v>
      </c>
      <c r="AX109" s="121">
        <f t="shared" ref="AX109" si="52">+ROUND(AW109,0)</f>
        <v>39219</v>
      </c>
      <c r="AY109" s="163" t="s">
        <v>1085</v>
      </c>
      <c r="AZ109" s="160">
        <v>0</v>
      </c>
      <c r="BA109" s="138">
        <v>0</v>
      </c>
      <c r="BB109" s="138">
        <v>6</v>
      </c>
      <c r="BC109" s="139">
        <f>+BB109</f>
        <v>6</v>
      </c>
      <c r="BD109" s="140">
        <f t="shared" si="32"/>
        <v>235314</v>
      </c>
    </row>
    <row r="110" spans="1:56" s="129" customFormat="1" ht="48.75" customHeight="1" x14ac:dyDescent="0.2">
      <c r="A110" s="150">
        <v>12</v>
      </c>
      <c r="B110" s="148">
        <v>107</v>
      </c>
      <c r="C110" s="105">
        <v>42152443</v>
      </c>
      <c r="D110" s="106" t="s">
        <v>631</v>
      </c>
      <c r="E110" s="105" t="s">
        <v>868</v>
      </c>
      <c r="F110" s="105" t="s">
        <v>867</v>
      </c>
      <c r="G110" s="145" t="s">
        <v>978</v>
      </c>
      <c r="H110" s="145" t="s">
        <v>978</v>
      </c>
      <c r="I110" s="145" t="s">
        <v>978</v>
      </c>
      <c r="J110" s="104" t="s">
        <v>978</v>
      </c>
      <c r="K110" s="104" t="s">
        <v>978</v>
      </c>
      <c r="L110" s="104" t="s">
        <v>978</v>
      </c>
      <c r="M110" s="104" t="s">
        <v>978</v>
      </c>
      <c r="N110" s="104" t="s">
        <v>978</v>
      </c>
      <c r="O110" s="104" t="s">
        <v>978</v>
      </c>
      <c r="P110" s="104" t="s">
        <v>978</v>
      </c>
      <c r="Q110" s="104" t="s">
        <v>1012</v>
      </c>
      <c r="R110" s="104" t="s">
        <v>978</v>
      </c>
      <c r="S110" s="104" t="s">
        <v>978</v>
      </c>
      <c r="T110" s="104" t="s">
        <v>978</v>
      </c>
      <c r="U110" s="104" t="s">
        <v>978</v>
      </c>
      <c r="V110" s="104" t="s">
        <v>978</v>
      </c>
      <c r="W110" s="104" t="s">
        <v>978</v>
      </c>
      <c r="X110" s="104" t="s">
        <v>978</v>
      </c>
      <c r="Y110" s="104" t="s">
        <v>978</v>
      </c>
      <c r="Z110" s="104" t="s">
        <v>978</v>
      </c>
      <c r="AA110" s="104" t="s">
        <v>978</v>
      </c>
      <c r="AB110" s="104" t="s">
        <v>978</v>
      </c>
      <c r="AC110" s="104" t="s">
        <v>978</v>
      </c>
      <c r="AD110" s="104" t="s">
        <v>978</v>
      </c>
      <c r="AE110" s="104" t="s">
        <v>978</v>
      </c>
      <c r="AF110" s="104" t="s">
        <v>978</v>
      </c>
      <c r="AG110" s="104" t="s">
        <v>978</v>
      </c>
      <c r="AH110" s="104" t="s">
        <v>978</v>
      </c>
      <c r="AI110" s="104" t="s">
        <v>978</v>
      </c>
      <c r="AJ110" s="104" t="s">
        <v>978</v>
      </c>
      <c r="AK110" s="104" t="s">
        <v>978</v>
      </c>
      <c r="AL110" s="104" t="s">
        <v>978</v>
      </c>
      <c r="AM110" s="120" t="s">
        <v>978</v>
      </c>
      <c r="AN110" s="103">
        <v>67210</v>
      </c>
      <c r="AO110" s="103" t="s">
        <v>974</v>
      </c>
      <c r="AP110" s="103" t="s">
        <v>974</v>
      </c>
      <c r="AQ110" s="103">
        <v>68000</v>
      </c>
      <c r="AR110" s="103" t="s">
        <v>974</v>
      </c>
      <c r="AS110" s="103" t="s">
        <v>974</v>
      </c>
      <c r="AT110" s="103" t="s">
        <v>974</v>
      </c>
      <c r="AU110" s="103">
        <f t="shared" si="33"/>
        <v>67210</v>
      </c>
      <c r="AV110" s="158"/>
      <c r="AW110" s="156">
        <f t="shared" ref="AW110:AW116" si="53">+AVERAGE(AL110,AU110)</f>
        <v>67210</v>
      </c>
      <c r="AX110" s="121">
        <f>+ROUND(AW110,0)</f>
        <v>67210</v>
      </c>
      <c r="AY110" s="163" t="s">
        <v>1073</v>
      </c>
      <c r="AZ110" s="160">
        <v>0</v>
      </c>
      <c r="BA110" s="138">
        <v>0</v>
      </c>
      <c r="BB110" s="138">
        <v>5</v>
      </c>
      <c r="BC110" s="139">
        <f>+BB110</f>
        <v>5</v>
      </c>
      <c r="BD110" s="140">
        <f t="shared" si="32"/>
        <v>336050</v>
      </c>
    </row>
    <row r="111" spans="1:56" s="129" customFormat="1" ht="24.75" customHeight="1" x14ac:dyDescent="0.2">
      <c r="A111" s="150">
        <v>12</v>
      </c>
      <c r="B111" s="148">
        <v>108</v>
      </c>
      <c r="C111" s="105">
        <v>42152500</v>
      </c>
      <c r="D111" s="106" t="s">
        <v>632</v>
      </c>
      <c r="E111" s="105" t="s">
        <v>869</v>
      </c>
      <c r="F111" s="105" t="s">
        <v>637</v>
      </c>
      <c r="G111" s="145" t="s">
        <v>978</v>
      </c>
      <c r="H111" s="145" t="s">
        <v>978</v>
      </c>
      <c r="I111" s="145" t="s">
        <v>978</v>
      </c>
      <c r="J111" s="104" t="s">
        <v>978</v>
      </c>
      <c r="K111" s="104" t="s">
        <v>978</v>
      </c>
      <c r="L111" s="104" t="s">
        <v>978</v>
      </c>
      <c r="M111" s="104" t="s">
        <v>978</v>
      </c>
      <c r="N111" s="104" t="s">
        <v>978</v>
      </c>
      <c r="O111" s="104" t="s">
        <v>978</v>
      </c>
      <c r="P111" s="104" t="s">
        <v>978</v>
      </c>
      <c r="Q111" s="104" t="s">
        <v>1012</v>
      </c>
      <c r="R111" s="104">
        <v>7202</v>
      </c>
      <c r="S111" s="104">
        <f t="shared" ref="S111:S123" si="54">R111*(1+5.2%)*(1+5.1%)</f>
        <v>7962.9057039999998</v>
      </c>
      <c r="T111" s="104" t="s">
        <v>978</v>
      </c>
      <c r="U111" s="104" t="s">
        <v>978</v>
      </c>
      <c r="V111" s="104" t="s">
        <v>978</v>
      </c>
      <c r="W111" s="104" t="s">
        <v>978</v>
      </c>
      <c r="X111" s="104" t="s">
        <v>978</v>
      </c>
      <c r="Y111" s="104" t="s">
        <v>978</v>
      </c>
      <c r="Z111" s="104" t="s">
        <v>978</v>
      </c>
      <c r="AA111" s="104" t="s">
        <v>978</v>
      </c>
      <c r="AB111" s="104" t="s">
        <v>978</v>
      </c>
      <c r="AC111" s="104" t="s">
        <v>978</v>
      </c>
      <c r="AD111" s="104" t="s">
        <v>978</v>
      </c>
      <c r="AE111" s="104" t="s">
        <v>978</v>
      </c>
      <c r="AF111" s="104" t="s">
        <v>978</v>
      </c>
      <c r="AG111" s="104" t="s">
        <v>978</v>
      </c>
      <c r="AH111" s="104" t="s">
        <v>978</v>
      </c>
      <c r="AI111" s="104" t="s">
        <v>978</v>
      </c>
      <c r="AJ111" s="104">
        <v>8417</v>
      </c>
      <c r="AK111" s="104">
        <f t="shared" ref="AK111:AK122" si="55">AJ111*(1+5.1%)</f>
        <v>8846.2669999999998</v>
      </c>
      <c r="AL111" s="104">
        <f t="shared" ref="AL111:AL123" si="56">+AVERAGE(K111,M111,O111,Q111,S111,U111,W111,Y111,AA111,AC111,AE111,AG111,AI111,AK111)</f>
        <v>8404.5863520000003</v>
      </c>
      <c r="AM111" s="120" t="s">
        <v>978</v>
      </c>
      <c r="AN111" s="103">
        <v>22880</v>
      </c>
      <c r="AO111" s="103" t="s">
        <v>974</v>
      </c>
      <c r="AP111" s="103" t="s">
        <v>974</v>
      </c>
      <c r="AQ111" s="103">
        <v>26180</v>
      </c>
      <c r="AR111" s="103" t="s">
        <v>974</v>
      </c>
      <c r="AS111" s="103" t="s">
        <v>974</v>
      </c>
      <c r="AT111" s="103" t="s">
        <v>974</v>
      </c>
      <c r="AU111" s="103">
        <f t="shared" si="33"/>
        <v>22880</v>
      </c>
      <c r="AV111" s="158"/>
      <c r="AW111" s="156">
        <f t="shared" si="53"/>
        <v>15642.293175999999</v>
      </c>
      <c r="AX111" s="121">
        <f t="shared" ref="AX111:AX124" si="57">+ROUND(AW111,0)</f>
        <v>15642</v>
      </c>
      <c r="AY111" s="163" t="s">
        <v>1073</v>
      </c>
      <c r="AZ111" s="160">
        <v>0</v>
      </c>
      <c r="BA111" s="138">
        <v>0</v>
      </c>
      <c r="BB111" s="138">
        <v>6</v>
      </c>
      <c r="BC111" s="139">
        <f t="shared" ref="BC111:BC116" si="58">+BA111+BB111</f>
        <v>6</v>
      </c>
      <c r="BD111" s="140">
        <f t="shared" si="32"/>
        <v>93852</v>
      </c>
    </row>
    <row r="112" spans="1:56" s="129" customFormat="1" ht="48" customHeight="1" x14ac:dyDescent="0.2">
      <c r="A112" s="150">
        <v>12</v>
      </c>
      <c r="B112" s="148">
        <v>109</v>
      </c>
      <c r="C112" s="105">
        <v>42152443</v>
      </c>
      <c r="D112" s="108" t="s">
        <v>633</v>
      </c>
      <c r="E112" s="105" t="s">
        <v>870</v>
      </c>
      <c r="F112" s="105" t="s">
        <v>638</v>
      </c>
      <c r="G112" s="145" t="s">
        <v>978</v>
      </c>
      <c r="H112" s="145" t="s">
        <v>978</v>
      </c>
      <c r="I112" s="145" t="s">
        <v>978</v>
      </c>
      <c r="J112" s="104" t="s">
        <v>978</v>
      </c>
      <c r="K112" s="104" t="s">
        <v>978</v>
      </c>
      <c r="L112" s="104" t="s">
        <v>978</v>
      </c>
      <c r="M112" s="104" t="s">
        <v>978</v>
      </c>
      <c r="N112" s="104" t="s">
        <v>978</v>
      </c>
      <c r="O112" s="104" t="s">
        <v>978</v>
      </c>
      <c r="P112" s="104" t="s">
        <v>978</v>
      </c>
      <c r="Q112" s="104" t="s">
        <v>1012</v>
      </c>
      <c r="R112" s="104">
        <v>14481</v>
      </c>
      <c r="S112" s="104">
        <f t="shared" si="54"/>
        <v>16010.946612</v>
      </c>
      <c r="T112" s="104" t="s">
        <v>978</v>
      </c>
      <c r="U112" s="104" t="s">
        <v>978</v>
      </c>
      <c r="V112" s="104" t="s">
        <v>978</v>
      </c>
      <c r="W112" s="104" t="s">
        <v>978</v>
      </c>
      <c r="X112" s="104" t="s">
        <v>978</v>
      </c>
      <c r="Y112" s="104" t="s">
        <v>978</v>
      </c>
      <c r="Z112" s="104" t="s">
        <v>978</v>
      </c>
      <c r="AA112" s="104" t="s">
        <v>978</v>
      </c>
      <c r="AB112" s="104" t="s">
        <v>978</v>
      </c>
      <c r="AC112" s="104" t="s">
        <v>978</v>
      </c>
      <c r="AD112" s="104" t="s">
        <v>978</v>
      </c>
      <c r="AE112" s="104" t="s">
        <v>978</v>
      </c>
      <c r="AF112" s="104" t="s">
        <v>978</v>
      </c>
      <c r="AG112" s="104" t="s">
        <v>978</v>
      </c>
      <c r="AH112" s="104" t="s">
        <v>978</v>
      </c>
      <c r="AI112" s="104" t="s">
        <v>978</v>
      </c>
      <c r="AJ112" s="104">
        <v>14278</v>
      </c>
      <c r="AK112" s="104">
        <f t="shared" si="55"/>
        <v>15006.178</v>
      </c>
      <c r="AL112" s="104">
        <f t="shared" si="56"/>
        <v>15508.562306</v>
      </c>
      <c r="AM112" s="120" t="s">
        <v>978</v>
      </c>
      <c r="AN112" s="103">
        <v>34177</v>
      </c>
      <c r="AO112" s="103" t="s">
        <v>974</v>
      </c>
      <c r="AP112" s="103" t="s">
        <v>974</v>
      </c>
      <c r="AQ112" s="103">
        <v>39500</v>
      </c>
      <c r="AR112" s="103" t="s">
        <v>974</v>
      </c>
      <c r="AS112" s="103" t="s">
        <v>974</v>
      </c>
      <c r="AT112" s="103" t="s">
        <v>974</v>
      </c>
      <c r="AU112" s="103">
        <f t="shared" si="33"/>
        <v>34177</v>
      </c>
      <c r="AV112" s="158"/>
      <c r="AW112" s="156">
        <f t="shared" si="53"/>
        <v>24842.781153</v>
      </c>
      <c r="AX112" s="121">
        <f t="shared" si="57"/>
        <v>24843</v>
      </c>
      <c r="AY112" s="163" t="s">
        <v>1073</v>
      </c>
      <c r="AZ112" s="160">
        <v>0</v>
      </c>
      <c r="BA112" s="138">
        <v>3</v>
      </c>
      <c r="BB112" s="138">
        <v>0</v>
      </c>
      <c r="BC112" s="139">
        <f t="shared" si="58"/>
        <v>3</v>
      </c>
      <c r="BD112" s="140">
        <f t="shared" si="32"/>
        <v>74529</v>
      </c>
    </row>
    <row r="113" spans="1:56" s="129" customFormat="1" ht="24.75" customHeight="1" x14ac:dyDescent="0.2">
      <c r="A113" s="150">
        <v>12</v>
      </c>
      <c r="B113" s="148">
        <v>110</v>
      </c>
      <c r="C113" s="105">
        <v>42152400</v>
      </c>
      <c r="D113" s="106" t="s">
        <v>634</v>
      </c>
      <c r="E113" s="105" t="s">
        <v>871</v>
      </c>
      <c r="F113" s="105" t="s">
        <v>639</v>
      </c>
      <c r="G113" s="145" t="s">
        <v>978</v>
      </c>
      <c r="H113" s="145" t="s">
        <v>978</v>
      </c>
      <c r="I113" s="145" t="s">
        <v>978</v>
      </c>
      <c r="J113" s="104" t="s">
        <v>978</v>
      </c>
      <c r="K113" s="104" t="s">
        <v>978</v>
      </c>
      <c r="L113" s="104" t="s">
        <v>978</v>
      </c>
      <c r="M113" s="104" t="s">
        <v>978</v>
      </c>
      <c r="N113" s="104" t="s">
        <v>978</v>
      </c>
      <c r="O113" s="104" t="s">
        <v>978</v>
      </c>
      <c r="P113" s="104" t="s">
        <v>978</v>
      </c>
      <c r="Q113" s="104" t="s">
        <v>1012</v>
      </c>
      <c r="R113" s="104">
        <v>63336</v>
      </c>
      <c r="S113" s="104">
        <f t="shared" si="54"/>
        <v>70027.575072000007</v>
      </c>
      <c r="T113" s="104" t="s">
        <v>978</v>
      </c>
      <c r="U113" s="104" t="s">
        <v>978</v>
      </c>
      <c r="V113" s="104" t="s">
        <v>978</v>
      </c>
      <c r="W113" s="104" t="s">
        <v>978</v>
      </c>
      <c r="X113" s="104" t="s">
        <v>978</v>
      </c>
      <c r="Y113" s="104" t="s">
        <v>978</v>
      </c>
      <c r="Z113" s="104" t="s">
        <v>978</v>
      </c>
      <c r="AA113" s="104" t="s">
        <v>978</v>
      </c>
      <c r="AB113" s="104" t="s">
        <v>978</v>
      </c>
      <c r="AC113" s="104" t="s">
        <v>978</v>
      </c>
      <c r="AD113" s="104" t="s">
        <v>978</v>
      </c>
      <c r="AE113" s="104" t="s">
        <v>978</v>
      </c>
      <c r="AF113" s="104" t="s">
        <v>978</v>
      </c>
      <c r="AG113" s="104" t="s">
        <v>978</v>
      </c>
      <c r="AH113" s="104" t="s">
        <v>978</v>
      </c>
      <c r="AI113" s="104" t="s">
        <v>978</v>
      </c>
      <c r="AJ113" s="104">
        <v>63291</v>
      </c>
      <c r="AK113" s="104">
        <f t="shared" si="55"/>
        <v>66518.841</v>
      </c>
      <c r="AL113" s="104">
        <f t="shared" si="56"/>
        <v>68273.208035999996</v>
      </c>
      <c r="AM113" s="120" t="s">
        <v>978</v>
      </c>
      <c r="AN113" s="103">
        <v>97240</v>
      </c>
      <c r="AO113" s="103" t="s">
        <v>974</v>
      </c>
      <c r="AP113" s="103" t="s">
        <v>974</v>
      </c>
      <c r="AQ113" s="103">
        <v>95200</v>
      </c>
      <c r="AR113" s="103" t="s">
        <v>974</v>
      </c>
      <c r="AS113" s="103" t="s">
        <v>974</v>
      </c>
      <c r="AT113" s="103" t="s">
        <v>974</v>
      </c>
      <c r="AU113" s="103">
        <f t="shared" si="33"/>
        <v>95200</v>
      </c>
      <c r="AV113" s="158"/>
      <c r="AW113" s="156">
        <f t="shared" si="53"/>
        <v>81736.604017999998</v>
      </c>
      <c r="AX113" s="121">
        <f t="shared" si="57"/>
        <v>81737</v>
      </c>
      <c r="AY113" s="163" t="s">
        <v>1073</v>
      </c>
      <c r="AZ113" s="160">
        <v>0</v>
      </c>
      <c r="BA113" s="138">
        <v>1</v>
      </c>
      <c r="BB113" s="138">
        <v>12</v>
      </c>
      <c r="BC113" s="139">
        <f t="shared" si="58"/>
        <v>13</v>
      </c>
      <c r="BD113" s="140">
        <f t="shared" si="32"/>
        <v>1062581</v>
      </c>
    </row>
    <row r="114" spans="1:56" s="129" customFormat="1" ht="48" customHeight="1" x14ac:dyDescent="0.2">
      <c r="A114" s="150">
        <v>12</v>
      </c>
      <c r="B114" s="148">
        <v>111</v>
      </c>
      <c r="C114" s="105">
        <v>42152400</v>
      </c>
      <c r="D114" s="106" t="s">
        <v>635</v>
      </c>
      <c r="E114" s="105" t="s">
        <v>872</v>
      </c>
      <c r="F114" s="105" t="s">
        <v>640</v>
      </c>
      <c r="G114" s="145" t="s">
        <v>978</v>
      </c>
      <c r="H114" s="145" t="s">
        <v>978</v>
      </c>
      <c r="I114" s="145" t="s">
        <v>978</v>
      </c>
      <c r="J114" s="104" t="s">
        <v>978</v>
      </c>
      <c r="K114" s="104" t="s">
        <v>978</v>
      </c>
      <c r="L114" s="104" t="s">
        <v>978</v>
      </c>
      <c r="M114" s="104" t="s">
        <v>978</v>
      </c>
      <c r="N114" s="104" t="s">
        <v>978</v>
      </c>
      <c r="O114" s="104" t="s">
        <v>978</v>
      </c>
      <c r="P114" s="104" t="s">
        <v>978</v>
      </c>
      <c r="Q114" s="104" t="s">
        <v>1012</v>
      </c>
      <c r="R114" s="104" t="s">
        <v>978</v>
      </c>
      <c r="S114" s="104" t="s">
        <v>978</v>
      </c>
      <c r="T114" s="104" t="s">
        <v>978</v>
      </c>
      <c r="U114" s="104" t="s">
        <v>978</v>
      </c>
      <c r="V114" s="104" t="s">
        <v>978</v>
      </c>
      <c r="W114" s="104" t="s">
        <v>978</v>
      </c>
      <c r="X114" s="104" t="s">
        <v>978</v>
      </c>
      <c r="Y114" s="104" t="s">
        <v>978</v>
      </c>
      <c r="Z114" s="104" t="s">
        <v>978</v>
      </c>
      <c r="AA114" s="104" t="s">
        <v>978</v>
      </c>
      <c r="AB114" s="104" t="s">
        <v>978</v>
      </c>
      <c r="AC114" s="104" t="s">
        <v>978</v>
      </c>
      <c r="AD114" s="104" t="s">
        <v>978</v>
      </c>
      <c r="AE114" s="104" t="s">
        <v>978</v>
      </c>
      <c r="AF114" s="104" t="s">
        <v>978</v>
      </c>
      <c r="AG114" s="104" t="s">
        <v>978</v>
      </c>
      <c r="AH114" s="104" t="s">
        <v>978</v>
      </c>
      <c r="AI114" s="104" t="s">
        <v>978</v>
      </c>
      <c r="AJ114" s="104" t="s">
        <v>978</v>
      </c>
      <c r="AK114" s="104" t="s">
        <v>978</v>
      </c>
      <c r="AL114" s="104" t="s">
        <v>978</v>
      </c>
      <c r="AM114" s="120" t="s">
        <v>978</v>
      </c>
      <c r="AN114" s="103">
        <v>28600</v>
      </c>
      <c r="AO114" s="103" t="s">
        <v>974</v>
      </c>
      <c r="AP114" s="103" t="s">
        <v>974</v>
      </c>
      <c r="AQ114" s="103">
        <v>487000</v>
      </c>
      <c r="AR114" s="103" t="s">
        <v>974</v>
      </c>
      <c r="AS114" s="103" t="s">
        <v>974</v>
      </c>
      <c r="AT114" s="103" t="s">
        <v>974</v>
      </c>
      <c r="AU114" s="103">
        <f>+AQ114</f>
        <v>487000</v>
      </c>
      <c r="AV114" s="158" t="s">
        <v>1083</v>
      </c>
      <c r="AW114" s="156">
        <f t="shared" si="53"/>
        <v>487000</v>
      </c>
      <c r="AX114" s="121">
        <f t="shared" si="57"/>
        <v>487000</v>
      </c>
      <c r="AY114" s="163" t="s">
        <v>1073</v>
      </c>
      <c r="AZ114" s="160">
        <v>0</v>
      </c>
      <c r="BA114" s="138">
        <v>2</v>
      </c>
      <c r="BB114" s="138">
        <v>0</v>
      </c>
      <c r="BC114" s="139">
        <f t="shared" si="58"/>
        <v>2</v>
      </c>
      <c r="BD114" s="140">
        <f t="shared" si="32"/>
        <v>974000</v>
      </c>
    </row>
    <row r="115" spans="1:56" s="129" customFormat="1" ht="48.75" customHeight="1" x14ac:dyDescent="0.2">
      <c r="A115" s="150">
        <v>12</v>
      </c>
      <c r="B115" s="148">
        <v>112</v>
      </c>
      <c r="C115" s="105">
        <v>42181715</v>
      </c>
      <c r="D115" s="106" t="s">
        <v>606</v>
      </c>
      <c r="E115" s="105" t="s">
        <v>606</v>
      </c>
      <c r="F115" s="105" t="s">
        <v>573</v>
      </c>
      <c r="G115" s="145" t="s">
        <v>978</v>
      </c>
      <c r="H115" s="145" t="s">
        <v>978</v>
      </c>
      <c r="I115" s="145" t="s">
        <v>978</v>
      </c>
      <c r="J115" s="104" t="s">
        <v>978</v>
      </c>
      <c r="K115" s="104" t="s">
        <v>978</v>
      </c>
      <c r="L115" s="104" t="s">
        <v>978</v>
      </c>
      <c r="M115" s="104" t="s">
        <v>978</v>
      </c>
      <c r="N115" s="104" t="s">
        <v>978</v>
      </c>
      <c r="O115" s="104" t="s">
        <v>978</v>
      </c>
      <c r="P115" s="104" t="s">
        <v>978</v>
      </c>
      <c r="Q115" s="104" t="s">
        <v>1012</v>
      </c>
      <c r="R115" s="104" t="s">
        <v>978</v>
      </c>
      <c r="S115" s="104" t="s">
        <v>978</v>
      </c>
      <c r="T115" s="104" t="s">
        <v>978</v>
      </c>
      <c r="U115" s="104" t="s">
        <v>978</v>
      </c>
      <c r="V115" s="104" t="s">
        <v>978</v>
      </c>
      <c r="W115" s="104" t="s">
        <v>978</v>
      </c>
      <c r="X115" s="104" t="s">
        <v>978</v>
      </c>
      <c r="Y115" s="104" t="s">
        <v>978</v>
      </c>
      <c r="Z115" s="104" t="s">
        <v>978</v>
      </c>
      <c r="AA115" s="104" t="s">
        <v>978</v>
      </c>
      <c r="AB115" s="104">
        <v>4999</v>
      </c>
      <c r="AC115" s="104">
        <f>AB115*(1+5.1%)</f>
        <v>5253.9489999999996</v>
      </c>
      <c r="AD115" s="104" t="s">
        <v>978</v>
      </c>
      <c r="AE115" s="104" t="s">
        <v>978</v>
      </c>
      <c r="AF115" s="104" t="s">
        <v>978</v>
      </c>
      <c r="AG115" s="104" t="s">
        <v>978</v>
      </c>
      <c r="AH115" s="104" t="s">
        <v>978</v>
      </c>
      <c r="AI115" s="104" t="s">
        <v>978</v>
      </c>
      <c r="AJ115" s="104" t="s">
        <v>978</v>
      </c>
      <c r="AK115" s="104" t="s">
        <v>978</v>
      </c>
      <c r="AL115" s="104">
        <f t="shared" si="56"/>
        <v>5253.9489999999996</v>
      </c>
      <c r="AM115" s="120" t="s">
        <v>978</v>
      </c>
      <c r="AN115" s="103">
        <v>14014</v>
      </c>
      <c r="AO115" s="103" t="s">
        <v>974</v>
      </c>
      <c r="AP115" s="103" t="s">
        <v>974</v>
      </c>
      <c r="AQ115" s="103">
        <v>12000</v>
      </c>
      <c r="AR115" s="103" t="s">
        <v>974</v>
      </c>
      <c r="AS115" s="103" t="s">
        <v>974</v>
      </c>
      <c r="AT115" s="103" t="s">
        <v>974</v>
      </c>
      <c r="AU115" s="103">
        <f t="shared" ref="AU115:AU124" si="59">+MIN(AN115:AT115)</f>
        <v>12000</v>
      </c>
      <c r="AV115" s="158"/>
      <c r="AW115" s="156">
        <f t="shared" si="53"/>
        <v>8626.9745000000003</v>
      </c>
      <c r="AX115" s="121">
        <f t="shared" si="57"/>
        <v>8627</v>
      </c>
      <c r="AY115" s="163" t="s">
        <v>1073</v>
      </c>
      <c r="AZ115" s="160">
        <v>0</v>
      </c>
      <c r="BA115" s="138">
        <v>24</v>
      </c>
      <c r="BB115" s="138">
        <v>0</v>
      </c>
      <c r="BC115" s="139">
        <f t="shared" si="58"/>
        <v>24</v>
      </c>
      <c r="BD115" s="140">
        <f t="shared" si="32"/>
        <v>207048</v>
      </c>
    </row>
    <row r="116" spans="1:56" s="129" customFormat="1" ht="24.75" customHeight="1" x14ac:dyDescent="0.2">
      <c r="A116" s="150">
        <v>12</v>
      </c>
      <c r="B116" s="148">
        <v>113</v>
      </c>
      <c r="C116" s="105">
        <v>42152423</v>
      </c>
      <c r="D116" s="106" t="s">
        <v>293</v>
      </c>
      <c r="E116" s="105" t="s">
        <v>873</v>
      </c>
      <c r="F116" s="105" t="s">
        <v>641</v>
      </c>
      <c r="G116" s="145" t="s">
        <v>978</v>
      </c>
      <c r="H116" s="145" t="s">
        <v>978</v>
      </c>
      <c r="I116" s="145" t="s">
        <v>978</v>
      </c>
      <c r="J116" s="104" t="s">
        <v>978</v>
      </c>
      <c r="K116" s="104" t="s">
        <v>978</v>
      </c>
      <c r="L116" s="104" t="s">
        <v>978</v>
      </c>
      <c r="M116" s="104" t="s">
        <v>978</v>
      </c>
      <c r="N116" s="104" t="s">
        <v>978</v>
      </c>
      <c r="O116" s="104" t="s">
        <v>978</v>
      </c>
      <c r="P116" s="104" t="s">
        <v>978</v>
      </c>
      <c r="Q116" s="104" t="s">
        <v>1012</v>
      </c>
      <c r="R116" s="104">
        <v>40837</v>
      </c>
      <c r="S116" s="104">
        <f t="shared" si="54"/>
        <v>45151.510724</v>
      </c>
      <c r="T116" s="104" t="s">
        <v>978</v>
      </c>
      <c r="U116" s="104" t="s">
        <v>978</v>
      </c>
      <c r="V116" s="104" t="s">
        <v>978</v>
      </c>
      <c r="W116" s="104" t="s">
        <v>978</v>
      </c>
      <c r="X116" s="104" t="s">
        <v>978</v>
      </c>
      <c r="Y116" s="104" t="s">
        <v>978</v>
      </c>
      <c r="Z116" s="104" t="s">
        <v>978</v>
      </c>
      <c r="AA116" s="104" t="s">
        <v>978</v>
      </c>
      <c r="AB116" s="104" t="s">
        <v>978</v>
      </c>
      <c r="AC116" s="104" t="s">
        <v>978</v>
      </c>
      <c r="AD116" s="104" t="s">
        <v>978</v>
      </c>
      <c r="AE116" s="104" t="s">
        <v>978</v>
      </c>
      <c r="AF116" s="104" t="s">
        <v>978</v>
      </c>
      <c r="AG116" s="104" t="s">
        <v>978</v>
      </c>
      <c r="AH116" s="104" t="s">
        <v>978</v>
      </c>
      <c r="AI116" s="104" t="s">
        <v>978</v>
      </c>
      <c r="AJ116" s="104">
        <v>43795</v>
      </c>
      <c r="AK116" s="104">
        <f t="shared" si="55"/>
        <v>46028.544999999998</v>
      </c>
      <c r="AL116" s="104">
        <f t="shared" si="56"/>
        <v>45590.027862000003</v>
      </c>
      <c r="AM116" s="120" t="s">
        <v>978</v>
      </c>
      <c r="AN116" s="103">
        <v>287430</v>
      </c>
      <c r="AO116" s="103" t="s">
        <v>974</v>
      </c>
      <c r="AP116" s="103" t="s">
        <v>974</v>
      </c>
      <c r="AQ116" s="103">
        <v>335000</v>
      </c>
      <c r="AR116" s="103" t="s">
        <v>974</v>
      </c>
      <c r="AS116" s="103" t="s">
        <v>974</v>
      </c>
      <c r="AT116" s="103" t="s">
        <v>974</v>
      </c>
      <c r="AU116" s="103">
        <f t="shared" si="59"/>
        <v>287430</v>
      </c>
      <c r="AV116" s="158"/>
      <c r="AW116" s="156">
        <f t="shared" si="53"/>
        <v>166510.01393099999</v>
      </c>
      <c r="AX116" s="121">
        <f t="shared" si="57"/>
        <v>166510</v>
      </c>
      <c r="AY116" s="163" t="s">
        <v>1073</v>
      </c>
      <c r="AZ116" s="160">
        <v>0</v>
      </c>
      <c r="BA116" s="138">
        <v>1</v>
      </c>
      <c r="BB116" s="138">
        <v>12</v>
      </c>
      <c r="BC116" s="139">
        <f t="shared" si="58"/>
        <v>13</v>
      </c>
      <c r="BD116" s="140">
        <f t="shared" si="32"/>
        <v>2164630</v>
      </c>
    </row>
    <row r="117" spans="1:56" s="129" customFormat="1" ht="48" customHeight="1" x14ac:dyDescent="0.2">
      <c r="A117" s="150">
        <v>12</v>
      </c>
      <c r="B117" s="148">
        <v>114</v>
      </c>
      <c r="C117" s="105">
        <v>42152428</v>
      </c>
      <c r="D117" s="106" t="s">
        <v>613</v>
      </c>
      <c r="E117" s="105" t="s">
        <v>874</v>
      </c>
      <c r="F117" s="107" t="s">
        <v>612</v>
      </c>
      <c r="G117" s="145" t="s">
        <v>978</v>
      </c>
      <c r="H117" s="145" t="s">
        <v>978</v>
      </c>
      <c r="I117" s="145" t="s">
        <v>978</v>
      </c>
      <c r="J117" s="104" t="s">
        <v>978</v>
      </c>
      <c r="K117" s="104" t="s">
        <v>978</v>
      </c>
      <c r="L117" s="104" t="s">
        <v>978</v>
      </c>
      <c r="M117" s="104" t="s">
        <v>978</v>
      </c>
      <c r="N117" s="104" t="s">
        <v>978</v>
      </c>
      <c r="O117" s="104" t="s">
        <v>978</v>
      </c>
      <c r="P117" s="104" t="s">
        <v>978</v>
      </c>
      <c r="Q117" s="104" t="s">
        <v>1012</v>
      </c>
      <c r="R117" s="104">
        <v>120888</v>
      </c>
      <c r="S117" s="104">
        <f t="shared" si="54"/>
        <v>133660.058976</v>
      </c>
      <c r="T117" s="104" t="s">
        <v>978</v>
      </c>
      <c r="U117" s="104" t="s">
        <v>978</v>
      </c>
      <c r="V117" s="104" t="s">
        <v>978</v>
      </c>
      <c r="W117" s="104" t="s">
        <v>978</v>
      </c>
      <c r="X117" s="104" t="s">
        <v>978</v>
      </c>
      <c r="Y117" s="104" t="s">
        <v>978</v>
      </c>
      <c r="Z117" s="104" t="s">
        <v>978</v>
      </c>
      <c r="AA117" s="104" t="s">
        <v>978</v>
      </c>
      <c r="AB117" s="104" t="s">
        <v>978</v>
      </c>
      <c r="AC117" s="104" t="s">
        <v>978</v>
      </c>
      <c r="AD117" s="104" t="s">
        <v>978</v>
      </c>
      <c r="AE117" s="104" t="s">
        <v>978</v>
      </c>
      <c r="AF117" s="104" t="s">
        <v>978</v>
      </c>
      <c r="AG117" s="104" t="s">
        <v>978</v>
      </c>
      <c r="AH117" s="104" t="s">
        <v>978</v>
      </c>
      <c r="AI117" s="104" t="s">
        <v>978</v>
      </c>
      <c r="AJ117" s="104">
        <v>112992</v>
      </c>
      <c r="AK117" s="104">
        <f t="shared" si="55"/>
        <v>118754.59199999999</v>
      </c>
      <c r="AL117" s="104">
        <f t="shared" si="56"/>
        <v>126207.325488</v>
      </c>
      <c r="AM117" s="120" t="s">
        <v>978</v>
      </c>
      <c r="AN117" s="103">
        <v>78650</v>
      </c>
      <c r="AO117" s="103" t="s">
        <v>974</v>
      </c>
      <c r="AP117" s="103" t="s">
        <v>974</v>
      </c>
      <c r="AQ117" s="103">
        <v>195000</v>
      </c>
      <c r="AR117" s="103" t="s">
        <v>974</v>
      </c>
      <c r="AS117" s="103" t="s">
        <v>974</v>
      </c>
      <c r="AT117" s="103" t="s">
        <v>974</v>
      </c>
      <c r="AU117" s="103">
        <f t="shared" si="59"/>
        <v>78650</v>
      </c>
      <c r="AV117" s="158"/>
      <c r="AW117" s="156">
        <f>+AU117</f>
        <v>78650</v>
      </c>
      <c r="AX117" s="121">
        <f t="shared" si="57"/>
        <v>78650</v>
      </c>
      <c r="AY117" s="163" t="s">
        <v>1080</v>
      </c>
      <c r="AZ117" s="160">
        <v>31</v>
      </c>
      <c r="BA117" s="138">
        <v>60</v>
      </c>
      <c r="BB117" s="138">
        <v>15</v>
      </c>
      <c r="BC117" s="139">
        <f t="shared" ref="BC117:BC138" si="60">+AZ117+BA117+BB117</f>
        <v>106</v>
      </c>
      <c r="BD117" s="140">
        <f t="shared" si="32"/>
        <v>8336900</v>
      </c>
    </row>
    <row r="118" spans="1:56" s="129" customFormat="1" ht="48.75" customHeight="1" x14ac:dyDescent="0.2">
      <c r="A118" s="150">
        <v>12</v>
      </c>
      <c r="B118" s="148">
        <v>115</v>
      </c>
      <c r="C118" s="105">
        <v>42152428</v>
      </c>
      <c r="D118" s="106" t="s">
        <v>512</v>
      </c>
      <c r="E118" s="105" t="s">
        <v>875</v>
      </c>
      <c r="F118" s="105" t="s">
        <v>444</v>
      </c>
      <c r="G118" s="145" t="s">
        <v>978</v>
      </c>
      <c r="H118" s="145" t="s">
        <v>978</v>
      </c>
      <c r="I118" s="145" t="s">
        <v>978</v>
      </c>
      <c r="J118" s="104" t="s">
        <v>978</v>
      </c>
      <c r="K118" s="104" t="s">
        <v>978</v>
      </c>
      <c r="L118" s="104" t="s">
        <v>978</v>
      </c>
      <c r="M118" s="104" t="s">
        <v>978</v>
      </c>
      <c r="N118" s="104" t="s">
        <v>978</v>
      </c>
      <c r="O118" s="104" t="s">
        <v>978</v>
      </c>
      <c r="P118" s="104" t="s">
        <v>978</v>
      </c>
      <c r="Q118" s="104" t="s">
        <v>1012</v>
      </c>
      <c r="R118" s="104">
        <v>120888</v>
      </c>
      <c r="S118" s="104">
        <f t="shared" si="54"/>
        <v>133660.058976</v>
      </c>
      <c r="T118" s="104" t="s">
        <v>978</v>
      </c>
      <c r="U118" s="104" t="s">
        <v>978</v>
      </c>
      <c r="V118" s="104" t="s">
        <v>978</v>
      </c>
      <c r="W118" s="104" t="s">
        <v>978</v>
      </c>
      <c r="X118" s="104" t="s">
        <v>978</v>
      </c>
      <c r="Y118" s="104" t="s">
        <v>978</v>
      </c>
      <c r="Z118" s="104" t="s">
        <v>978</v>
      </c>
      <c r="AA118" s="104" t="s">
        <v>978</v>
      </c>
      <c r="AB118" s="104" t="s">
        <v>978</v>
      </c>
      <c r="AC118" s="104" t="s">
        <v>978</v>
      </c>
      <c r="AD118" s="104" t="s">
        <v>978</v>
      </c>
      <c r="AE118" s="104" t="s">
        <v>978</v>
      </c>
      <c r="AF118" s="104" t="s">
        <v>978</v>
      </c>
      <c r="AG118" s="104" t="s">
        <v>978</v>
      </c>
      <c r="AH118" s="104" t="s">
        <v>978</v>
      </c>
      <c r="AI118" s="104" t="s">
        <v>978</v>
      </c>
      <c r="AJ118" s="104">
        <v>21552</v>
      </c>
      <c r="AK118" s="104">
        <f>AJ118*(1+5.1%)</f>
        <v>22651.151999999998</v>
      </c>
      <c r="AL118" s="104">
        <f t="shared" si="56"/>
        <v>78155.605488000001</v>
      </c>
      <c r="AM118" s="120" t="s">
        <v>978</v>
      </c>
      <c r="AN118" s="103">
        <v>78650</v>
      </c>
      <c r="AO118" s="103" t="s">
        <v>974</v>
      </c>
      <c r="AP118" s="103" t="s">
        <v>974</v>
      </c>
      <c r="AQ118" s="103">
        <v>195000</v>
      </c>
      <c r="AR118" s="103" t="s">
        <v>974</v>
      </c>
      <c r="AS118" s="103" t="s">
        <v>974</v>
      </c>
      <c r="AT118" s="103" t="s">
        <v>974</v>
      </c>
      <c r="AU118" s="103">
        <f t="shared" si="59"/>
        <v>78650</v>
      </c>
      <c r="AV118" s="158"/>
      <c r="AW118" s="156">
        <f>+AVERAGE(AL118,AU118)</f>
        <v>78402.802744000001</v>
      </c>
      <c r="AX118" s="121">
        <f t="shared" si="57"/>
        <v>78403</v>
      </c>
      <c r="AY118" s="163" t="s">
        <v>1073</v>
      </c>
      <c r="AZ118" s="160">
        <v>28</v>
      </c>
      <c r="BA118" s="138">
        <v>35</v>
      </c>
      <c r="BB118" s="138">
        <v>25</v>
      </c>
      <c r="BC118" s="139">
        <f t="shared" si="60"/>
        <v>88</v>
      </c>
      <c r="BD118" s="140">
        <f t="shared" si="32"/>
        <v>6899464</v>
      </c>
    </row>
    <row r="119" spans="1:56" s="129" customFormat="1" ht="36.75" customHeight="1" x14ac:dyDescent="0.2">
      <c r="A119" s="150">
        <v>12</v>
      </c>
      <c r="B119" s="148">
        <v>116</v>
      </c>
      <c r="C119" s="105">
        <v>42152428</v>
      </c>
      <c r="D119" s="106" t="s">
        <v>289</v>
      </c>
      <c r="E119" s="105" t="s">
        <v>732</v>
      </c>
      <c r="F119" s="107" t="s">
        <v>455</v>
      </c>
      <c r="G119" s="145" t="s">
        <v>978</v>
      </c>
      <c r="H119" s="145" t="s">
        <v>978</v>
      </c>
      <c r="I119" s="145" t="s">
        <v>978</v>
      </c>
      <c r="J119" s="104" t="s">
        <v>978</v>
      </c>
      <c r="K119" s="104" t="s">
        <v>978</v>
      </c>
      <c r="L119" s="104" t="s">
        <v>978</v>
      </c>
      <c r="M119" s="104" t="s">
        <v>978</v>
      </c>
      <c r="N119" s="104" t="s">
        <v>978</v>
      </c>
      <c r="O119" s="104" t="s">
        <v>978</v>
      </c>
      <c r="P119" s="104" t="s">
        <v>978</v>
      </c>
      <c r="Q119" s="104" t="s">
        <v>1012</v>
      </c>
      <c r="R119" s="104">
        <v>82357</v>
      </c>
      <c r="S119" s="104">
        <f t="shared" si="54"/>
        <v>91058.181763999994</v>
      </c>
      <c r="T119" s="104" t="s">
        <v>978</v>
      </c>
      <c r="U119" s="104" t="s">
        <v>978</v>
      </c>
      <c r="V119" s="104" t="s">
        <v>978</v>
      </c>
      <c r="W119" s="104" t="s">
        <v>978</v>
      </c>
      <c r="X119" s="104" t="s">
        <v>978</v>
      </c>
      <c r="Y119" s="104" t="s">
        <v>978</v>
      </c>
      <c r="Z119" s="104" t="s">
        <v>978</v>
      </c>
      <c r="AA119" s="104" t="s">
        <v>978</v>
      </c>
      <c r="AB119" s="104" t="s">
        <v>978</v>
      </c>
      <c r="AC119" s="104" t="s">
        <v>978</v>
      </c>
      <c r="AD119" s="104" t="s">
        <v>978</v>
      </c>
      <c r="AE119" s="104" t="s">
        <v>978</v>
      </c>
      <c r="AF119" s="104" t="s">
        <v>978</v>
      </c>
      <c r="AG119" s="104" t="s">
        <v>978</v>
      </c>
      <c r="AH119" s="104" t="s">
        <v>978</v>
      </c>
      <c r="AI119" s="104" t="s">
        <v>978</v>
      </c>
      <c r="AJ119" s="104">
        <v>83528</v>
      </c>
      <c r="AK119" s="104">
        <f t="shared" si="55"/>
        <v>87787.928</v>
      </c>
      <c r="AL119" s="104">
        <f t="shared" si="56"/>
        <v>89423.054881999997</v>
      </c>
      <c r="AM119" s="120" t="s">
        <v>978</v>
      </c>
      <c r="AN119" s="103">
        <v>117260</v>
      </c>
      <c r="AO119" s="103" t="s">
        <v>974</v>
      </c>
      <c r="AP119" s="103" t="s">
        <v>974</v>
      </c>
      <c r="AQ119" s="103">
        <v>135000</v>
      </c>
      <c r="AR119" s="103" t="s">
        <v>974</v>
      </c>
      <c r="AS119" s="103" t="s">
        <v>974</v>
      </c>
      <c r="AT119" s="103" t="s">
        <v>974</v>
      </c>
      <c r="AU119" s="103">
        <f t="shared" si="59"/>
        <v>117260</v>
      </c>
      <c r="AV119" s="158"/>
      <c r="AW119" s="156">
        <f>+AVERAGE(AL119,AU119)</f>
        <v>103341.527441</v>
      </c>
      <c r="AX119" s="121">
        <f t="shared" si="57"/>
        <v>103342</v>
      </c>
      <c r="AY119" s="163" t="s">
        <v>1073</v>
      </c>
      <c r="AZ119" s="160">
        <v>20</v>
      </c>
      <c r="BA119" s="138">
        <v>4</v>
      </c>
      <c r="BB119" s="138">
        <v>20</v>
      </c>
      <c r="BC119" s="139">
        <f t="shared" si="60"/>
        <v>44</v>
      </c>
      <c r="BD119" s="140">
        <f t="shared" si="32"/>
        <v>4547048</v>
      </c>
    </row>
    <row r="120" spans="1:56" s="129" customFormat="1" ht="36" customHeight="1" x14ac:dyDescent="0.2">
      <c r="A120" s="150">
        <v>12</v>
      </c>
      <c r="B120" s="148">
        <v>117</v>
      </c>
      <c r="C120" s="105">
        <v>42152428</v>
      </c>
      <c r="D120" s="106" t="s">
        <v>290</v>
      </c>
      <c r="E120" s="105" t="s">
        <v>733</v>
      </c>
      <c r="F120" s="107" t="s">
        <v>455</v>
      </c>
      <c r="G120" s="145" t="s">
        <v>978</v>
      </c>
      <c r="H120" s="145" t="s">
        <v>978</v>
      </c>
      <c r="I120" s="145" t="s">
        <v>978</v>
      </c>
      <c r="J120" s="104" t="s">
        <v>978</v>
      </c>
      <c r="K120" s="104" t="s">
        <v>978</v>
      </c>
      <c r="L120" s="104" t="s">
        <v>978</v>
      </c>
      <c r="M120" s="104" t="s">
        <v>978</v>
      </c>
      <c r="N120" s="104" t="s">
        <v>978</v>
      </c>
      <c r="O120" s="104" t="s">
        <v>978</v>
      </c>
      <c r="P120" s="104" t="s">
        <v>978</v>
      </c>
      <c r="Q120" s="104" t="s">
        <v>1012</v>
      </c>
      <c r="R120" s="104">
        <v>83929</v>
      </c>
      <c r="S120" s="104">
        <f t="shared" si="54"/>
        <v>92796.266707999996</v>
      </c>
      <c r="T120" s="104" t="s">
        <v>978</v>
      </c>
      <c r="U120" s="104" t="s">
        <v>978</v>
      </c>
      <c r="V120" s="104" t="s">
        <v>978</v>
      </c>
      <c r="W120" s="104" t="s">
        <v>978</v>
      </c>
      <c r="X120" s="104" t="s">
        <v>978</v>
      </c>
      <c r="Y120" s="104" t="s">
        <v>978</v>
      </c>
      <c r="Z120" s="104" t="s">
        <v>978</v>
      </c>
      <c r="AA120" s="104" t="s">
        <v>978</v>
      </c>
      <c r="AB120" s="104" t="s">
        <v>978</v>
      </c>
      <c r="AC120" s="104" t="s">
        <v>978</v>
      </c>
      <c r="AD120" s="104" t="s">
        <v>978</v>
      </c>
      <c r="AE120" s="104" t="s">
        <v>978</v>
      </c>
      <c r="AF120" s="104" t="s">
        <v>978</v>
      </c>
      <c r="AG120" s="104" t="s">
        <v>978</v>
      </c>
      <c r="AH120" s="104" t="s">
        <v>978</v>
      </c>
      <c r="AI120" s="104" t="s">
        <v>978</v>
      </c>
      <c r="AJ120" s="104">
        <v>80699</v>
      </c>
      <c r="AK120" s="104">
        <f t="shared" si="55"/>
        <v>84814.64899999999</v>
      </c>
      <c r="AL120" s="104">
        <f t="shared" si="56"/>
        <v>88805.457853999993</v>
      </c>
      <c r="AM120" s="120" t="s">
        <v>978</v>
      </c>
      <c r="AN120" s="103">
        <v>117260</v>
      </c>
      <c r="AO120" s="103" t="s">
        <v>974</v>
      </c>
      <c r="AP120" s="103" t="s">
        <v>974</v>
      </c>
      <c r="AQ120" s="103">
        <v>135000</v>
      </c>
      <c r="AR120" s="103" t="s">
        <v>974</v>
      </c>
      <c r="AS120" s="103" t="s">
        <v>974</v>
      </c>
      <c r="AT120" s="103" t="s">
        <v>974</v>
      </c>
      <c r="AU120" s="103">
        <f t="shared" si="59"/>
        <v>117260</v>
      </c>
      <c r="AV120" s="158"/>
      <c r="AW120" s="156">
        <f>+AVERAGE(AL120,AU120)</f>
        <v>103032.72892699999</v>
      </c>
      <c r="AX120" s="121">
        <f t="shared" si="57"/>
        <v>103033</v>
      </c>
      <c r="AY120" s="163" t="s">
        <v>1073</v>
      </c>
      <c r="AZ120" s="160">
        <v>30</v>
      </c>
      <c r="BA120" s="138">
        <v>15</v>
      </c>
      <c r="BB120" s="138">
        <v>25</v>
      </c>
      <c r="BC120" s="139">
        <f t="shared" si="60"/>
        <v>70</v>
      </c>
      <c r="BD120" s="140">
        <f t="shared" si="32"/>
        <v>7212310</v>
      </c>
    </row>
    <row r="121" spans="1:56" s="129" customFormat="1" ht="36.75" customHeight="1" x14ac:dyDescent="0.2">
      <c r="A121" s="150">
        <v>12</v>
      </c>
      <c r="B121" s="148">
        <v>118</v>
      </c>
      <c r="C121" s="105">
        <v>42152428</v>
      </c>
      <c r="D121" s="106" t="s">
        <v>291</v>
      </c>
      <c r="E121" s="105" t="s">
        <v>734</v>
      </c>
      <c r="F121" s="107" t="s">
        <v>455</v>
      </c>
      <c r="G121" s="145" t="s">
        <v>978</v>
      </c>
      <c r="H121" s="145" t="s">
        <v>978</v>
      </c>
      <c r="I121" s="145" t="s">
        <v>978</v>
      </c>
      <c r="J121" s="104" t="s">
        <v>978</v>
      </c>
      <c r="K121" s="104" t="s">
        <v>978</v>
      </c>
      <c r="L121" s="104" t="s">
        <v>978</v>
      </c>
      <c r="M121" s="104" t="s">
        <v>978</v>
      </c>
      <c r="N121" s="104" t="s">
        <v>978</v>
      </c>
      <c r="O121" s="104" t="s">
        <v>978</v>
      </c>
      <c r="P121" s="104" t="s">
        <v>978</v>
      </c>
      <c r="Q121" s="104" t="s">
        <v>1012</v>
      </c>
      <c r="R121" s="104">
        <v>83929</v>
      </c>
      <c r="S121" s="104">
        <f t="shared" si="54"/>
        <v>92796.266707999996</v>
      </c>
      <c r="T121" s="104" t="s">
        <v>978</v>
      </c>
      <c r="U121" s="104" t="s">
        <v>978</v>
      </c>
      <c r="V121" s="104" t="s">
        <v>978</v>
      </c>
      <c r="W121" s="104" t="s">
        <v>978</v>
      </c>
      <c r="X121" s="104" t="s">
        <v>978</v>
      </c>
      <c r="Y121" s="104" t="s">
        <v>978</v>
      </c>
      <c r="Z121" s="104" t="s">
        <v>978</v>
      </c>
      <c r="AA121" s="104" t="s">
        <v>978</v>
      </c>
      <c r="AB121" s="104" t="s">
        <v>978</v>
      </c>
      <c r="AC121" s="104" t="s">
        <v>978</v>
      </c>
      <c r="AD121" s="104" t="s">
        <v>978</v>
      </c>
      <c r="AE121" s="104" t="s">
        <v>978</v>
      </c>
      <c r="AF121" s="104" t="s">
        <v>978</v>
      </c>
      <c r="AG121" s="104" t="s">
        <v>978</v>
      </c>
      <c r="AH121" s="104" t="s">
        <v>978</v>
      </c>
      <c r="AI121" s="104" t="s">
        <v>978</v>
      </c>
      <c r="AJ121" s="104">
        <v>80699</v>
      </c>
      <c r="AK121" s="104">
        <f t="shared" si="55"/>
        <v>84814.64899999999</v>
      </c>
      <c r="AL121" s="104">
        <f t="shared" si="56"/>
        <v>88805.457853999993</v>
      </c>
      <c r="AM121" s="120" t="s">
        <v>978</v>
      </c>
      <c r="AN121" s="103">
        <v>117260</v>
      </c>
      <c r="AO121" s="103" t="s">
        <v>974</v>
      </c>
      <c r="AP121" s="103" t="s">
        <v>974</v>
      </c>
      <c r="AQ121" s="103">
        <v>135000</v>
      </c>
      <c r="AR121" s="103" t="s">
        <v>974</v>
      </c>
      <c r="AS121" s="103" t="s">
        <v>974</v>
      </c>
      <c r="AT121" s="103" t="s">
        <v>974</v>
      </c>
      <c r="AU121" s="103">
        <f t="shared" si="59"/>
        <v>117260</v>
      </c>
      <c r="AV121" s="158"/>
      <c r="AW121" s="156">
        <f>+AVERAGE(AL121,AU121)</f>
        <v>103032.72892699999</v>
      </c>
      <c r="AX121" s="121">
        <f t="shared" si="57"/>
        <v>103033</v>
      </c>
      <c r="AY121" s="163" t="s">
        <v>1073</v>
      </c>
      <c r="AZ121" s="160">
        <v>26</v>
      </c>
      <c r="BA121" s="138">
        <v>27</v>
      </c>
      <c r="BB121" s="138">
        <v>26</v>
      </c>
      <c r="BC121" s="139">
        <f t="shared" si="60"/>
        <v>79</v>
      </c>
      <c r="BD121" s="140">
        <f t="shared" si="32"/>
        <v>8139607</v>
      </c>
    </row>
    <row r="122" spans="1:56" s="129" customFormat="1" ht="36" customHeight="1" x14ac:dyDescent="0.2">
      <c r="A122" s="150">
        <v>12</v>
      </c>
      <c r="B122" s="148">
        <v>119</v>
      </c>
      <c r="C122" s="105">
        <v>42152428</v>
      </c>
      <c r="D122" s="106" t="s">
        <v>292</v>
      </c>
      <c r="E122" s="105" t="s">
        <v>735</v>
      </c>
      <c r="F122" s="107" t="s">
        <v>455</v>
      </c>
      <c r="G122" s="145" t="s">
        <v>978</v>
      </c>
      <c r="H122" s="145" t="s">
        <v>978</v>
      </c>
      <c r="I122" s="145" t="s">
        <v>978</v>
      </c>
      <c r="J122" s="104" t="s">
        <v>978</v>
      </c>
      <c r="K122" s="104" t="s">
        <v>978</v>
      </c>
      <c r="L122" s="104" t="s">
        <v>978</v>
      </c>
      <c r="M122" s="104" t="s">
        <v>978</v>
      </c>
      <c r="N122" s="104" t="s">
        <v>978</v>
      </c>
      <c r="O122" s="104" t="s">
        <v>978</v>
      </c>
      <c r="P122" s="104" t="s">
        <v>978</v>
      </c>
      <c r="Q122" s="104" t="s">
        <v>1012</v>
      </c>
      <c r="R122" s="104">
        <v>82716</v>
      </c>
      <c r="S122" s="104">
        <f t="shared" si="54"/>
        <v>91455.110831999991</v>
      </c>
      <c r="T122" s="104" t="s">
        <v>978</v>
      </c>
      <c r="U122" s="104" t="s">
        <v>978</v>
      </c>
      <c r="V122" s="104" t="s">
        <v>978</v>
      </c>
      <c r="W122" s="104" t="s">
        <v>978</v>
      </c>
      <c r="X122" s="104" t="s">
        <v>978</v>
      </c>
      <c r="Y122" s="104" t="s">
        <v>978</v>
      </c>
      <c r="Z122" s="104" t="s">
        <v>978</v>
      </c>
      <c r="AA122" s="104" t="s">
        <v>978</v>
      </c>
      <c r="AB122" s="104" t="s">
        <v>978</v>
      </c>
      <c r="AC122" s="104" t="s">
        <v>978</v>
      </c>
      <c r="AD122" s="104" t="s">
        <v>978</v>
      </c>
      <c r="AE122" s="104" t="s">
        <v>978</v>
      </c>
      <c r="AF122" s="104" t="s">
        <v>978</v>
      </c>
      <c r="AG122" s="104" t="s">
        <v>978</v>
      </c>
      <c r="AH122" s="104" t="s">
        <v>978</v>
      </c>
      <c r="AI122" s="104" t="s">
        <v>978</v>
      </c>
      <c r="AJ122" s="104">
        <v>79972</v>
      </c>
      <c r="AK122" s="104">
        <f t="shared" si="55"/>
        <v>84050.572</v>
      </c>
      <c r="AL122" s="104">
        <f t="shared" si="56"/>
        <v>87752.841415999996</v>
      </c>
      <c r="AM122" s="120" t="s">
        <v>978</v>
      </c>
      <c r="AN122" s="103">
        <v>117260</v>
      </c>
      <c r="AO122" s="103" t="s">
        <v>974</v>
      </c>
      <c r="AP122" s="103" t="s">
        <v>974</v>
      </c>
      <c r="AQ122" s="103">
        <v>135000</v>
      </c>
      <c r="AR122" s="103" t="s">
        <v>974</v>
      </c>
      <c r="AS122" s="103" t="s">
        <v>974</v>
      </c>
      <c r="AT122" s="103" t="s">
        <v>974</v>
      </c>
      <c r="AU122" s="103">
        <f t="shared" si="59"/>
        <v>117260</v>
      </c>
      <c r="AV122" s="158"/>
      <c r="AW122" s="156">
        <f>+AVERAGE(AL122,AU122)</f>
        <v>102506.42070799999</v>
      </c>
      <c r="AX122" s="121">
        <f t="shared" si="57"/>
        <v>102506</v>
      </c>
      <c r="AY122" s="163" t="s">
        <v>1073</v>
      </c>
      <c r="AZ122" s="160">
        <v>29</v>
      </c>
      <c r="BA122" s="138">
        <v>12</v>
      </c>
      <c r="BB122" s="138">
        <v>21</v>
      </c>
      <c r="BC122" s="139">
        <f t="shared" si="60"/>
        <v>62</v>
      </c>
      <c r="BD122" s="140">
        <f t="shared" si="32"/>
        <v>6355372</v>
      </c>
    </row>
    <row r="123" spans="1:56" s="129" customFormat="1" ht="36.75" customHeight="1" x14ac:dyDescent="0.2">
      <c r="A123" s="150">
        <v>12</v>
      </c>
      <c r="B123" s="148">
        <v>120</v>
      </c>
      <c r="C123" s="105">
        <v>42152428</v>
      </c>
      <c r="D123" s="106" t="s">
        <v>513</v>
      </c>
      <c r="E123" s="105" t="s">
        <v>736</v>
      </c>
      <c r="F123" s="107" t="s">
        <v>455</v>
      </c>
      <c r="G123" s="145" t="s">
        <v>978</v>
      </c>
      <c r="H123" s="145" t="s">
        <v>978</v>
      </c>
      <c r="I123" s="145" t="s">
        <v>978</v>
      </c>
      <c r="J123" s="104" t="s">
        <v>978</v>
      </c>
      <c r="K123" s="104" t="s">
        <v>978</v>
      </c>
      <c r="L123" s="104" t="s">
        <v>978</v>
      </c>
      <c r="M123" s="104" t="s">
        <v>978</v>
      </c>
      <c r="N123" s="104" t="s">
        <v>978</v>
      </c>
      <c r="O123" s="104" t="s">
        <v>978</v>
      </c>
      <c r="P123" s="104" t="s">
        <v>978</v>
      </c>
      <c r="Q123" s="104" t="s">
        <v>1012</v>
      </c>
      <c r="R123" s="104">
        <v>175168</v>
      </c>
      <c r="S123" s="104">
        <f t="shared" si="54"/>
        <v>193674.84953599999</v>
      </c>
      <c r="T123" s="104" t="s">
        <v>978</v>
      </c>
      <c r="U123" s="104" t="s">
        <v>978</v>
      </c>
      <c r="V123" s="104" t="s">
        <v>978</v>
      </c>
      <c r="W123" s="104" t="s">
        <v>978</v>
      </c>
      <c r="X123" s="104" t="s">
        <v>978</v>
      </c>
      <c r="Y123" s="104" t="s">
        <v>978</v>
      </c>
      <c r="Z123" s="104" t="s">
        <v>978</v>
      </c>
      <c r="AA123" s="104" t="s">
        <v>978</v>
      </c>
      <c r="AB123" s="104" t="s">
        <v>978</v>
      </c>
      <c r="AC123" s="104" t="s">
        <v>978</v>
      </c>
      <c r="AD123" s="104" t="s">
        <v>978</v>
      </c>
      <c r="AE123" s="104" t="s">
        <v>978</v>
      </c>
      <c r="AF123" s="104" t="s">
        <v>978</v>
      </c>
      <c r="AG123" s="104" t="s">
        <v>978</v>
      </c>
      <c r="AH123" s="104" t="s">
        <v>978</v>
      </c>
      <c r="AI123" s="104" t="s">
        <v>978</v>
      </c>
      <c r="AJ123" s="104" t="s">
        <v>978</v>
      </c>
      <c r="AK123" s="104" t="s">
        <v>978</v>
      </c>
      <c r="AL123" s="104">
        <f t="shared" si="56"/>
        <v>193674.84953599999</v>
      </c>
      <c r="AM123" s="120" t="s">
        <v>978</v>
      </c>
      <c r="AN123" s="103">
        <v>117260</v>
      </c>
      <c r="AO123" s="103" t="s">
        <v>974</v>
      </c>
      <c r="AP123" s="103" t="s">
        <v>974</v>
      </c>
      <c r="AQ123" s="103">
        <v>135000</v>
      </c>
      <c r="AR123" s="103" t="s">
        <v>974</v>
      </c>
      <c r="AS123" s="103" t="s">
        <v>974</v>
      </c>
      <c r="AT123" s="103" t="s">
        <v>974</v>
      </c>
      <c r="AU123" s="103">
        <f t="shared" si="59"/>
        <v>117260</v>
      </c>
      <c r="AV123" s="158"/>
      <c r="AW123" s="156">
        <f>+AU123</f>
        <v>117260</v>
      </c>
      <c r="AX123" s="121">
        <f t="shared" si="57"/>
        <v>117260</v>
      </c>
      <c r="AY123" s="163" t="s">
        <v>1080</v>
      </c>
      <c r="AZ123" s="160">
        <v>10</v>
      </c>
      <c r="BA123" s="138">
        <v>0</v>
      </c>
      <c r="BB123" s="138">
        <v>21</v>
      </c>
      <c r="BC123" s="139">
        <f t="shared" si="60"/>
        <v>31</v>
      </c>
      <c r="BD123" s="140">
        <f t="shared" si="32"/>
        <v>3635060</v>
      </c>
    </row>
    <row r="124" spans="1:56" s="129" customFormat="1" ht="36" customHeight="1" x14ac:dyDescent="0.2">
      <c r="A124" s="150">
        <v>12</v>
      </c>
      <c r="B124" s="148">
        <v>121</v>
      </c>
      <c r="C124" s="105">
        <v>42281807</v>
      </c>
      <c r="D124" s="106" t="s">
        <v>472</v>
      </c>
      <c r="E124" s="105" t="s">
        <v>811</v>
      </c>
      <c r="F124" s="105" t="s">
        <v>462</v>
      </c>
      <c r="G124" s="145">
        <v>26132</v>
      </c>
      <c r="H124" s="145" t="s">
        <v>978</v>
      </c>
      <c r="I124" s="145">
        <f>+AVERAGE(G124:H124)</f>
        <v>26132</v>
      </c>
      <c r="J124" s="104" t="s">
        <v>978</v>
      </c>
      <c r="K124" s="104" t="s">
        <v>978</v>
      </c>
      <c r="L124" s="104" t="s">
        <v>978</v>
      </c>
      <c r="M124" s="104" t="s">
        <v>978</v>
      </c>
      <c r="N124" s="104" t="s">
        <v>978</v>
      </c>
      <c r="O124" s="104" t="s">
        <v>978</v>
      </c>
      <c r="P124" s="104" t="s">
        <v>978</v>
      </c>
      <c r="Q124" s="104" t="s">
        <v>1012</v>
      </c>
      <c r="R124" s="104" t="s">
        <v>978</v>
      </c>
      <c r="S124" s="104" t="s">
        <v>978</v>
      </c>
      <c r="T124" s="104" t="s">
        <v>978</v>
      </c>
      <c r="U124" s="104" t="s">
        <v>978</v>
      </c>
      <c r="V124" s="104" t="s">
        <v>978</v>
      </c>
      <c r="W124" s="104" t="s">
        <v>978</v>
      </c>
      <c r="X124" s="104" t="s">
        <v>978</v>
      </c>
      <c r="Y124" s="104" t="s">
        <v>978</v>
      </c>
      <c r="Z124" s="104" t="s">
        <v>978</v>
      </c>
      <c r="AA124" s="104" t="s">
        <v>978</v>
      </c>
      <c r="AB124" s="104" t="s">
        <v>978</v>
      </c>
      <c r="AC124" s="104" t="s">
        <v>978</v>
      </c>
      <c r="AD124" s="104" t="s">
        <v>978</v>
      </c>
      <c r="AE124" s="104" t="s">
        <v>978</v>
      </c>
      <c r="AF124" s="104" t="s">
        <v>978</v>
      </c>
      <c r="AG124" s="104" t="s">
        <v>978</v>
      </c>
      <c r="AH124" s="104">
        <v>15146</v>
      </c>
      <c r="AI124" s="104">
        <f>AH124*(1+5.1%)</f>
        <v>15918.446</v>
      </c>
      <c r="AJ124" s="104" t="s">
        <v>978</v>
      </c>
      <c r="AK124" s="104" t="s">
        <v>978</v>
      </c>
      <c r="AL124" s="104" t="s">
        <v>978</v>
      </c>
      <c r="AM124" s="120" t="s">
        <v>978</v>
      </c>
      <c r="AN124" s="103">
        <v>45760</v>
      </c>
      <c r="AO124" s="103" t="s">
        <v>974</v>
      </c>
      <c r="AP124" s="103" t="s">
        <v>974</v>
      </c>
      <c r="AQ124" s="103">
        <v>29750</v>
      </c>
      <c r="AR124" s="103" t="s">
        <v>974</v>
      </c>
      <c r="AS124" s="103" t="s">
        <v>974</v>
      </c>
      <c r="AT124" s="103" t="s">
        <v>974</v>
      </c>
      <c r="AU124" s="103">
        <f t="shared" si="59"/>
        <v>29750</v>
      </c>
      <c r="AV124" s="158"/>
      <c r="AW124" s="156">
        <f>+AVERAGE(I124,AL124,AU124)</f>
        <v>27941</v>
      </c>
      <c r="AX124" s="121">
        <f t="shared" si="57"/>
        <v>27941</v>
      </c>
      <c r="AY124" s="163" t="s">
        <v>1085</v>
      </c>
      <c r="AZ124" s="160">
        <v>8</v>
      </c>
      <c r="BA124" s="138">
        <v>0</v>
      </c>
      <c r="BB124" s="138">
        <v>0</v>
      </c>
      <c r="BC124" s="139">
        <f t="shared" si="60"/>
        <v>8</v>
      </c>
      <c r="BD124" s="140">
        <f t="shared" si="32"/>
        <v>223528</v>
      </c>
    </row>
    <row r="125" spans="1:56" s="129" customFormat="1" ht="24" customHeight="1" x14ac:dyDescent="0.2">
      <c r="A125" s="150">
        <v>13</v>
      </c>
      <c r="B125" s="148">
        <v>122</v>
      </c>
      <c r="C125" s="105">
        <v>42182401</v>
      </c>
      <c r="D125" s="106" t="s">
        <v>532</v>
      </c>
      <c r="E125" s="105" t="s">
        <v>745</v>
      </c>
      <c r="F125" s="107" t="s">
        <v>301</v>
      </c>
      <c r="G125" s="145" t="s">
        <v>978</v>
      </c>
      <c r="H125" s="145" t="s">
        <v>978</v>
      </c>
      <c r="I125" s="145" t="s">
        <v>978</v>
      </c>
      <c r="J125" s="104" t="s">
        <v>978</v>
      </c>
      <c r="K125" s="104" t="s">
        <v>978</v>
      </c>
      <c r="L125" s="104" t="s">
        <v>978</v>
      </c>
      <c r="M125" s="104" t="s">
        <v>978</v>
      </c>
      <c r="N125" s="104" t="s">
        <v>978</v>
      </c>
      <c r="O125" s="104" t="s">
        <v>978</v>
      </c>
      <c r="P125" s="104">
        <v>541926</v>
      </c>
      <c r="Q125" s="104">
        <f>P125*(1+5.2%)*(1+5.1%)</f>
        <v>599181.56575199997</v>
      </c>
      <c r="R125" s="104" t="s">
        <v>978</v>
      </c>
      <c r="S125" s="104" t="s">
        <v>978</v>
      </c>
      <c r="T125" s="104" t="s">
        <v>978</v>
      </c>
      <c r="U125" s="104" t="s">
        <v>978</v>
      </c>
      <c r="V125" s="104" t="s">
        <v>978</v>
      </c>
      <c r="W125" s="104" t="s">
        <v>978</v>
      </c>
      <c r="X125" s="104" t="s">
        <v>978</v>
      </c>
      <c r="Y125" s="104" t="s">
        <v>978</v>
      </c>
      <c r="Z125" s="104" t="s">
        <v>978</v>
      </c>
      <c r="AA125" s="104" t="s">
        <v>978</v>
      </c>
      <c r="AB125" s="104" t="s">
        <v>978</v>
      </c>
      <c r="AC125" s="104" t="s">
        <v>978</v>
      </c>
      <c r="AD125" s="104" t="s">
        <v>978</v>
      </c>
      <c r="AE125" s="104" t="s">
        <v>978</v>
      </c>
      <c r="AF125" s="104" t="s">
        <v>978</v>
      </c>
      <c r="AG125" s="104" t="s">
        <v>978</v>
      </c>
      <c r="AH125" s="104" t="s">
        <v>978</v>
      </c>
      <c r="AI125" s="104" t="s">
        <v>978</v>
      </c>
      <c r="AJ125" s="104" t="s">
        <v>978</v>
      </c>
      <c r="AK125" s="104" t="s">
        <v>978</v>
      </c>
      <c r="AL125" s="104">
        <f>+AVERAGE(K125,M125,O125,Q125,S125,U125,W125,Y125,AA125,AC125,AE125,AG125,AI125,AK125)</f>
        <v>599181.56575199997</v>
      </c>
      <c r="AM125" s="120" t="s">
        <v>978</v>
      </c>
      <c r="AN125" s="103">
        <v>82940</v>
      </c>
      <c r="AO125" s="103" t="s">
        <v>974</v>
      </c>
      <c r="AP125" s="103" t="s">
        <v>974</v>
      </c>
      <c r="AQ125" s="103">
        <v>618800</v>
      </c>
      <c r="AR125" s="103" t="s">
        <v>974</v>
      </c>
      <c r="AS125" s="103" t="s">
        <v>974</v>
      </c>
      <c r="AT125" s="103" t="s">
        <v>974</v>
      </c>
      <c r="AU125" s="103">
        <f>+MIN(AO125:AT125)</f>
        <v>618800</v>
      </c>
      <c r="AV125" s="158" t="s">
        <v>1083</v>
      </c>
      <c r="AW125" s="156">
        <f>+AVERAGE(AL125,AU125)</f>
        <v>608990.78287600004</v>
      </c>
      <c r="AX125" s="121">
        <f>+ROUND(AW125,0)</f>
        <v>608991</v>
      </c>
      <c r="AY125" s="163" t="s">
        <v>1073</v>
      </c>
      <c r="AZ125" s="160">
        <v>2</v>
      </c>
      <c r="BA125" s="138">
        <v>0</v>
      </c>
      <c r="BB125" s="138">
        <v>0</v>
      </c>
      <c r="BC125" s="139">
        <f t="shared" si="60"/>
        <v>2</v>
      </c>
      <c r="BD125" s="140">
        <f t="shared" si="32"/>
        <v>1217982</v>
      </c>
    </row>
    <row r="126" spans="1:56" s="130" customFormat="1" ht="24.75" customHeight="1" x14ac:dyDescent="0.2">
      <c r="A126" s="149">
        <v>14</v>
      </c>
      <c r="B126" s="148">
        <v>123</v>
      </c>
      <c r="C126" s="105">
        <v>42132203</v>
      </c>
      <c r="D126" s="106" t="s">
        <v>657</v>
      </c>
      <c r="E126" s="105" t="s">
        <v>876</v>
      </c>
      <c r="F126" s="105" t="s">
        <v>299</v>
      </c>
      <c r="G126" s="145">
        <f>1877*50</f>
        <v>93850</v>
      </c>
      <c r="H126" s="145" t="s">
        <v>978</v>
      </c>
      <c r="I126" s="145">
        <f t="shared" ref="I126:I131" si="61">+AVERAGE(G126:H126)</f>
        <v>93850</v>
      </c>
      <c r="J126" s="104">
        <v>49084</v>
      </c>
      <c r="K126" s="104">
        <f t="shared" ref="K126:K131" si="62">J126*(1+5.2%)*(1+5.1%)</f>
        <v>54269.822767999998</v>
      </c>
      <c r="L126" s="104" t="s">
        <v>978</v>
      </c>
      <c r="M126" s="104" t="s">
        <v>978</v>
      </c>
      <c r="N126" s="104">
        <v>59127</v>
      </c>
      <c r="O126" s="104">
        <f t="shared" ref="O126:O133" si="63">N126*(1+5.2%)*(1+5.1%)</f>
        <v>65373.885803999998</v>
      </c>
      <c r="P126" s="104" t="s">
        <v>978</v>
      </c>
      <c r="Q126" s="104" t="s">
        <v>1012</v>
      </c>
      <c r="R126" s="104" t="s">
        <v>978</v>
      </c>
      <c r="S126" s="104" t="s">
        <v>978</v>
      </c>
      <c r="T126" s="104" t="s">
        <v>978</v>
      </c>
      <c r="U126" s="104" t="s">
        <v>978</v>
      </c>
      <c r="V126" s="104" t="s">
        <v>978</v>
      </c>
      <c r="W126" s="104" t="s">
        <v>978</v>
      </c>
      <c r="X126" s="104" t="s">
        <v>978</v>
      </c>
      <c r="Y126" s="104" t="s">
        <v>978</v>
      </c>
      <c r="Z126" s="104" t="s">
        <v>978</v>
      </c>
      <c r="AA126" s="104" t="s">
        <v>978</v>
      </c>
      <c r="AB126" s="104">
        <v>48481</v>
      </c>
      <c r="AC126" s="104">
        <f>AB126*(1+5.1%)</f>
        <v>50953.530999999995</v>
      </c>
      <c r="AD126" s="104" t="s">
        <v>978</v>
      </c>
      <c r="AE126" s="104" t="s">
        <v>978</v>
      </c>
      <c r="AF126" s="104">
        <v>57152</v>
      </c>
      <c r="AG126" s="104">
        <f t="shared" ref="AG126:AG131" si="64">AF126*(1+5.1%)</f>
        <v>60066.751999999993</v>
      </c>
      <c r="AH126" s="104" t="s">
        <v>978</v>
      </c>
      <c r="AI126" s="104" t="s">
        <v>978</v>
      </c>
      <c r="AJ126" s="104" t="s">
        <v>978</v>
      </c>
      <c r="AK126" s="104" t="s">
        <v>978</v>
      </c>
      <c r="AL126" s="104">
        <f t="shared" ref="AL126:AL133" si="65">+AVERAGE(K126,M126,O126,Q126,S126,U126,W126,Y126,AA126,AC126,AE126,AG126,AI126,AK126)</f>
        <v>57665.997892999992</v>
      </c>
      <c r="AM126" s="120">
        <v>55000</v>
      </c>
      <c r="AN126" s="103">
        <v>130000</v>
      </c>
      <c r="AO126" s="103">
        <v>1838.55</v>
      </c>
      <c r="AP126" s="103">
        <v>95000</v>
      </c>
      <c r="AQ126" s="103">
        <v>77350</v>
      </c>
      <c r="AR126" s="103" t="s">
        <v>974</v>
      </c>
      <c r="AS126" s="103" t="s">
        <v>974</v>
      </c>
      <c r="AT126" s="103" t="s">
        <v>974</v>
      </c>
      <c r="AU126" s="103">
        <f t="shared" ref="AU126:AU131" si="66">+MIN(AN126,AP126,AQ126,AR126,AS126,AT126)</f>
        <v>77350</v>
      </c>
      <c r="AV126" s="158" t="s">
        <v>1077</v>
      </c>
      <c r="AW126" s="156">
        <f>+AVERAGE(AU126,AM126,AL126)</f>
        <v>63338.665964333333</v>
      </c>
      <c r="AX126" s="121">
        <f t="shared" ref="AX126:AX127" si="67">+ROUND(AW126,0)</f>
        <v>63339</v>
      </c>
      <c r="AY126" s="163" t="s">
        <v>1074</v>
      </c>
      <c r="AZ126" s="160">
        <v>24</v>
      </c>
      <c r="BA126" s="138">
        <v>100</v>
      </c>
      <c r="BB126" s="138">
        <v>0</v>
      </c>
      <c r="BC126" s="139">
        <f t="shared" si="60"/>
        <v>124</v>
      </c>
      <c r="BD126" s="140">
        <f t="shared" si="32"/>
        <v>7854036</v>
      </c>
    </row>
    <row r="127" spans="1:56" s="130" customFormat="1" ht="25.5" customHeight="1" x14ac:dyDescent="0.2">
      <c r="A127" s="149">
        <v>14</v>
      </c>
      <c r="B127" s="148">
        <v>124</v>
      </c>
      <c r="C127" s="105">
        <v>42132203</v>
      </c>
      <c r="D127" s="106" t="s">
        <v>312</v>
      </c>
      <c r="E127" s="105" t="s">
        <v>876</v>
      </c>
      <c r="F127" s="105" t="s">
        <v>299</v>
      </c>
      <c r="G127" s="145">
        <f>1877*50</f>
        <v>93850</v>
      </c>
      <c r="H127" s="145" t="s">
        <v>978</v>
      </c>
      <c r="I127" s="145">
        <f t="shared" si="61"/>
        <v>93850</v>
      </c>
      <c r="J127" s="104">
        <v>48084</v>
      </c>
      <c r="K127" s="104">
        <f t="shared" si="62"/>
        <v>53164.170767999996</v>
      </c>
      <c r="L127" s="104" t="s">
        <v>978</v>
      </c>
      <c r="M127" s="104" t="s">
        <v>978</v>
      </c>
      <c r="N127" s="104">
        <v>59105</v>
      </c>
      <c r="O127" s="104">
        <f t="shared" si="63"/>
        <v>65349.561459999997</v>
      </c>
      <c r="P127" s="104" t="s">
        <v>978</v>
      </c>
      <c r="Q127" s="104" t="s">
        <v>1012</v>
      </c>
      <c r="R127" s="104" t="s">
        <v>978</v>
      </c>
      <c r="S127" s="104" t="s">
        <v>978</v>
      </c>
      <c r="T127" s="104" t="s">
        <v>978</v>
      </c>
      <c r="U127" s="104" t="s">
        <v>978</v>
      </c>
      <c r="V127" s="104" t="s">
        <v>978</v>
      </c>
      <c r="W127" s="104" t="s">
        <v>978</v>
      </c>
      <c r="X127" s="104" t="s">
        <v>978</v>
      </c>
      <c r="Y127" s="104" t="s">
        <v>978</v>
      </c>
      <c r="Z127" s="104" t="s">
        <v>978</v>
      </c>
      <c r="AA127" s="104" t="s">
        <v>978</v>
      </c>
      <c r="AB127" s="104">
        <v>48481</v>
      </c>
      <c r="AC127" s="104">
        <f>AB127*(1+5.1%)</f>
        <v>50953.530999999995</v>
      </c>
      <c r="AD127" s="104" t="s">
        <v>978</v>
      </c>
      <c r="AE127" s="104" t="s">
        <v>978</v>
      </c>
      <c r="AF127" s="104">
        <v>57152</v>
      </c>
      <c r="AG127" s="104">
        <f t="shared" si="64"/>
        <v>60066.751999999993</v>
      </c>
      <c r="AH127" s="104" t="s">
        <v>978</v>
      </c>
      <c r="AI127" s="104" t="s">
        <v>978</v>
      </c>
      <c r="AJ127" s="104" t="s">
        <v>978</v>
      </c>
      <c r="AK127" s="104" t="s">
        <v>978</v>
      </c>
      <c r="AL127" s="104">
        <f t="shared" si="65"/>
        <v>57383.503807000001</v>
      </c>
      <c r="AM127" s="120">
        <v>55000</v>
      </c>
      <c r="AN127" s="103">
        <v>130000</v>
      </c>
      <c r="AO127" s="103">
        <v>1838.55</v>
      </c>
      <c r="AP127" s="103">
        <v>95000</v>
      </c>
      <c r="AQ127" s="103">
        <v>77350</v>
      </c>
      <c r="AR127" s="103">
        <v>98918.75</v>
      </c>
      <c r="AS127" s="103">
        <v>76576.5</v>
      </c>
      <c r="AT127" s="103">
        <v>55454</v>
      </c>
      <c r="AU127" s="103">
        <f t="shared" si="66"/>
        <v>55454</v>
      </c>
      <c r="AV127" s="158" t="s">
        <v>1077</v>
      </c>
      <c r="AW127" s="156">
        <f>+AVERAGE(AU127,AM127)</f>
        <v>55227</v>
      </c>
      <c r="AX127" s="121">
        <f t="shared" si="67"/>
        <v>55227</v>
      </c>
      <c r="AY127" s="163" t="s">
        <v>1086</v>
      </c>
      <c r="AZ127" s="160">
        <v>25</v>
      </c>
      <c r="BA127" s="138">
        <v>20</v>
      </c>
      <c r="BB127" s="138">
        <v>0</v>
      </c>
      <c r="BC127" s="139">
        <f t="shared" si="60"/>
        <v>45</v>
      </c>
      <c r="BD127" s="140">
        <f t="shared" si="32"/>
        <v>2485215</v>
      </c>
    </row>
    <row r="128" spans="1:56" s="130" customFormat="1" ht="24.75" customHeight="1" x14ac:dyDescent="0.2">
      <c r="A128" s="149">
        <v>14</v>
      </c>
      <c r="B128" s="148">
        <v>125</v>
      </c>
      <c r="C128" s="105">
        <v>42132203</v>
      </c>
      <c r="D128" s="106" t="s">
        <v>658</v>
      </c>
      <c r="E128" s="105" t="s">
        <v>746</v>
      </c>
      <c r="F128" s="105" t="s">
        <v>288</v>
      </c>
      <c r="G128" s="145">
        <v>24240</v>
      </c>
      <c r="H128" s="145" t="s">
        <v>978</v>
      </c>
      <c r="I128" s="145">
        <f t="shared" si="61"/>
        <v>24240</v>
      </c>
      <c r="J128" s="104">
        <v>10216</v>
      </c>
      <c r="K128" s="104">
        <f t="shared" si="62"/>
        <v>11295.340832</v>
      </c>
      <c r="L128" s="104" t="s">
        <v>978</v>
      </c>
      <c r="M128" s="104" t="s">
        <v>978</v>
      </c>
      <c r="N128" s="104">
        <v>12905</v>
      </c>
      <c r="O128" s="104">
        <f t="shared" si="63"/>
        <v>14268.439060000001</v>
      </c>
      <c r="P128" s="104" t="s">
        <v>978</v>
      </c>
      <c r="Q128" s="104" t="s">
        <v>1012</v>
      </c>
      <c r="R128" s="104" t="s">
        <v>978</v>
      </c>
      <c r="S128" s="104" t="s">
        <v>978</v>
      </c>
      <c r="T128" s="104" t="s">
        <v>978</v>
      </c>
      <c r="U128" s="104" t="s">
        <v>978</v>
      </c>
      <c r="V128" s="104" t="s">
        <v>978</v>
      </c>
      <c r="W128" s="104" t="s">
        <v>978</v>
      </c>
      <c r="X128" s="104" t="s">
        <v>978</v>
      </c>
      <c r="Y128" s="104" t="s">
        <v>978</v>
      </c>
      <c r="Z128" s="104" t="s">
        <v>978</v>
      </c>
      <c r="AA128" s="104" t="s">
        <v>978</v>
      </c>
      <c r="AB128" s="104" t="s">
        <v>978</v>
      </c>
      <c r="AC128" s="104" t="s">
        <v>978</v>
      </c>
      <c r="AD128" s="104" t="s">
        <v>978</v>
      </c>
      <c r="AE128" s="104" t="s">
        <v>978</v>
      </c>
      <c r="AF128" s="104">
        <v>13548</v>
      </c>
      <c r="AG128" s="104">
        <f t="shared" si="64"/>
        <v>14238.947999999999</v>
      </c>
      <c r="AH128" s="104" t="s">
        <v>978</v>
      </c>
      <c r="AI128" s="104" t="s">
        <v>978</v>
      </c>
      <c r="AJ128" s="104" t="s">
        <v>978</v>
      </c>
      <c r="AK128" s="104" t="s">
        <v>978</v>
      </c>
      <c r="AL128" s="104">
        <f t="shared" si="65"/>
        <v>13267.575963999998</v>
      </c>
      <c r="AM128" s="120">
        <v>19900</v>
      </c>
      <c r="AN128" s="103">
        <v>30000</v>
      </c>
      <c r="AO128" s="103">
        <v>228.08333333333337</v>
      </c>
      <c r="AP128" s="103">
        <v>28000</v>
      </c>
      <c r="AQ128" s="103">
        <v>24990</v>
      </c>
      <c r="AR128" s="103">
        <v>24781.75</v>
      </c>
      <c r="AS128" s="103">
        <v>18849.599999999999</v>
      </c>
      <c r="AT128" s="103">
        <v>20111</v>
      </c>
      <c r="AU128" s="103">
        <f t="shared" si="66"/>
        <v>18849.599999999999</v>
      </c>
      <c r="AV128" s="158" t="s">
        <v>1077</v>
      </c>
      <c r="AW128" s="156">
        <f>+AVERAGE(AL128,AU128)</f>
        <v>16058.587981999997</v>
      </c>
      <c r="AX128" s="121">
        <f>+ROUND(AW128,0)</f>
        <v>16059</v>
      </c>
      <c r="AY128" s="163" t="s">
        <v>1084</v>
      </c>
      <c r="AZ128" s="160">
        <v>72</v>
      </c>
      <c r="BA128" s="138">
        <v>0</v>
      </c>
      <c r="BB128" s="138">
        <v>0</v>
      </c>
      <c r="BC128" s="139">
        <f t="shared" si="60"/>
        <v>72</v>
      </c>
      <c r="BD128" s="140">
        <f t="shared" si="32"/>
        <v>1156248</v>
      </c>
    </row>
    <row r="129" spans="1:56" s="130" customFormat="1" ht="25.5" customHeight="1" x14ac:dyDescent="0.2">
      <c r="A129" s="149">
        <v>14</v>
      </c>
      <c r="B129" s="148">
        <v>126</v>
      </c>
      <c r="C129" s="105">
        <v>42132203</v>
      </c>
      <c r="D129" s="106" t="s">
        <v>659</v>
      </c>
      <c r="E129" s="105" t="s">
        <v>747</v>
      </c>
      <c r="F129" s="105" t="s">
        <v>288</v>
      </c>
      <c r="G129" s="145">
        <v>24240</v>
      </c>
      <c r="H129" s="145" t="s">
        <v>978</v>
      </c>
      <c r="I129" s="145">
        <f t="shared" si="61"/>
        <v>24240</v>
      </c>
      <c r="J129" s="104">
        <v>9832</v>
      </c>
      <c r="K129" s="104">
        <f t="shared" si="62"/>
        <v>10870.770464000001</v>
      </c>
      <c r="L129" s="104" t="s">
        <v>978</v>
      </c>
      <c r="M129" s="104" t="s">
        <v>978</v>
      </c>
      <c r="N129" s="104">
        <v>11271</v>
      </c>
      <c r="O129" s="104">
        <f t="shared" si="63"/>
        <v>12461.803692</v>
      </c>
      <c r="P129" s="104" t="s">
        <v>978</v>
      </c>
      <c r="Q129" s="104" t="s">
        <v>1012</v>
      </c>
      <c r="R129" s="104" t="s">
        <v>978</v>
      </c>
      <c r="S129" s="104" t="s">
        <v>978</v>
      </c>
      <c r="T129" s="104" t="s">
        <v>978</v>
      </c>
      <c r="U129" s="104" t="s">
        <v>978</v>
      </c>
      <c r="V129" s="104">
        <v>13855</v>
      </c>
      <c r="W129" s="104">
        <f>V129*(1+5.1%)</f>
        <v>14561.605</v>
      </c>
      <c r="X129" s="104" t="s">
        <v>978</v>
      </c>
      <c r="Y129" s="104" t="s">
        <v>978</v>
      </c>
      <c r="Z129" s="104" t="s">
        <v>978</v>
      </c>
      <c r="AA129" s="104" t="s">
        <v>978</v>
      </c>
      <c r="AB129" s="104">
        <v>12082</v>
      </c>
      <c r="AC129" s="104">
        <f>AB129*(1+5.1%)</f>
        <v>12698.181999999999</v>
      </c>
      <c r="AD129" s="104" t="s">
        <v>978</v>
      </c>
      <c r="AE129" s="104" t="s">
        <v>978</v>
      </c>
      <c r="AF129" s="104">
        <v>13350</v>
      </c>
      <c r="AG129" s="104">
        <f t="shared" si="64"/>
        <v>14030.849999999999</v>
      </c>
      <c r="AH129" s="104" t="s">
        <v>978</v>
      </c>
      <c r="AI129" s="104" t="s">
        <v>978</v>
      </c>
      <c r="AJ129" s="104" t="s">
        <v>978</v>
      </c>
      <c r="AK129" s="104" t="s">
        <v>978</v>
      </c>
      <c r="AL129" s="104">
        <f t="shared" si="65"/>
        <v>12924.6422312</v>
      </c>
      <c r="AM129" s="120">
        <v>19900</v>
      </c>
      <c r="AN129" s="103">
        <v>30000</v>
      </c>
      <c r="AO129" s="103">
        <v>228.08333333333337</v>
      </c>
      <c r="AP129" s="103">
        <v>28000</v>
      </c>
      <c r="AQ129" s="103">
        <v>24990</v>
      </c>
      <c r="AR129" s="103">
        <v>24781.75</v>
      </c>
      <c r="AS129" s="103">
        <v>18653.25</v>
      </c>
      <c r="AT129" s="103">
        <v>20111</v>
      </c>
      <c r="AU129" s="103">
        <f t="shared" si="66"/>
        <v>18653.25</v>
      </c>
      <c r="AV129" s="158" t="s">
        <v>1077</v>
      </c>
      <c r="AW129" s="156">
        <f>+AVERAGE(AL129,AU129)</f>
        <v>15788.9461156</v>
      </c>
      <c r="AX129" s="121">
        <f t="shared" ref="AX129:AX133" si="68">+ROUND(AW129,0)</f>
        <v>15789</v>
      </c>
      <c r="AY129" s="163" t="s">
        <v>1084</v>
      </c>
      <c r="AZ129" s="160">
        <v>750</v>
      </c>
      <c r="BA129" s="138">
        <v>220</v>
      </c>
      <c r="BB129" s="138">
        <v>0</v>
      </c>
      <c r="BC129" s="139">
        <f t="shared" si="60"/>
        <v>970</v>
      </c>
      <c r="BD129" s="140">
        <f t="shared" si="32"/>
        <v>15315330</v>
      </c>
    </row>
    <row r="130" spans="1:56" s="130" customFormat="1" ht="26.25" customHeight="1" x14ac:dyDescent="0.2">
      <c r="A130" s="149">
        <v>14</v>
      </c>
      <c r="B130" s="148">
        <v>127</v>
      </c>
      <c r="C130" s="105">
        <v>42132203</v>
      </c>
      <c r="D130" s="106" t="s">
        <v>309</v>
      </c>
      <c r="E130" s="105" t="s">
        <v>748</v>
      </c>
      <c r="F130" s="105" t="s">
        <v>288</v>
      </c>
      <c r="G130" s="145">
        <v>24240</v>
      </c>
      <c r="H130" s="145" t="s">
        <v>978</v>
      </c>
      <c r="I130" s="145">
        <f t="shared" si="61"/>
        <v>24240</v>
      </c>
      <c r="J130" s="104">
        <v>9371</v>
      </c>
      <c r="K130" s="104">
        <f t="shared" si="62"/>
        <v>10361.064892</v>
      </c>
      <c r="L130" s="104" t="s">
        <v>978</v>
      </c>
      <c r="M130" s="104" t="s">
        <v>978</v>
      </c>
      <c r="N130" s="104">
        <v>10001</v>
      </c>
      <c r="O130" s="104">
        <f t="shared" si="63"/>
        <v>11057.625651999999</v>
      </c>
      <c r="P130" s="104" t="s">
        <v>978</v>
      </c>
      <c r="Q130" s="104" t="s">
        <v>1012</v>
      </c>
      <c r="R130" s="104" t="s">
        <v>978</v>
      </c>
      <c r="S130" s="104" t="s">
        <v>978</v>
      </c>
      <c r="T130" s="104" t="s">
        <v>978</v>
      </c>
      <c r="U130" s="104" t="s">
        <v>978</v>
      </c>
      <c r="V130" s="104">
        <v>13718</v>
      </c>
      <c r="W130" s="104">
        <f>V130*(1+5.1%)</f>
        <v>14417.617999999999</v>
      </c>
      <c r="X130" s="104" t="s">
        <v>978</v>
      </c>
      <c r="Y130" s="104" t="s">
        <v>978</v>
      </c>
      <c r="Z130" s="104" t="s">
        <v>978</v>
      </c>
      <c r="AA130" s="104" t="s">
        <v>978</v>
      </c>
      <c r="AB130" s="104">
        <v>13401</v>
      </c>
      <c r="AC130" s="104">
        <f>AB130*(1+5.1%)</f>
        <v>14084.450999999999</v>
      </c>
      <c r="AD130" s="104" t="s">
        <v>978</v>
      </c>
      <c r="AE130" s="104" t="s">
        <v>978</v>
      </c>
      <c r="AF130" s="104">
        <v>13111</v>
      </c>
      <c r="AG130" s="104">
        <f t="shared" si="64"/>
        <v>13779.660999999998</v>
      </c>
      <c r="AH130" s="104" t="s">
        <v>978</v>
      </c>
      <c r="AI130" s="104" t="s">
        <v>978</v>
      </c>
      <c r="AJ130" s="104" t="s">
        <v>978</v>
      </c>
      <c r="AK130" s="104" t="s">
        <v>978</v>
      </c>
      <c r="AL130" s="104">
        <f t="shared" si="65"/>
        <v>12740.0841088</v>
      </c>
      <c r="AM130" s="120">
        <v>19900</v>
      </c>
      <c r="AN130" s="103">
        <v>30000</v>
      </c>
      <c r="AO130" s="103">
        <v>228.08333333333337</v>
      </c>
      <c r="AP130" s="103">
        <v>28000</v>
      </c>
      <c r="AQ130" s="103">
        <v>24990</v>
      </c>
      <c r="AR130" s="103">
        <v>24781.75</v>
      </c>
      <c r="AS130" s="103">
        <v>19242.3</v>
      </c>
      <c r="AT130" s="103">
        <v>14399</v>
      </c>
      <c r="AU130" s="103">
        <f t="shared" si="66"/>
        <v>14399</v>
      </c>
      <c r="AV130" s="158" t="s">
        <v>1077</v>
      </c>
      <c r="AW130" s="156">
        <f>+AVERAGE(AL130,AU130)</f>
        <v>13569.542054400001</v>
      </c>
      <c r="AX130" s="121">
        <f t="shared" si="68"/>
        <v>13570</v>
      </c>
      <c r="AY130" s="163" t="s">
        <v>1084</v>
      </c>
      <c r="AZ130" s="160">
        <v>580</v>
      </c>
      <c r="BA130" s="138">
        <v>1808</v>
      </c>
      <c r="BB130" s="138">
        <v>180</v>
      </c>
      <c r="BC130" s="139">
        <f t="shared" si="60"/>
        <v>2568</v>
      </c>
      <c r="BD130" s="140">
        <f t="shared" si="32"/>
        <v>34847760</v>
      </c>
    </row>
    <row r="131" spans="1:56" s="130" customFormat="1" ht="25.5" customHeight="1" x14ac:dyDescent="0.2">
      <c r="A131" s="149">
        <v>14</v>
      </c>
      <c r="B131" s="148">
        <v>128</v>
      </c>
      <c r="C131" s="105">
        <v>42132203</v>
      </c>
      <c r="D131" s="106" t="s">
        <v>660</v>
      </c>
      <c r="E131" s="105" t="s">
        <v>876</v>
      </c>
      <c r="F131" s="105" t="s">
        <v>299</v>
      </c>
      <c r="G131" s="145">
        <f>1877*50</f>
        <v>93850</v>
      </c>
      <c r="H131" s="145">
        <f>1726*50</f>
        <v>86300</v>
      </c>
      <c r="I131" s="145">
        <f t="shared" si="61"/>
        <v>90075</v>
      </c>
      <c r="J131" s="104">
        <v>49084</v>
      </c>
      <c r="K131" s="104">
        <f t="shared" si="62"/>
        <v>54269.822767999998</v>
      </c>
      <c r="L131" s="104" t="s">
        <v>978</v>
      </c>
      <c r="M131" s="104" t="s">
        <v>978</v>
      </c>
      <c r="N131" s="104">
        <v>58534</v>
      </c>
      <c r="O131" s="104">
        <f t="shared" si="63"/>
        <v>64718.234168000003</v>
      </c>
      <c r="P131" s="104" t="s">
        <v>978</v>
      </c>
      <c r="Q131" s="104" t="s">
        <v>1012</v>
      </c>
      <c r="R131" s="104" t="s">
        <v>978</v>
      </c>
      <c r="S131" s="104" t="s">
        <v>978</v>
      </c>
      <c r="T131" s="104" t="s">
        <v>978</v>
      </c>
      <c r="U131" s="104" t="s">
        <v>978</v>
      </c>
      <c r="V131" s="104" t="s">
        <v>978</v>
      </c>
      <c r="W131" s="104" t="s">
        <v>978</v>
      </c>
      <c r="X131" s="104" t="s">
        <v>978</v>
      </c>
      <c r="Y131" s="104" t="s">
        <v>978</v>
      </c>
      <c r="Z131" s="104" t="s">
        <v>978</v>
      </c>
      <c r="AA131" s="104" t="s">
        <v>978</v>
      </c>
      <c r="AB131" s="104" t="s">
        <v>978</v>
      </c>
      <c r="AC131" s="104" t="s">
        <v>978</v>
      </c>
      <c r="AD131" s="104" t="s">
        <v>978</v>
      </c>
      <c r="AE131" s="104" t="s">
        <v>978</v>
      </c>
      <c r="AF131" s="104">
        <v>57152</v>
      </c>
      <c r="AG131" s="104">
        <f t="shared" si="64"/>
        <v>60066.751999999993</v>
      </c>
      <c r="AH131" s="104" t="s">
        <v>978</v>
      </c>
      <c r="AI131" s="104" t="s">
        <v>978</v>
      </c>
      <c r="AJ131" s="104" t="s">
        <v>978</v>
      </c>
      <c r="AK131" s="104" t="s">
        <v>978</v>
      </c>
      <c r="AL131" s="104">
        <f t="shared" si="65"/>
        <v>59684.936311999998</v>
      </c>
      <c r="AM131" s="120">
        <v>55000</v>
      </c>
      <c r="AN131" s="103">
        <v>130000</v>
      </c>
      <c r="AO131" s="103">
        <v>1838.55</v>
      </c>
      <c r="AP131" s="103">
        <v>95000</v>
      </c>
      <c r="AQ131" s="103">
        <v>77350</v>
      </c>
      <c r="AR131" s="103">
        <v>98918.75</v>
      </c>
      <c r="AS131" s="103">
        <v>64350</v>
      </c>
      <c r="AT131" s="103">
        <v>55454</v>
      </c>
      <c r="AU131" s="103">
        <f t="shared" si="66"/>
        <v>55454</v>
      </c>
      <c r="AV131" s="158" t="s">
        <v>1077</v>
      </c>
      <c r="AW131" s="156">
        <f>+AVERAGE(AM131,AU131)</f>
        <v>55227</v>
      </c>
      <c r="AX131" s="121">
        <f t="shared" si="68"/>
        <v>55227</v>
      </c>
      <c r="AY131" s="163" t="s">
        <v>1087</v>
      </c>
      <c r="AZ131" s="160">
        <v>48</v>
      </c>
      <c r="BA131" s="138">
        <v>15</v>
      </c>
      <c r="BB131" s="138">
        <v>0</v>
      </c>
      <c r="BC131" s="139">
        <f t="shared" si="60"/>
        <v>63</v>
      </c>
      <c r="BD131" s="140">
        <f t="shared" si="32"/>
        <v>3479301</v>
      </c>
    </row>
    <row r="132" spans="1:56" s="130" customFormat="1" ht="24.75" customHeight="1" x14ac:dyDescent="0.2">
      <c r="A132" s="149">
        <v>14</v>
      </c>
      <c r="B132" s="148">
        <v>129</v>
      </c>
      <c r="C132" s="105">
        <v>42152452</v>
      </c>
      <c r="D132" s="106" t="s">
        <v>501</v>
      </c>
      <c r="E132" s="105" t="s">
        <v>501</v>
      </c>
      <c r="F132" s="105" t="s">
        <v>305</v>
      </c>
      <c r="G132" s="145" t="s">
        <v>978</v>
      </c>
      <c r="H132" s="145" t="s">
        <v>978</v>
      </c>
      <c r="I132" s="145" t="s">
        <v>978</v>
      </c>
      <c r="J132" s="104" t="s">
        <v>978</v>
      </c>
      <c r="K132" s="104" t="s">
        <v>978</v>
      </c>
      <c r="L132" s="104" t="s">
        <v>978</v>
      </c>
      <c r="M132" s="104" t="s">
        <v>978</v>
      </c>
      <c r="N132" s="104" t="s">
        <v>978</v>
      </c>
      <c r="O132" s="104" t="s">
        <v>978</v>
      </c>
      <c r="P132" s="104" t="s">
        <v>978</v>
      </c>
      <c r="Q132" s="104" t="s">
        <v>1012</v>
      </c>
      <c r="R132" s="104" t="s">
        <v>978</v>
      </c>
      <c r="S132" s="104" t="s">
        <v>978</v>
      </c>
      <c r="T132" s="104" t="s">
        <v>978</v>
      </c>
      <c r="U132" s="104" t="s">
        <v>978</v>
      </c>
      <c r="V132" s="104" t="s">
        <v>978</v>
      </c>
      <c r="W132" s="104" t="s">
        <v>978</v>
      </c>
      <c r="X132" s="104" t="s">
        <v>978</v>
      </c>
      <c r="Y132" s="104" t="s">
        <v>978</v>
      </c>
      <c r="Z132" s="104" t="s">
        <v>978</v>
      </c>
      <c r="AA132" s="104" t="s">
        <v>978</v>
      </c>
      <c r="AB132" s="104" t="s">
        <v>978</v>
      </c>
      <c r="AC132" s="104" t="s">
        <v>978</v>
      </c>
      <c r="AD132" s="104" t="s">
        <v>978</v>
      </c>
      <c r="AE132" s="104" t="s">
        <v>978</v>
      </c>
      <c r="AF132" s="104" t="s">
        <v>978</v>
      </c>
      <c r="AG132" s="104" t="s">
        <v>978</v>
      </c>
      <c r="AH132" s="104" t="s">
        <v>978</v>
      </c>
      <c r="AI132" s="104" t="s">
        <v>978</v>
      </c>
      <c r="AJ132" s="104">
        <v>41908</v>
      </c>
      <c r="AK132" s="104">
        <f>AJ132*(1+5.1%)</f>
        <v>44045.307999999997</v>
      </c>
      <c r="AL132" s="104">
        <f t="shared" si="65"/>
        <v>44045.307999999997</v>
      </c>
      <c r="AM132" s="120" t="s">
        <v>978</v>
      </c>
      <c r="AN132" s="103">
        <v>124410</v>
      </c>
      <c r="AO132" s="103" t="s">
        <v>974</v>
      </c>
      <c r="AP132" s="103" t="s">
        <v>974</v>
      </c>
      <c r="AQ132" s="103">
        <v>80920</v>
      </c>
      <c r="AR132" s="103" t="s">
        <v>974</v>
      </c>
      <c r="AS132" s="103" t="s">
        <v>974</v>
      </c>
      <c r="AT132" s="103" t="s">
        <v>974</v>
      </c>
      <c r="AU132" s="103">
        <f>+MIN(AN132:AT132)</f>
        <v>80920</v>
      </c>
      <c r="AV132" s="158"/>
      <c r="AW132" s="156">
        <f>+AVERAGE(AL132,AU132)</f>
        <v>62482.653999999995</v>
      </c>
      <c r="AX132" s="121">
        <f t="shared" si="68"/>
        <v>62483</v>
      </c>
      <c r="AY132" s="163" t="s">
        <v>1073</v>
      </c>
      <c r="AZ132" s="160">
        <v>20</v>
      </c>
      <c r="BA132" s="138">
        <v>0</v>
      </c>
      <c r="BB132" s="138">
        <v>0</v>
      </c>
      <c r="BC132" s="139">
        <f t="shared" si="60"/>
        <v>20</v>
      </c>
      <c r="BD132" s="140">
        <f t="shared" si="32"/>
        <v>1249660</v>
      </c>
    </row>
    <row r="133" spans="1:56" s="130" customFormat="1" ht="24" customHeight="1" x14ac:dyDescent="0.2">
      <c r="A133" s="149">
        <v>14</v>
      </c>
      <c r="B133" s="148">
        <v>130</v>
      </c>
      <c r="C133" s="105">
        <v>42132205</v>
      </c>
      <c r="D133" s="106" t="s">
        <v>502</v>
      </c>
      <c r="E133" s="105" t="s">
        <v>876</v>
      </c>
      <c r="F133" s="105" t="s">
        <v>299</v>
      </c>
      <c r="G133" s="145" t="s">
        <v>978</v>
      </c>
      <c r="H133" s="145" t="s">
        <v>978</v>
      </c>
      <c r="I133" s="145" t="s">
        <v>978</v>
      </c>
      <c r="J133" s="104" t="s">
        <v>978</v>
      </c>
      <c r="K133" s="104" t="s">
        <v>978</v>
      </c>
      <c r="L133" s="104" t="s">
        <v>978</v>
      </c>
      <c r="M133" s="104" t="s">
        <v>978</v>
      </c>
      <c r="N133" s="104">
        <v>59599</v>
      </c>
      <c r="O133" s="104">
        <f t="shared" si="63"/>
        <v>65895.753547999993</v>
      </c>
      <c r="P133" s="104" t="s">
        <v>978</v>
      </c>
      <c r="Q133" s="104" t="s">
        <v>1012</v>
      </c>
      <c r="R133" s="104" t="s">
        <v>978</v>
      </c>
      <c r="S133" s="104" t="s">
        <v>978</v>
      </c>
      <c r="T133" s="104" t="s">
        <v>978</v>
      </c>
      <c r="U133" s="104" t="s">
        <v>978</v>
      </c>
      <c r="V133" s="104" t="s">
        <v>978</v>
      </c>
      <c r="W133" s="104" t="s">
        <v>978</v>
      </c>
      <c r="X133" s="104" t="s">
        <v>978</v>
      </c>
      <c r="Y133" s="104" t="s">
        <v>978</v>
      </c>
      <c r="Z133" s="104" t="s">
        <v>978</v>
      </c>
      <c r="AA133" s="104" t="s">
        <v>978</v>
      </c>
      <c r="AB133" s="104" t="s">
        <v>978</v>
      </c>
      <c r="AC133" s="104" t="s">
        <v>978</v>
      </c>
      <c r="AD133" s="104" t="s">
        <v>978</v>
      </c>
      <c r="AE133" s="104" t="s">
        <v>978</v>
      </c>
      <c r="AF133" s="104" t="s">
        <v>978</v>
      </c>
      <c r="AG133" s="104" t="s">
        <v>978</v>
      </c>
      <c r="AH133" s="104" t="s">
        <v>978</v>
      </c>
      <c r="AI133" s="104" t="s">
        <v>978</v>
      </c>
      <c r="AJ133" s="104" t="s">
        <v>978</v>
      </c>
      <c r="AK133" s="104" t="s">
        <v>978</v>
      </c>
      <c r="AL133" s="104">
        <f t="shared" si="65"/>
        <v>65895.753547999993</v>
      </c>
      <c r="AM133" s="120">
        <v>55000</v>
      </c>
      <c r="AN133" s="103">
        <v>130000</v>
      </c>
      <c r="AO133" s="103" t="s">
        <v>974</v>
      </c>
      <c r="AP133" s="103">
        <v>95000</v>
      </c>
      <c r="AQ133" s="103">
        <v>77350</v>
      </c>
      <c r="AR133" s="103" t="s">
        <v>974</v>
      </c>
      <c r="AS133" s="103" t="s">
        <v>974</v>
      </c>
      <c r="AT133" s="103" t="s">
        <v>974</v>
      </c>
      <c r="AU133" s="103">
        <f>+MIN(AN133:AT133)</f>
        <v>77350</v>
      </c>
      <c r="AV133" s="158"/>
      <c r="AW133" s="156">
        <f>+AVERAGE(AL133,AU133,AM133)</f>
        <v>66081.917849333331</v>
      </c>
      <c r="AX133" s="121">
        <f t="shared" si="68"/>
        <v>66082</v>
      </c>
      <c r="AY133" s="163" t="s">
        <v>1085</v>
      </c>
      <c r="AZ133" s="160">
        <v>10</v>
      </c>
      <c r="BA133" s="138">
        <v>0</v>
      </c>
      <c r="BB133" s="138">
        <v>0</v>
      </c>
      <c r="BC133" s="139">
        <f t="shared" si="60"/>
        <v>10</v>
      </c>
      <c r="BD133" s="140">
        <f t="shared" ref="BD133:BD196" si="69">+BC133*AX133</f>
        <v>660820</v>
      </c>
    </row>
    <row r="134" spans="1:56" s="130" customFormat="1" ht="24" customHeight="1" x14ac:dyDescent="0.2">
      <c r="A134" s="149">
        <v>14</v>
      </c>
      <c r="B134" s="148">
        <v>131</v>
      </c>
      <c r="C134" s="105">
        <v>42132205</v>
      </c>
      <c r="D134" s="106" t="s">
        <v>503</v>
      </c>
      <c r="E134" s="105" t="s">
        <v>876</v>
      </c>
      <c r="F134" s="105" t="s">
        <v>299</v>
      </c>
      <c r="G134" s="145">
        <f>1877*50</f>
        <v>93850</v>
      </c>
      <c r="H134" s="145" t="s">
        <v>978</v>
      </c>
      <c r="I134" s="145">
        <f>+AVERAGE(G134:H134)</f>
        <v>93850</v>
      </c>
      <c r="J134" s="104" t="s">
        <v>978</v>
      </c>
      <c r="K134" s="104" t="s">
        <v>978</v>
      </c>
      <c r="L134" s="104" t="s">
        <v>978</v>
      </c>
      <c r="M134" s="104" t="s">
        <v>978</v>
      </c>
      <c r="N134" s="104">
        <v>64743</v>
      </c>
      <c r="O134" s="104">
        <f>N134*(1+5.2%)*(1+5.1%)</f>
        <v>71583.227436000001</v>
      </c>
      <c r="P134" s="104" t="s">
        <v>978</v>
      </c>
      <c r="Q134" s="104" t="s">
        <v>1012</v>
      </c>
      <c r="R134" s="104" t="s">
        <v>978</v>
      </c>
      <c r="S134" s="104" t="s">
        <v>978</v>
      </c>
      <c r="T134" s="104" t="s">
        <v>978</v>
      </c>
      <c r="U134" s="104" t="s">
        <v>978</v>
      </c>
      <c r="V134" s="104" t="s">
        <v>978</v>
      </c>
      <c r="W134" s="104" t="s">
        <v>978</v>
      </c>
      <c r="X134" s="104" t="s">
        <v>978</v>
      </c>
      <c r="Y134" s="104" t="s">
        <v>978</v>
      </c>
      <c r="Z134" s="104" t="s">
        <v>978</v>
      </c>
      <c r="AA134" s="104" t="s">
        <v>978</v>
      </c>
      <c r="AB134" s="104" t="s">
        <v>978</v>
      </c>
      <c r="AC134" s="104" t="s">
        <v>978</v>
      </c>
      <c r="AD134" s="104" t="s">
        <v>978</v>
      </c>
      <c r="AE134" s="104" t="s">
        <v>978</v>
      </c>
      <c r="AF134" s="104" t="s">
        <v>978</v>
      </c>
      <c r="AG134" s="104" t="s">
        <v>978</v>
      </c>
      <c r="AH134" s="104" t="s">
        <v>978</v>
      </c>
      <c r="AI134" s="104" t="s">
        <v>978</v>
      </c>
      <c r="AJ134" s="104" t="s">
        <v>978</v>
      </c>
      <c r="AK134" s="104" t="s">
        <v>978</v>
      </c>
      <c r="AL134" s="104">
        <f>+AVERAGE(K134,M134,O134,Q134,S134,U134,W134,Y134,AA134,AC134,AE134,AG134,AI134,AK134)</f>
        <v>71583.227436000001</v>
      </c>
      <c r="AM134" s="120">
        <v>55000</v>
      </c>
      <c r="AN134" s="103">
        <v>130000</v>
      </c>
      <c r="AO134" s="103">
        <v>1838.55</v>
      </c>
      <c r="AP134" s="103">
        <v>95000</v>
      </c>
      <c r="AQ134" s="103">
        <v>77350</v>
      </c>
      <c r="AR134" s="103" t="s">
        <v>974</v>
      </c>
      <c r="AS134" s="103" t="s">
        <v>974</v>
      </c>
      <c r="AT134" s="103" t="s">
        <v>974</v>
      </c>
      <c r="AU134" s="103">
        <f>+MIN(AN134,AP134,AQ134,AR134,AS134,AT134)</f>
        <v>77350</v>
      </c>
      <c r="AV134" s="158" t="s">
        <v>1077</v>
      </c>
      <c r="AW134" s="156">
        <f>+AVERAGE(AU134,AM134,AL134)</f>
        <v>67977.742478666667</v>
      </c>
      <c r="AX134" s="121">
        <f t="shared" ref="AX134:AX137" si="70">+ROUND(AW134,0)</f>
        <v>67978</v>
      </c>
      <c r="AY134" s="163" t="s">
        <v>1074</v>
      </c>
      <c r="AZ134" s="160">
        <v>10</v>
      </c>
      <c r="BA134" s="138">
        <v>0</v>
      </c>
      <c r="BB134" s="138">
        <v>0</v>
      </c>
      <c r="BC134" s="139">
        <f t="shared" si="60"/>
        <v>10</v>
      </c>
      <c r="BD134" s="140">
        <f t="shared" si="69"/>
        <v>679780</v>
      </c>
    </row>
    <row r="135" spans="1:56" s="130" customFormat="1" ht="24" customHeight="1" x14ac:dyDescent="0.2">
      <c r="A135" s="149">
        <v>14</v>
      </c>
      <c r="B135" s="148">
        <v>132</v>
      </c>
      <c r="C135" s="105">
        <v>42132206</v>
      </c>
      <c r="D135" s="106" t="s">
        <v>504</v>
      </c>
      <c r="E135" s="105" t="s">
        <v>876</v>
      </c>
      <c r="F135" s="105" t="s">
        <v>299</v>
      </c>
      <c r="G135" s="145" t="s">
        <v>978</v>
      </c>
      <c r="H135" s="145" t="s">
        <v>978</v>
      </c>
      <c r="I135" s="145" t="s">
        <v>978</v>
      </c>
      <c r="J135" s="104" t="s">
        <v>978</v>
      </c>
      <c r="K135" s="104" t="s">
        <v>978</v>
      </c>
      <c r="L135" s="104" t="s">
        <v>978</v>
      </c>
      <c r="M135" s="104" t="s">
        <v>978</v>
      </c>
      <c r="N135" s="104">
        <v>66352</v>
      </c>
      <c r="O135" s="104">
        <f>N135*(1+5.2%)*(1+5.1%)</f>
        <v>73362.221504000001</v>
      </c>
      <c r="P135" s="104" t="s">
        <v>978</v>
      </c>
      <c r="Q135" s="104" t="s">
        <v>1012</v>
      </c>
      <c r="R135" s="104" t="s">
        <v>978</v>
      </c>
      <c r="S135" s="104" t="s">
        <v>978</v>
      </c>
      <c r="T135" s="104" t="s">
        <v>978</v>
      </c>
      <c r="U135" s="104" t="s">
        <v>978</v>
      </c>
      <c r="V135" s="104" t="s">
        <v>978</v>
      </c>
      <c r="W135" s="104" t="s">
        <v>978</v>
      </c>
      <c r="X135" s="104" t="s">
        <v>978</v>
      </c>
      <c r="Y135" s="104" t="s">
        <v>978</v>
      </c>
      <c r="Z135" s="104" t="s">
        <v>978</v>
      </c>
      <c r="AA135" s="104" t="s">
        <v>978</v>
      </c>
      <c r="AB135" s="104" t="s">
        <v>978</v>
      </c>
      <c r="AC135" s="104" t="s">
        <v>978</v>
      </c>
      <c r="AD135" s="104" t="s">
        <v>978</v>
      </c>
      <c r="AE135" s="104" t="s">
        <v>978</v>
      </c>
      <c r="AF135" s="104" t="s">
        <v>978</v>
      </c>
      <c r="AG135" s="104" t="s">
        <v>978</v>
      </c>
      <c r="AH135" s="104" t="s">
        <v>978</v>
      </c>
      <c r="AI135" s="104" t="s">
        <v>978</v>
      </c>
      <c r="AJ135" s="104" t="s">
        <v>978</v>
      </c>
      <c r="AK135" s="104" t="s">
        <v>978</v>
      </c>
      <c r="AL135" s="104">
        <f>+AVERAGE(K135,M135,O135,Q135,S135,U135,W135,Y135,AA135,AC135,AE135,AG135,AI135,AK135)</f>
        <v>73362.221504000001</v>
      </c>
      <c r="AM135" s="120">
        <v>55000</v>
      </c>
      <c r="AN135" s="103">
        <v>130000</v>
      </c>
      <c r="AO135" s="103" t="s">
        <v>974</v>
      </c>
      <c r="AP135" s="103">
        <v>95000</v>
      </c>
      <c r="AQ135" s="103">
        <v>77350</v>
      </c>
      <c r="AR135" s="103" t="s">
        <v>974</v>
      </c>
      <c r="AS135" s="103" t="s">
        <v>974</v>
      </c>
      <c r="AT135" s="103" t="s">
        <v>974</v>
      </c>
      <c r="AU135" s="103">
        <f t="shared" ref="AU135:AU142" si="71">+MIN(AN135:AT135)</f>
        <v>77350</v>
      </c>
      <c r="AV135" s="158"/>
      <c r="AW135" s="156">
        <f>+AVERAGE(AU135,AM135,AL135)</f>
        <v>68570.740501333334</v>
      </c>
      <c r="AX135" s="121">
        <f>+ROUND(AW135,0)</f>
        <v>68571</v>
      </c>
      <c r="AY135" s="163" t="s">
        <v>1085</v>
      </c>
      <c r="AZ135" s="160">
        <v>10</v>
      </c>
      <c r="BA135" s="138">
        <v>0</v>
      </c>
      <c r="BB135" s="138">
        <v>0</v>
      </c>
      <c r="BC135" s="139">
        <f t="shared" si="60"/>
        <v>10</v>
      </c>
      <c r="BD135" s="140">
        <f t="shared" si="69"/>
        <v>685710</v>
      </c>
    </row>
    <row r="136" spans="1:56" s="130" customFormat="1" ht="22.5" x14ac:dyDescent="0.2">
      <c r="A136" s="149">
        <v>14</v>
      </c>
      <c r="B136" s="148">
        <v>133</v>
      </c>
      <c r="C136" s="113">
        <v>42132203</v>
      </c>
      <c r="D136" s="109" t="s">
        <v>972</v>
      </c>
      <c r="E136" s="113" t="s">
        <v>972</v>
      </c>
      <c r="F136" s="107" t="s">
        <v>434</v>
      </c>
      <c r="G136" s="145" t="s">
        <v>978</v>
      </c>
      <c r="H136" s="145">
        <v>17493</v>
      </c>
      <c r="I136" s="145">
        <f>+AVERAGE(G136:H136)</f>
        <v>17493</v>
      </c>
      <c r="J136" s="104" t="s">
        <v>978</v>
      </c>
      <c r="K136" s="104" t="s">
        <v>978</v>
      </c>
      <c r="L136" s="104" t="s">
        <v>978</v>
      </c>
      <c r="M136" s="104" t="s">
        <v>978</v>
      </c>
      <c r="N136" s="104" t="s">
        <v>978</v>
      </c>
      <c r="O136" s="104" t="s">
        <v>978</v>
      </c>
      <c r="P136" s="104" t="s">
        <v>978</v>
      </c>
      <c r="Q136" s="104" t="s">
        <v>1012</v>
      </c>
      <c r="R136" s="104" t="s">
        <v>978</v>
      </c>
      <c r="S136" s="104" t="s">
        <v>978</v>
      </c>
      <c r="T136" s="104" t="s">
        <v>978</v>
      </c>
      <c r="U136" s="104" t="s">
        <v>978</v>
      </c>
      <c r="V136" s="104">
        <v>17549</v>
      </c>
      <c r="W136" s="104">
        <f>V136*(1+5.1%)</f>
        <v>18443.999</v>
      </c>
      <c r="X136" s="104" t="s">
        <v>978</v>
      </c>
      <c r="Y136" s="104" t="s">
        <v>978</v>
      </c>
      <c r="Z136" s="104" t="s">
        <v>978</v>
      </c>
      <c r="AA136" s="104" t="s">
        <v>978</v>
      </c>
      <c r="AB136" s="104" t="s">
        <v>978</v>
      </c>
      <c r="AC136" s="104" t="s">
        <v>978</v>
      </c>
      <c r="AD136" s="104" t="s">
        <v>978</v>
      </c>
      <c r="AE136" s="104" t="s">
        <v>978</v>
      </c>
      <c r="AF136" s="104" t="s">
        <v>978</v>
      </c>
      <c r="AG136" s="104" t="s">
        <v>978</v>
      </c>
      <c r="AH136" s="104" t="s">
        <v>978</v>
      </c>
      <c r="AI136" s="104" t="s">
        <v>978</v>
      </c>
      <c r="AJ136" s="104" t="s">
        <v>978</v>
      </c>
      <c r="AK136" s="104" t="s">
        <v>978</v>
      </c>
      <c r="AL136" s="104">
        <f>+AVERAGE(K136,M136,O136,Q136,S136,U136,W136,Y136,AA136,AC136,AE136,AG136,AI136,AK136)</f>
        <v>18443.999</v>
      </c>
      <c r="AM136" s="120">
        <v>25800</v>
      </c>
      <c r="AN136" s="103">
        <v>36500</v>
      </c>
      <c r="AO136" s="119" t="s">
        <v>974</v>
      </c>
      <c r="AP136" s="103" t="s">
        <v>974</v>
      </c>
      <c r="AQ136" s="142" t="s">
        <v>974</v>
      </c>
      <c r="AR136" s="103" t="s">
        <v>974</v>
      </c>
      <c r="AS136" s="103" t="s">
        <v>974</v>
      </c>
      <c r="AT136" s="103" t="s">
        <v>974</v>
      </c>
      <c r="AU136" s="103">
        <f t="shared" si="71"/>
        <v>36500</v>
      </c>
      <c r="AV136" s="158"/>
      <c r="AW136" s="156">
        <f>+AVERAGE(I136,AL136,AM136,AU136)</f>
        <v>24559.249749999999</v>
      </c>
      <c r="AX136" s="121">
        <f t="shared" si="70"/>
        <v>24559</v>
      </c>
      <c r="AY136" s="163" t="s">
        <v>1085</v>
      </c>
      <c r="AZ136" s="160">
        <v>20</v>
      </c>
      <c r="BA136" s="138">
        <v>0</v>
      </c>
      <c r="BB136" s="138">
        <v>0</v>
      </c>
      <c r="BC136" s="139">
        <f t="shared" si="60"/>
        <v>20</v>
      </c>
      <c r="BD136" s="140">
        <f t="shared" si="69"/>
        <v>491180</v>
      </c>
    </row>
    <row r="137" spans="1:56" s="130" customFormat="1" ht="22.5" x14ac:dyDescent="0.2">
      <c r="A137" s="149">
        <v>14</v>
      </c>
      <c r="B137" s="148">
        <v>134</v>
      </c>
      <c r="C137" s="113">
        <v>42132203</v>
      </c>
      <c r="D137" s="109" t="s">
        <v>973</v>
      </c>
      <c r="E137" s="113" t="s">
        <v>973</v>
      </c>
      <c r="F137" s="107" t="s">
        <v>434</v>
      </c>
      <c r="G137" s="145">
        <v>24871</v>
      </c>
      <c r="H137" s="145">
        <v>17493</v>
      </c>
      <c r="I137" s="145">
        <f>+AVERAGE(G137:H137)</f>
        <v>21182</v>
      </c>
      <c r="J137" s="104" t="s">
        <v>978</v>
      </c>
      <c r="K137" s="104" t="s">
        <v>978</v>
      </c>
      <c r="L137" s="104" t="s">
        <v>978</v>
      </c>
      <c r="M137" s="104" t="s">
        <v>978</v>
      </c>
      <c r="N137" s="104" t="s">
        <v>978</v>
      </c>
      <c r="O137" s="104" t="s">
        <v>978</v>
      </c>
      <c r="P137" s="104" t="s">
        <v>978</v>
      </c>
      <c r="Q137" s="104" t="s">
        <v>1012</v>
      </c>
      <c r="R137" s="104" t="s">
        <v>978</v>
      </c>
      <c r="S137" s="104" t="s">
        <v>978</v>
      </c>
      <c r="T137" s="104" t="s">
        <v>978</v>
      </c>
      <c r="U137" s="104" t="s">
        <v>978</v>
      </c>
      <c r="V137" s="104">
        <v>17549</v>
      </c>
      <c r="W137" s="104">
        <f>V137*(1+5.1%)</f>
        <v>18443.999</v>
      </c>
      <c r="X137" s="104" t="s">
        <v>978</v>
      </c>
      <c r="Y137" s="104" t="s">
        <v>978</v>
      </c>
      <c r="Z137" s="104" t="s">
        <v>978</v>
      </c>
      <c r="AA137" s="104" t="s">
        <v>978</v>
      </c>
      <c r="AB137" s="104" t="s">
        <v>978</v>
      </c>
      <c r="AC137" s="104" t="s">
        <v>978</v>
      </c>
      <c r="AD137" s="104" t="s">
        <v>978</v>
      </c>
      <c r="AE137" s="104" t="s">
        <v>978</v>
      </c>
      <c r="AF137" s="104" t="s">
        <v>978</v>
      </c>
      <c r="AG137" s="104" t="s">
        <v>978</v>
      </c>
      <c r="AH137" s="104" t="s">
        <v>978</v>
      </c>
      <c r="AI137" s="104" t="s">
        <v>978</v>
      </c>
      <c r="AJ137" s="104" t="s">
        <v>978</v>
      </c>
      <c r="AK137" s="104" t="s">
        <v>978</v>
      </c>
      <c r="AL137" s="104">
        <f>+AVERAGE(K137,M137,O137,Q137,S137,U137,W137,Y137,AA137,AC137,AE137,AG137,AI137,AK137)</f>
        <v>18443.999</v>
      </c>
      <c r="AM137" s="120">
        <v>25800</v>
      </c>
      <c r="AN137" s="103">
        <v>36500</v>
      </c>
      <c r="AO137" s="119" t="s">
        <v>974</v>
      </c>
      <c r="AP137" s="103" t="s">
        <v>974</v>
      </c>
      <c r="AQ137" s="142" t="s">
        <v>974</v>
      </c>
      <c r="AR137" s="103" t="s">
        <v>974</v>
      </c>
      <c r="AS137" s="103" t="s">
        <v>974</v>
      </c>
      <c r="AT137" s="103" t="s">
        <v>974</v>
      </c>
      <c r="AU137" s="103">
        <f t="shared" si="71"/>
        <v>36500</v>
      </c>
      <c r="AV137" s="158"/>
      <c r="AW137" s="156">
        <f>+AVERAGE(I137,AL137,AM137,AU137)</f>
        <v>25481.499749999999</v>
      </c>
      <c r="AX137" s="121">
        <f t="shared" si="70"/>
        <v>25481</v>
      </c>
      <c r="AY137" s="163" t="s">
        <v>1085</v>
      </c>
      <c r="AZ137" s="160">
        <v>5</v>
      </c>
      <c r="BA137" s="138">
        <v>0</v>
      </c>
      <c r="BB137" s="138">
        <v>0</v>
      </c>
      <c r="BC137" s="139">
        <f t="shared" si="60"/>
        <v>5</v>
      </c>
      <c r="BD137" s="140">
        <f t="shared" si="69"/>
        <v>127405</v>
      </c>
    </row>
    <row r="138" spans="1:56" s="130" customFormat="1" ht="36.75" customHeight="1" x14ac:dyDescent="0.2">
      <c r="A138" s="149">
        <v>16</v>
      </c>
      <c r="B138" s="148">
        <v>135</v>
      </c>
      <c r="C138" s="105">
        <v>42151614</v>
      </c>
      <c r="D138" s="106" t="s">
        <v>505</v>
      </c>
      <c r="E138" s="105" t="s">
        <v>877</v>
      </c>
      <c r="F138" s="105" t="s">
        <v>286</v>
      </c>
      <c r="G138" s="145" t="s">
        <v>978</v>
      </c>
      <c r="H138" s="145" t="s">
        <v>978</v>
      </c>
      <c r="I138" s="145" t="s">
        <v>978</v>
      </c>
      <c r="J138" s="104" t="s">
        <v>978</v>
      </c>
      <c r="K138" s="104" t="s">
        <v>978</v>
      </c>
      <c r="L138" s="104" t="s">
        <v>978</v>
      </c>
      <c r="M138" s="104" t="s">
        <v>978</v>
      </c>
      <c r="N138" s="104" t="s">
        <v>978</v>
      </c>
      <c r="O138" s="104" t="s">
        <v>978</v>
      </c>
      <c r="P138" s="104" t="s">
        <v>978</v>
      </c>
      <c r="Q138" s="104" t="s">
        <v>1012</v>
      </c>
      <c r="R138" s="104">
        <v>3754</v>
      </c>
      <c r="S138" s="104">
        <f>R138*(1+5.2%)*(1+5.1%)</f>
        <v>4150.6176079999996</v>
      </c>
      <c r="T138" s="104" t="s">
        <v>978</v>
      </c>
      <c r="U138" s="104" t="s">
        <v>978</v>
      </c>
      <c r="V138" s="104" t="s">
        <v>978</v>
      </c>
      <c r="W138" s="104" t="s">
        <v>978</v>
      </c>
      <c r="X138" s="104" t="s">
        <v>978</v>
      </c>
      <c r="Y138" s="104" t="s">
        <v>978</v>
      </c>
      <c r="Z138" s="104" t="s">
        <v>978</v>
      </c>
      <c r="AA138" s="104" t="s">
        <v>978</v>
      </c>
      <c r="AB138" s="104" t="s">
        <v>978</v>
      </c>
      <c r="AC138" s="104" t="s">
        <v>978</v>
      </c>
      <c r="AD138" s="104" t="s">
        <v>978</v>
      </c>
      <c r="AE138" s="104" t="s">
        <v>978</v>
      </c>
      <c r="AF138" s="104" t="s">
        <v>978</v>
      </c>
      <c r="AG138" s="104" t="s">
        <v>978</v>
      </c>
      <c r="AH138" s="104" t="s">
        <v>978</v>
      </c>
      <c r="AI138" s="104" t="s">
        <v>978</v>
      </c>
      <c r="AJ138" s="104">
        <v>3658</v>
      </c>
      <c r="AK138" s="104">
        <f>AJ138*(1+5.1%)</f>
        <v>3844.5579999999995</v>
      </c>
      <c r="AL138" s="104">
        <f>+AVERAGE(K138,M138,O138,Q138,S138,U138,W138,Y138,AA138,AC138,AE138,AG138,AI138,AK138)</f>
        <v>3997.5878039999998</v>
      </c>
      <c r="AM138" s="120" t="s">
        <v>978</v>
      </c>
      <c r="AN138" s="103">
        <v>20735</v>
      </c>
      <c r="AO138" s="103" t="s">
        <v>974</v>
      </c>
      <c r="AP138" s="103" t="s">
        <v>974</v>
      </c>
      <c r="AQ138" s="103">
        <v>5950</v>
      </c>
      <c r="AR138" s="103" t="s">
        <v>974</v>
      </c>
      <c r="AS138" s="103" t="s">
        <v>974</v>
      </c>
      <c r="AT138" s="103" t="s">
        <v>974</v>
      </c>
      <c r="AU138" s="103">
        <f t="shared" si="71"/>
        <v>5950</v>
      </c>
      <c r="AV138" s="158"/>
      <c r="AW138" s="156">
        <f t="shared" ref="AW138:AW150" si="72">+AVERAGE(AL138,AU138)</f>
        <v>4973.7939019999994</v>
      </c>
      <c r="AX138" s="121">
        <f t="shared" ref="AX138:AX149" si="73">+ROUND(AW138,0)</f>
        <v>4974</v>
      </c>
      <c r="AY138" s="163" t="s">
        <v>1073</v>
      </c>
      <c r="AZ138" s="160">
        <v>4</v>
      </c>
      <c r="BA138" s="138">
        <v>4</v>
      </c>
      <c r="BB138" s="138">
        <v>0</v>
      </c>
      <c r="BC138" s="139">
        <f t="shared" si="60"/>
        <v>8</v>
      </c>
      <c r="BD138" s="140">
        <f t="shared" si="69"/>
        <v>39792</v>
      </c>
    </row>
    <row r="139" spans="1:56" s="125" customFormat="1" ht="24.75" customHeight="1" x14ac:dyDescent="0.2">
      <c r="A139" s="150">
        <v>17</v>
      </c>
      <c r="B139" s="148">
        <v>136</v>
      </c>
      <c r="C139" s="105">
        <v>42293505</v>
      </c>
      <c r="D139" s="106" t="s">
        <v>662</v>
      </c>
      <c r="E139" s="105" t="s">
        <v>753</v>
      </c>
      <c r="F139" s="105" t="s">
        <v>301</v>
      </c>
      <c r="G139" s="145" t="s">
        <v>978</v>
      </c>
      <c r="H139" s="145" t="s">
        <v>978</v>
      </c>
      <c r="I139" s="145" t="s">
        <v>978</v>
      </c>
      <c r="J139" s="104">
        <f>729*50</f>
        <v>36450</v>
      </c>
      <c r="K139" s="104">
        <f t="shared" ref="K139:K148" si="74">J139*(1+5.2%)*(1+5.1%)</f>
        <v>40301.015399999997</v>
      </c>
      <c r="L139" s="104" t="s">
        <v>978</v>
      </c>
      <c r="M139" s="104" t="s">
        <v>978</v>
      </c>
      <c r="N139" s="104" t="s">
        <v>978</v>
      </c>
      <c r="O139" s="104" t="s">
        <v>978</v>
      </c>
      <c r="P139" s="104" t="s">
        <v>978</v>
      </c>
      <c r="Q139" s="104" t="s">
        <v>1012</v>
      </c>
      <c r="R139" s="104" t="s">
        <v>978</v>
      </c>
      <c r="S139" s="104" t="s">
        <v>978</v>
      </c>
      <c r="T139" s="104" t="s">
        <v>978</v>
      </c>
      <c r="U139" s="104" t="s">
        <v>978</v>
      </c>
      <c r="V139" s="104" t="s">
        <v>978</v>
      </c>
      <c r="W139" s="104" t="s">
        <v>978</v>
      </c>
      <c r="X139" s="104" t="s">
        <v>978</v>
      </c>
      <c r="Y139" s="104" t="s">
        <v>978</v>
      </c>
      <c r="Z139" s="104" t="s">
        <v>978</v>
      </c>
      <c r="AA139" s="104" t="s">
        <v>978</v>
      </c>
      <c r="AB139" s="104" t="s">
        <v>978</v>
      </c>
      <c r="AC139" s="104" t="s">
        <v>978</v>
      </c>
      <c r="AD139" s="104" t="s">
        <v>978</v>
      </c>
      <c r="AE139" s="104" t="s">
        <v>978</v>
      </c>
      <c r="AF139" s="104">
        <f>1072*50</f>
        <v>53600</v>
      </c>
      <c r="AG139" s="104">
        <f t="shared" ref="AG139:AG148" si="75">AF139*(1+5.1%)</f>
        <v>56333.599999999999</v>
      </c>
      <c r="AH139" s="104" t="s">
        <v>978</v>
      </c>
      <c r="AI139" s="104" t="s">
        <v>978</v>
      </c>
      <c r="AJ139" s="104" t="s">
        <v>978</v>
      </c>
      <c r="AK139" s="104" t="s">
        <v>978</v>
      </c>
      <c r="AL139" s="104">
        <f t="shared" ref="AL139:AL163" si="76">+AVERAGE(K139,M139,O139,Q139,S139,U139,W139,Y139,AA139,AC139,AE139,AG139,AI139,AK139)</f>
        <v>48317.307699999998</v>
      </c>
      <c r="AM139" s="120" t="s">
        <v>978</v>
      </c>
      <c r="AN139" s="103">
        <v>375000</v>
      </c>
      <c r="AO139" s="103" t="s">
        <v>974</v>
      </c>
      <c r="AP139" s="103" t="s">
        <v>974</v>
      </c>
      <c r="AQ139" s="103">
        <v>50000</v>
      </c>
      <c r="AR139" s="103" t="s">
        <v>974</v>
      </c>
      <c r="AS139" s="103" t="s">
        <v>974</v>
      </c>
      <c r="AT139" s="103" t="s">
        <v>974</v>
      </c>
      <c r="AU139" s="103">
        <f t="shared" si="71"/>
        <v>50000</v>
      </c>
      <c r="AV139" s="158"/>
      <c r="AW139" s="156">
        <f t="shared" si="72"/>
        <v>49158.653850000002</v>
      </c>
      <c r="AX139" s="121">
        <f t="shared" si="73"/>
        <v>49159</v>
      </c>
      <c r="AY139" s="163" t="s">
        <v>1073</v>
      </c>
      <c r="AZ139" s="160">
        <v>0</v>
      </c>
      <c r="BA139" s="138">
        <v>2</v>
      </c>
      <c r="BB139" s="138">
        <v>0</v>
      </c>
      <c r="BC139" s="139">
        <f>+BA139+BB139</f>
        <v>2</v>
      </c>
      <c r="BD139" s="140">
        <f t="shared" si="69"/>
        <v>98318</v>
      </c>
    </row>
    <row r="140" spans="1:56" s="125" customFormat="1" ht="25.5" customHeight="1" x14ac:dyDescent="0.2">
      <c r="A140" s="150">
        <v>17</v>
      </c>
      <c r="B140" s="148">
        <v>137</v>
      </c>
      <c r="C140" s="105">
        <v>42293505</v>
      </c>
      <c r="D140" s="106" t="s">
        <v>663</v>
      </c>
      <c r="E140" s="105" t="s">
        <v>753</v>
      </c>
      <c r="F140" s="105" t="s">
        <v>301</v>
      </c>
      <c r="G140" s="145" t="s">
        <v>978</v>
      </c>
      <c r="H140" s="145" t="s">
        <v>978</v>
      </c>
      <c r="I140" s="145" t="s">
        <v>978</v>
      </c>
      <c r="J140" s="104">
        <f>729*50</f>
        <v>36450</v>
      </c>
      <c r="K140" s="104">
        <f t="shared" si="74"/>
        <v>40301.015399999997</v>
      </c>
      <c r="L140" s="104" t="s">
        <v>978</v>
      </c>
      <c r="M140" s="104" t="s">
        <v>978</v>
      </c>
      <c r="N140" s="104" t="s">
        <v>978</v>
      </c>
      <c r="O140" s="104" t="s">
        <v>978</v>
      </c>
      <c r="P140" s="104" t="s">
        <v>978</v>
      </c>
      <c r="Q140" s="104" t="s">
        <v>1012</v>
      </c>
      <c r="R140" s="104" t="s">
        <v>978</v>
      </c>
      <c r="S140" s="104" t="s">
        <v>978</v>
      </c>
      <c r="T140" s="104" t="s">
        <v>978</v>
      </c>
      <c r="U140" s="104" t="s">
        <v>978</v>
      </c>
      <c r="V140" s="104" t="s">
        <v>978</v>
      </c>
      <c r="W140" s="104" t="s">
        <v>978</v>
      </c>
      <c r="X140" s="104" t="s">
        <v>978</v>
      </c>
      <c r="Y140" s="104" t="s">
        <v>978</v>
      </c>
      <c r="Z140" s="104" t="s">
        <v>978</v>
      </c>
      <c r="AA140" s="104" t="s">
        <v>978</v>
      </c>
      <c r="AB140" s="104" t="s">
        <v>978</v>
      </c>
      <c r="AC140" s="104" t="s">
        <v>978</v>
      </c>
      <c r="AD140" s="104" t="s">
        <v>978</v>
      </c>
      <c r="AE140" s="104" t="s">
        <v>978</v>
      </c>
      <c r="AF140" s="104">
        <f>1072*50</f>
        <v>53600</v>
      </c>
      <c r="AG140" s="104">
        <f t="shared" si="75"/>
        <v>56333.599999999999</v>
      </c>
      <c r="AH140" s="104">
        <v>36234</v>
      </c>
      <c r="AI140" s="104">
        <f t="shared" ref="AI140:AI141" si="77">AH140*(1+5.1%)</f>
        <v>38081.934000000001</v>
      </c>
      <c r="AJ140" s="104" t="s">
        <v>978</v>
      </c>
      <c r="AK140" s="104" t="s">
        <v>978</v>
      </c>
      <c r="AL140" s="104">
        <f t="shared" si="76"/>
        <v>44905.516466666661</v>
      </c>
      <c r="AM140" s="120" t="s">
        <v>978</v>
      </c>
      <c r="AN140" s="103">
        <v>375000</v>
      </c>
      <c r="AO140" s="103" t="s">
        <v>974</v>
      </c>
      <c r="AP140" s="103" t="s">
        <v>974</v>
      </c>
      <c r="AQ140" s="103">
        <v>50000</v>
      </c>
      <c r="AR140" s="103" t="s">
        <v>974</v>
      </c>
      <c r="AS140" s="103" t="s">
        <v>974</v>
      </c>
      <c r="AT140" s="103" t="s">
        <v>974</v>
      </c>
      <c r="AU140" s="103">
        <f t="shared" si="71"/>
        <v>50000</v>
      </c>
      <c r="AV140" s="158"/>
      <c r="AW140" s="156">
        <f t="shared" si="72"/>
        <v>47452.758233333327</v>
      </c>
      <c r="AX140" s="121">
        <f t="shared" si="73"/>
        <v>47453</v>
      </c>
      <c r="AY140" s="163" t="s">
        <v>1073</v>
      </c>
      <c r="AZ140" s="160">
        <v>3</v>
      </c>
      <c r="BA140" s="138">
        <v>2</v>
      </c>
      <c r="BB140" s="138">
        <v>0</v>
      </c>
      <c r="BC140" s="139">
        <f>+AZ140+BA140+BB140</f>
        <v>5</v>
      </c>
      <c r="BD140" s="140">
        <f t="shared" si="69"/>
        <v>237265</v>
      </c>
    </row>
    <row r="141" spans="1:56" s="125" customFormat="1" ht="26.25" customHeight="1" x14ac:dyDescent="0.2">
      <c r="A141" s="150">
        <v>17</v>
      </c>
      <c r="B141" s="148">
        <v>138</v>
      </c>
      <c r="C141" s="105">
        <v>42293505</v>
      </c>
      <c r="D141" s="106" t="s">
        <v>664</v>
      </c>
      <c r="E141" s="105" t="s">
        <v>753</v>
      </c>
      <c r="F141" s="105" t="s">
        <v>301</v>
      </c>
      <c r="G141" s="145">
        <f>1796*50</f>
        <v>89800</v>
      </c>
      <c r="H141" s="145" t="s">
        <v>978</v>
      </c>
      <c r="I141" s="145">
        <f>+AVERAGE(G141:H141)</f>
        <v>89800</v>
      </c>
      <c r="J141" s="104">
        <f>729*50</f>
        <v>36450</v>
      </c>
      <c r="K141" s="104">
        <f t="shared" si="74"/>
        <v>40301.015399999997</v>
      </c>
      <c r="L141" s="104" t="s">
        <v>978</v>
      </c>
      <c r="M141" s="104" t="s">
        <v>978</v>
      </c>
      <c r="N141" s="104" t="s">
        <v>978</v>
      </c>
      <c r="O141" s="104" t="s">
        <v>978</v>
      </c>
      <c r="P141" s="104" t="s">
        <v>978</v>
      </c>
      <c r="Q141" s="104" t="s">
        <v>1012</v>
      </c>
      <c r="R141" s="104" t="s">
        <v>978</v>
      </c>
      <c r="S141" s="104" t="s">
        <v>978</v>
      </c>
      <c r="T141" s="104" t="s">
        <v>978</v>
      </c>
      <c r="U141" s="104" t="s">
        <v>978</v>
      </c>
      <c r="V141" s="104" t="s">
        <v>978</v>
      </c>
      <c r="W141" s="104" t="s">
        <v>978</v>
      </c>
      <c r="X141" s="104" t="s">
        <v>978</v>
      </c>
      <c r="Y141" s="104" t="s">
        <v>978</v>
      </c>
      <c r="Z141" s="104" t="s">
        <v>978</v>
      </c>
      <c r="AA141" s="104" t="s">
        <v>978</v>
      </c>
      <c r="AB141" s="104" t="s">
        <v>978</v>
      </c>
      <c r="AC141" s="104" t="s">
        <v>978</v>
      </c>
      <c r="AD141" s="104" t="s">
        <v>978</v>
      </c>
      <c r="AE141" s="104" t="s">
        <v>978</v>
      </c>
      <c r="AF141" s="104">
        <f>515*50</f>
        <v>25750</v>
      </c>
      <c r="AG141" s="104">
        <f t="shared" si="75"/>
        <v>27063.25</v>
      </c>
      <c r="AH141" s="104">
        <v>43617</v>
      </c>
      <c r="AI141" s="104">
        <f t="shared" si="77"/>
        <v>45841.466999999997</v>
      </c>
      <c r="AJ141" s="104" t="s">
        <v>978</v>
      </c>
      <c r="AK141" s="104" t="s">
        <v>978</v>
      </c>
      <c r="AL141" s="104">
        <f t="shared" si="76"/>
        <v>37735.244133333334</v>
      </c>
      <c r="AM141" s="120" t="s">
        <v>978</v>
      </c>
      <c r="AN141" s="103">
        <v>375000</v>
      </c>
      <c r="AO141" s="103" t="s">
        <v>974</v>
      </c>
      <c r="AP141" s="103" t="s">
        <v>974</v>
      </c>
      <c r="AQ141" s="103">
        <v>50000</v>
      </c>
      <c r="AR141" s="103" t="s">
        <v>974</v>
      </c>
      <c r="AS141" s="103" t="s">
        <v>974</v>
      </c>
      <c r="AT141" s="103" t="s">
        <v>974</v>
      </c>
      <c r="AU141" s="103">
        <f t="shared" si="71"/>
        <v>50000</v>
      </c>
      <c r="AV141" s="158"/>
      <c r="AW141" s="156">
        <f t="shared" si="72"/>
        <v>43867.622066666663</v>
      </c>
      <c r="AX141" s="121">
        <f t="shared" si="73"/>
        <v>43868</v>
      </c>
      <c r="AY141" s="163" t="s">
        <v>1074</v>
      </c>
      <c r="AZ141" s="160">
        <v>3</v>
      </c>
      <c r="BA141" s="138">
        <v>0</v>
      </c>
      <c r="BB141" s="138">
        <v>0</v>
      </c>
      <c r="BC141" s="139">
        <f>+AZ141+BA141+BB141</f>
        <v>3</v>
      </c>
      <c r="BD141" s="140">
        <f t="shared" si="69"/>
        <v>131604</v>
      </c>
    </row>
    <row r="142" spans="1:56" s="125" customFormat="1" ht="24.75" customHeight="1" x14ac:dyDescent="0.2">
      <c r="A142" s="150">
        <v>17</v>
      </c>
      <c r="B142" s="148">
        <v>139</v>
      </c>
      <c r="C142" s="105">
        <v>42293505</v>
      </c>
      <c r="D142" s="106" t="s">
        <v>665</v>
      </c>
      <c r="E142" s="105" t="s">
        <v>753</v>
      </c>
      <c r="F142" s="105" t="s">
        <v>301</v>
      </c>
      <c r="G142" s="145" t="s">
        <v>978</v>
      </c>
      <c r="H142" s="145" t="s">
        <v>978</v>
      </c>
      <c r="I142" s="145" t="s">
        <v>978</v>
      </c>
      <c r="J142" s="104">
        <f>729*50</f>
        <v>36450</v>
      </c>
      <c r="K142" s="104">
        <f t="shared" si="74"/>
        <v>40301.015399999997</v>
      </c>
      <c r="L142" s="104" t="s">
        <v>978</v>
      </c>
      <c r="M142" s="104" t="s">
        <v>978</v>
      </c>
      <c r="N142" s="104" t="s">
        <v>978</v>
      </c>
      <c r="O142" s="104" t="s">
        <v>978</v>
      </c>
      <c r="P142" s="104" t="s">
        <v>978</v>
      </c>
      <c r="Q142" s="104" t="s">
        <v>1012</v>
      </c>
      <c r="R142" s="104" t="s">
        <v>978</v>
      </c>
      <c r="S142" s="104" t="s">
        <v>978</v>
      </c>
      <c r="T142" s="104" t="s">
        <v>978</v>
      </c>
      <c r="U142" s="104" t="s">
        <v>978</v>
      </c>
      <c r="V142" s="104" t="s">
        <v>978</v>
      </c>
      <c r="W142" s="104" t="s">
        <v>978</v>
      </c>
      <c r="X142" s="104" t="s">
        <v>978</v>
      </c>
      <c r="Y142" s="104" t="s">
        <v>978</v>
      </c>
      <c r="Z142" s="104" t="s">
        <v>978</v>
      </c>
      <c r="AA142" s="104" t="s">
        <v>978</v>
      </c>
      <c r="AB142" s="104" t="s">
        <v>978</v>
      </c>
      <c r="AC142" s="104" t="s">
        <v>978</v>
      </c>
      <c r="AD142" s="104" t="s">
        <v>978</v>
      </c>
      <c r="AE142" s="104" t="s">
        <v>978</v>
      </c>
      <c r="AF142" s="104">
        <f>1072*50</f>
        <v>53600</v>
      </c>
      <c r="AG142" s="104">
        <f t="shared" si="75"/>
        <v>56333.599999999999</v>
      </c>
      <c r="AH142" s="104" t="s">
        <v>978</v>
      </c>
      <c r="AI142" s="104" t="s">
        <v>978</v>
      </c>
      <c r="AJ142" s="104" t="s">
        <v>978</v>
      </c>
      <c r="AK142" s="104" t="s">
        <v>978</v>
      </c>
      <c r="AL142" s="104">
        <f t="shared" si="76"/>
        <v>48317.307699999998</v>
      </c>
      <c r="AM142" s="120" t="s">
        <v>978</v>
      </c>
      <c r="AN142" s="103">
        <v>375000</v>
      </c>
      <c r="AO142" s="103" t="s">
        <v>974</v>
      </c>
      <c r="AP142" s="103" t="s">
        <v>974</v>
      </c>
      <c r="AQ142" s="103">
        <v>50000</v>
      </c>
      <c r="AR142" s="103" t="s">
        <v>974</v>
      </c>
      <c r="AS142" s="103" t="s">
        <v>974</v>
      </c>
      <c r="AT142" s="103" t="s">
        <v>974</v>
      </c>
      <c r="AU142" s="103">
        <f t="shared" si="71"/>
        <v>50000</v>
      </c>
      <c r="AV142" s="158"/>
      <c r="AW142" s="156">
        <f t="shared" si="72"/>
        <v>49158.653850000002</v>
      </c>
      <c r="AX142" s="121">
        <f t="shared" si="73"/>
        <v>49159</v>
      </c>
      <c r="AY142" s="163" t="s">
        <v>1073</v>
      </c>
      <c r="AZ142" s="160">
        <v>0</v>
      </c>
      <c r="BA142" s="138">
        <v>2</v>
      </c>
      <c r="BB142" s="138">
        <v>0</v>
      </c>
      <c r="BC142" s="139">
        <f>+BA142+BB142</f>
        <v>2</v>
      </c>
      <c r="BD142" s="140">
        <f t="shared" si="69"/>
        <v>98318</v>
      </c>
    </row>
    <row r="143" spans="1:56" s="125" customFormat="1" ht="36" customHeight="1" x14ac:dyDescent="0.2">
      <c r="A143" s="150">
        <v>17</v>
      </c>
      <c r="B143" s="148">
        <v>140</v>
      </c>
      <c r="C143" s="105">
        <v>42293505</v>
      </c>
      <c r="D143" s="106" t="s">
        <v>666</v>
      </c>
      <c r="E143" s="105" t="s">
        <v>812</v>
      </c>
      <c r="F143" s="105" t="s">
        <v>301</v>
      </c>
      <c r="G143" s="145">
        <f>770*50</f>
        <v>38500</v>
      </c>
      <c r="H143" s="145" t="s">
        <v>978</v>
      </c>
      <c r="I143" s="145">
        <f t="shared" ref="I143:I148" si="78">+AVERAGE(G143:H143)</f>
        <v>38500</v>
      </c>
      <c r="J143" s="104">
        <f>280*50</f>
        <v>14000</v>
      </c>
      <c r="K143" s="104">
        <f t="shared" si="74"/>
        <v>15479.127999999999</v>
      </c>
      <c r="L143" s="104" t="s">
        <v>978</v>
      </c>
      <c r="M143" s="104" t="s">
        <v>978</v>
      </c>
      <c r="N143" s="104" t="s">
        <v>978</v>
      </c>
      <c r="O143" s="104" t="s">
        <v>978</v>
      </c>
      <c r="P143" s="104" t="s">
        <v>978</v>
      </c>
      <c r="Q143" s="104" t="s">
        <v>1012</v>
      </c>
      <c r="R143" s="104" t="s">
        <v>978</v>
      </c>
      <c r="S143" s="104" t="s">
        <v>978</v>
      </c>
      <c r="T143" s="104" t="s">
        <v>978</v>
      </c>
      <c r="U143" s="104" t="s">
        <v>978</v>
      </c>
      <c r="V143" s="104">
        <v>22917</v>
      </c>
      <c r="W143" s="104">
        <f t="shared" ref="W143:W154" si="79">V143*(1+5.1%)</f>
        <v>24085.767</v>
      </c>
      <c r="X143" s="104" t="s">
        <v>978</v>
      </c>
      <c r="Y143" s="104" t="s">
        <v>978</v>
      </c>
      <c r="Z143" s="104" t="s">
        <v>978</v>
      </c>
      <c r="AA143" s="104" t="s">
        <v>978</v>
      </c>
      <c r="AB143" s="104" t="s">
        <v>978</v>
      </c>
      <c r="AC143" s="104" t="s">
        <v>978</v>
      </c>
      <c r="AD143" s="104" t="s">
        <v>978</v>
      </c>
      <c r="AE143" s="104" t="s">
        <v>978</v>
      </c>
      <c r="AF143" s="104">
        <f>464*50</f>
        <v>23200</v>
      </c>
      <c r="AG143" s="104">
        <f t="shared" si="75"/>
        <v>24383.199999999997</v>
      </c>
      <c r="AH143" s="104" t="s">
        <v>978</v>
      </c>
      <c r="AI143" s="104" t="s">
        <v>978</v>
      </c>
      <c r="AJ143" s="104" t="s">
        <v>978</v>
      </c>
      <c r="AK143" s="104" t="s">
        <v>978</v>
      </c>
      <c r="AL143" s="104">
        <f t="shared" si="76"/>
        <v>21316.031666666666</v>
      </c>
      <c r="AM143" s="120" t="s">
        <v>978</v>
      </c>
      <c r="AN143" s="103">
        <v>47500</v>
      </c>
      <c r="AO143" s="103">
        <v>703.33333333333337</v>
      </c>
      <c r="AP143" s="103" t="s">
        <v>974</v>
      </c>
      <c r="AQ143" s="103">
        <v>38000</v>
      </c>
      <c r="AR143" s="103" t="s">
        <v>974</v>
      </c>
      <c r="AS143" s="103" t="s">
        <v>974</v>
      </c>
      <c r="AT143" s="103" t="s">
        <v>974</v>
      </c>
      <c r="AU143" s="103">
        <f>+MIN(AN143,AP143,AQ143,AR143,AS143,AT143)</f>
        <v>38000</v>
      </c>
      <c r="AV143" s="158" t="s">
        <v>1077</v>
      </c>
      <c r="AW143" s="156">
        <f t="shared" si="72"/>
        <v>29658.015833333331</v>
      </c>
      <c r="AX143" s="121">
        <f t="shared" si="73"/>
        <v>29658</v>
      </c>
      <c r="AY143" s="163" t="s">
        <v>1074</v>
      </c>
      <c r="AZ143" s="160">
        <v>9</v>
      </c>
      <c r="BA143" s="138">
        <v>0</v>
      </c>
      <c r="BB143" s="138">
        <v>0</v>
      </c>
      <c r="BC143" s="139">
        <f>+AZ143+BA143+BB143</f>
        <v>9</v>
      </c>
      <c r="BD143" s="140">
        <f t="shared" si="69"/>
        <v>266922</v>
      </c>
    </row>
    <row r="144" spans="1:56" s="125" customFormat="1" ht="36.75" customHeight="1" x14ac:dyDescent="0.2">
      <c r="A144" s="150">
        <v>17</v>
      </c>
      <c r="B144" s="148">
        <v>141</v>
      </c>
      <c r="C144" s="105">
        <v>42293505</v>
      </c>
      <c r="D144" s="106" t="s">
        <v>667</v>
      </c>
      <c r="E144" s="105" t="s">
        <v>812</v>
      </c>
      <c r="F144" s="105" t="s">
        <v>301</v>
      </c>
      <c r="G144" s="145">
        <f>770*50</f>
        <v>38500</v>
      </c>
      <c r="H144" s="145" t="s">
        <v>978</v>
      </c>
      <c r="I144" s="145">
        <f t="shared" si="78"/>
        <v>38500</v>
      </c>
      <c r="J144" s="104">
        <f>301*50</f>
        <v>15050</v>
      </c>
      <c r="K144" s="104">
        <f t="shared" si="74"/>
        <v>16640.062600000001</v>
      </c>
      <c r="L144" s="104" t="s">
        <v>978</v>
      </c>
      <c r="M144" s="104" t="s">
        <v>978</v>
      </c>
      <c r="N144" s="104" t="s">
        <v>978</v>
      </c>
      <c r="O144" s="104" t="s">
        <v>978</v>
      </c>
      <c r="P144" s="104" t="s">
        <v>978</v>
      </c>
      <c r="Q144" s="104" t="s">
        <v>1012</v>
      </c>
      <c r="R144" s="104" t="s">
        <v>978</v>
      </c>
      <c r="S144" s="104" t="s">
        <v>978</v>
      </c>
      <c r="T144" s="104" t="s">
        <v>978</v>
      </c>
      <c r="U144" s="104" t="s">
        <v>978</v>
      </c>
      <c r="V144" s="104" t="s">
        <v>978</v>
      </c>
      <c r="W144" s="104" t="s">
        <v>978</v>
      </c>
      <c r="X144" s="104" t="s">
        <v>978</v>
      </c>
      <c r="Y144" s="104" t="s">
        <v>978</v>
      </c>
      <c r="Z144" s="104" t="s">
        <v>978</v>
      </c>
      <c r="AA144" s="104" t="s">
        <v>978</v>
      </c>
      <c r="AB144" s="104" t="s">
        <v>978</v>
      </c>
      <c r="AC144" s="104" t="s">
        <v>978</v>
      </c>
      <c r="AD144" s="104" t="s">
        <v>978</v>
      </c>
      <c r="AE144" s="104" t="s">
        <v>978</v>
      </c>
      <c r="AF144" s="104">
        <f>515*50</f>
        <v>25750</v>
      </c>
      <c r="AG144" s="104">
        <f t="shared" si="75"/>
        <v>27063.25</v>
      </c>
      <c r="AH144" s="104" t="s">
        <v>978</v>
      </c>
      <c r="AI144" s="104" t="s">
        <v>978</v>
      </c>
      <c r="AJ144" s="104" t="s">
        <v>978</v>
      </c>
      <c r="AK144" s="104" t="s">
        <v>978</v>
      </c>
      <c r="AL144" s="104">
        <f t="shared" si="76"/>
        <v>21851.656300000002</v>
      </c>
      <c r="AM144" s="120" t="s">
        <v>978</v>
      </c>
      <c r="AN144" s="103">
        <v>47500</v>
      </c>
      <c r="AO144" s="103">
        <v>741.66666666666674</v>
      </c>
      <c r="AP144" s="103" t="s">
        <v>974</v>
      </c>
      <c r="AQ144" s="103">
        <v>38000</v>
      </c>
      <c r="AR144" s="103" t="s">
        <v>974</v>
      </c>
      <c r="AS144" s="103" t="s">
        <v>974</v>
      </c>
      <c r="AT144" s="103" t="s">
        <v>974</v>
      </c>
      <c r="AU144" s="103">
        <f>+MIN(AN144,AP144,AQ144,AR144,AS144,AT144)</f>
        <v>38000</v>
      </c>
      <c r="AV144" s="158" t="s">
        <v>1077</v>
      </c>
      <c r="AW144" s="156">
        <f t="shared" si="72"/>
        <v>29925.828150000001</v>
      </c>
      <c r="AX144" s="121">
        <f t="shared" si="73"/>
        <v>29926</v>
      </c>
      <c r="AY144" s="163" t="s">
        <v>1074</v>
      </c>
      <c r="AZ144" s="160">
        <v>0</v>
      </c>
      <c r="BA144" s="138">
        <v>1</v>
      </c>
      <c r="BB144" s="138">
        <v>0</v>
      </c>
      <c r="BC144" s="139">
        <f>+BA144+BB144</f>
        <v>1</v>
      </c>
      <c r="BD144" s="140">
        <f t="shared" si="69"/>
        <v>29926</v>
      </c>
    </row>
    <row r="145" spans="1:56" s="125" customFormat="1" ht="36" customHeight="1" x14ac:dyDescent="0.2">
      <c r="A145" s="150">
        <v>17</v>
      </c>
      <c r="B145" s="148">
        <v>142</v>
      </c>
      <c r="C145" s="105">
        <v>42293505</v>
      </c>
      <c r="D145" s="106" t="s">
        <v>668</v>
      </c>
      <c r="E145" s="105" t="s">
        <v>812</v>
      </c>
      <c r="F145" s="105" t="s">
        <v>301</v>
      </c>
      <c r="G145" s="145">
        <f>770*50</f>
        <v>38500</v>
      </c>
      <c r="H145" s="145" t="s">
        <v>978</v>
      </c>
      <c r="I145" s="145">
        <f t="shared" si="78"/>
        <v>38500</v>
      </c>
      <c r="J145" s="104">
        <f>280*50</f>
        <v>14000</v>
      </c>
      <c r="K145" s="104">
        <f t="shared" si="74"/>
        <v>15479.127999999999</v>
      </c>
      <c r="L145" s="104" t="s">
        <v>978</v>
      </c>
      <c r="M145" s="104" t="s">
        <v>978</v>
      </c>
      <c r="N145" s="104" t="s">
        <v>978</v>
      </c>
      <c r="O145" s="104" t="s">
        <v>978</v>
      </c>
      <c r="P145" s="104" t="s">
        <v>978</v>
      </c>
      <c r="Q145" s="104" t="s">
        <v>1012</v>
      </c>
      <c r="R145" s="104" t="s">
        <v>978</v>
      </c>
      <c r="S145" s="104" t="s">
        <v>978</v>
      </c>
      <c r="T145" s="104" t="s">
        <v>978</v>
      </c>
      <c r="U145" s="104" t="s">
        <v>978</v>
      </c>
      <c r="V145" s="104" t="s">
        <v>978</v>
      </c>
      <c r="W145" s="104" t="s">
        <v>978</v>
      </c>
      <c r="X145" s="104" t="s">
        <v>978</v>
      </c>
      <c r="Y145" s="104" t="s">
        <v>978</v>
      </c>
      <c r="Z145" s="104" t="s">
        <v>978</v>
      </c>
      <c r="AA145" s="104" t="s">
        <v>978</v>
      </c>
      <c r="AB145" s="104" t="s">
        <v>978</v>
      </c>
      <c r="AC145" s="104" t="s">
        <v>978</v>
      </c>
      <c r="AD145" s="104" t="s">
        <v>978</v>
      </c>
      <c r="AE145" s="104" t="s">
        <v>978</v>
      </c>
      <c r="AF145" s="104">
        <f>505*50</f>
        <v>25250</v>
      </c>
      <c r="AG145" s="104">
        <f t="shared" si="75"/>
        <v>26537.75</v>
      </c>
      <c r="AH145" s="104" t="s">
        <v>978</v>
      </c>
      <c r="AI145" s="104" t="s">
        <v>978</v>
      </c>
      <c r="AJ145" s="104" t="s">
        <v>978</v>
      </c>
      <c r="AK145" s="104" t="s">
        <v>978</v>
      </c>
      <c r="AL145" s="104">
        <f t="shared" si="76"/>
        <v>21008.438999999998</v>
      </c>
      <c r="AM145" s="120" t="s">
        <v>978</v>
      </c>
      <c r="AN145" s="103">
        <v>47500</v>
      </c>
      <c r="AO145" s="103">
        <v>703.33333333333337</v>
      </c>
      <c r="AP145" s="103" t="s">
        <v>974</v>
      </c>
      <c r="AQ145" s="103">
        <v>38000</v>
      </c>
      <c r="AR145" s="103" t="s">
        <v>974</v>
      </c>
      <c r="AS145" s="103" t="s">
        <v>974</v>
      </c>
      <c r="AT145" s="103" t="s">
        <v>974</v>
      </c>
      <c r="AU145" s="103">
        <f>+MIN(AN145,AP145,AQ145,AR145,AS145,AT145)</f>
        <v>38000</v>
      </c>
      <c r="AV145" s="158" t="s">
        <v>1077</v>
      </c>
      <c r="AW145" s="156">
        <f t="shared" si="72"/>
        <v>29504.219499999999</v>
      </c>
      <c r="AX145" s="121">
        <f t="shared" si="73"/>
        <v>29504</v>
      </c>
      <c r="AY145" s="163" t="s">
        <v>1074</v>
      </c>
      <c r="AZ145" s="160">
        <v>0</v>
      </c>
      <c r="BA145" s="138">
        <v>1</v>
      </c>
      <c r="BB145" s="138">
        <v>0</v>
      </c>
      <c r="BC145" s="139">
        <f>+BA145+BB145</f>
        <v>1</v>
      </c>
      <c r="BD145" s="140">
        <f t="shared" si="69"/>
        <v>29504</v>
      </c>
    </row>
    <row r="146" spans="1:56" s="125" customFormat="1" ht="36" customHeight="1" x14ac:dyDescent="0.2">
      <c r="A146" s="150">
        <v>17</v>
      </c>
      <c r="B146" s="148">
        <v>143</v>
      </c>
      <c r="C146" s="105">
        <v>42293505</v>
      </c>
      <c r="D146" s="106" t="s">
        <v>669</v>
      </c>
      <c r="E146" s="105" t="s">
        <v>812</v>
      </c>
      <c r="F146" s="105" t="s">
        <v>301</v>
      </c>
      <c r="G146" s="145">
        <f>770*50</f>
        <v>38500</v>
      </c>
      <c r="H146" s="145" t="s">
        <v>978</v>
      </c>
      <c r="I146" s="145">
        <f t="shared" si="78"/>
        <v>38500</v>
      </c>
      <c r="J146" s="104">
        <f>287*50</f>
        <v>14350</v>
      </c>
      <c r="K146" s="104">
        <f t="shared" si="74"/>
        <v>15866.1062</v>
      </c>
      <c r="L146" s="104" t="s">
        <v>978</v>
      </c>
      <c r="M146" s="104" t="s">
        <v>978</v>
      </c>
      <c r="N146" s="104" t="s">
        <v>978</v>
      </c>
      <c r="O146" s="104" t="s">
        <v>978</v>
      </c>
      <c r="P146" s="104" t="s">
        <v>978</v>
      </c>
      <c r="Q146" s="104" t="s">
        <v>1012</v>
      </c>
      <c r="R146" s="104" t="s">
        <v>978</v>
      </c>
      <c r="S146" s="104" t="s">
        <v>978</v>
      </c>
      <c r="T146" s="104" t="s">
        <v>978</v>
      </c>
      <c r="U146" s="104" t="s">
        <v>978</v>
      </c>
      <c r="V146" s="104">
        <v>26680</v>
      </c>
      <c r="W146" s="104">
        <f t="shared" si="79"/>
        <v>28040.679999999997</v>
      </c>
      <c r="X146" s="104" t="s">
        <v>978</v>
      </c>
      <c r="Y146" s="104" t="s">
        <v>978</v>
      </c>
      <c r="Z146" s="104" t="s">
        <v>978</v>
      </c>
      <c r="AA146" s="104" t="s">
        <v>978</v>
      </c>
      <c r="AB146" s="104" t="s">
        <v>978</v>
      </c>
      <c r="AC146" s="104" t="s">
        <v>978</v>
      </c>
      <c r="AD146" s="104" t="s">
        <v>978</v>
      </c>
      <c r="AE146" s="104" t="s">
        <v>978</v>
      </c>
      <c r="AF146" s="104">
        <f>466*50</f>
        <v>23300</v>
      </c>
      <c r="AG146" s="104">
        <f t="shared" si="75"/>
        <v>24488.3</v>
      </c>
      <c r="AH146" s="104" t="s">
        <v>978</v>
      </c>
      <c r="AI146" s="104" t="s">
        <v>978</v>
      </c>
      <c r="AJ146" s="104" t="s">
        <v>978</v>
      </c>
      <c r="AK146" s="104" t="s">
        <v>978</v>
      </c>
      <c r="AL146" s="104">
        <f t="shared" si="76"/>
        <v>22798.362066666665</v>
      </c>
      <c r="AM146" s="120" t="s">
        <v>978</v>
      </c>
      <c r="AN146" s="103">
        <v>47500</v>
      </c>
      <c r="AO146" s="103">
        <v>703.33333333333337</v>
      </c>
      <c r="AP146" s="103" t="s">
        <v>974</v>
      </c>
      <c r="AQ146" s="103">
        <v>38000</v>
      </c>
      <c r="AR146" s="103" t="s">
        <v>974</v>
      </c>
      <c r="AS146" s="103" t="s">
        <v>974</v>
      </c>
      <c r="AT146" s="103" t="s">
        <v>974</v>
      </c>
      <c r="AU146" s="103">
        <f>+MIN(AN146,AP146,AQ146,AR146,AS146,AT146)</f>
        <v>38000</v>
      </c>
      <c r="AV146" s="158" t="s">
        <v>1077</v>
      </c>
      <c r="AW146" s="156">
        <f t="shared" si="72"/>
        <v>30399.181033333334</v>
      </c>
      <c r="AX146" s="121">
        <f t="shared" si="73"/>
        <v>30399</v>
      </c>
      <c r="AY146" s="163" t="s">
        <v>1074</v>
      </c>
      <c r="AZ146" s="160">
        <v>11</v>
      </c>
      <c r="BA146" s="138">
        <v>0</v>
      </c>
      <c r="BB146" s="138">
        <v>0</v>
      </c>
      <c r="BC146" s="139">
        <f>+AZ146+BA146+BB146</f>
        <v>11</v>
      </c>
      <c r="BD146" s="140">
        <f t="shared" si="69"/>
        <v>334389</v>
      </c>
    </row>
    <row r="147" spans="1:56" s="125" customFormat="1" ht="60" customHeight="1" x14ac:dyDescent="0.2">
      <c r="A147" s="150">
        <v>17</v>
      </c>
      <c r="B147" s="148">
        <v>144</v>
      </c>
      <c r="C147" s="105">
        <v>42293505</v>
      </c>
      <c r="D147" s="106" t="s">
        <v>670</v>
      </c>
      <c r="E147" s="105" t="s">
        <v>878</v>
      </c>
      <c r="F147" s="105" t="s">
        <v>458</v>
      </c>
      <c r="G147" s="145">
        <f>3230*10</f>
        <v>32300</v>
      </c>
      <c r="H147" s="145" t="s">
        <v>978</v>
      </c>
      <c r="I147" s="145">
        <f t="shared" si="78"/>
        <v>32300</v>
      </c>
      <c r="J147" s="104">
        <v>19004</v>
      </c>
      <c r="K147" s="104">
        <f t="shared" si="74"/>
        <v>21011.810608</v>
      </c>
      <c r="L147" s="104" t="s">
        <v>978</v>
      </c>
      <c r="M147" s="104" t="s">
        <v>978</v>
      </c>
      <c r="N147" s="104" t="s">
        <v>978</v>
      </c>
      <c r="O147" s="104" t="s">
        <v>978</v>
      </c>
      <c r="P147" s="104" t="s">
        <v>978</v>
      </c>
      <c r="Q147" s="104" t="s">
        <v>1012</v>
      </c>
      <c r="R147" s="104" t="s">
        <v>978</v>
      </c>
      <c r="S147" s="104" t="s">
        <v>978</v>
      </c>
      <c r="T147" s="104" t="s">
        <v>978</v>
      </c>
      <c r="U147" s="104" t="s">
        <v>978</v>
      </c>
      <c r="V147" s="104">
        <v>38100</v>
      </c>
      <c r="W147" s="104">
        <f t="shared" si="79"/>
        <v>40043.1</v>
      </c>
      <c r="X147" s="104" t="s">
        <v>978</v>
      </c>
      <c r="Y147" s="104" t="s">
        <v>978</v>
      </c>
      <c r="Z147" s="104" t="s">
        <v>978</v>
      </c>
      <c r="AA147" s="104" t="s">
        <v>978</v>
      </c>
      <c r="AB147" s="104">
        <v>20370</v>
      </c>
      <c r="AC147" s="104">
        <f>AB147*(1+5.1%)</f>
        <v>21408.87</v>
      </c>
      <c r="AD147" s="104" t="s">
        <v>978</v>
      </c>
      <c r="AE147" s="104" t="s">
        <v>978</v>
      </c>
      <c r="AF147" s="104">
        <v>23516</v>
      </c>
      <c r="AG147" s="104">
        <f t="shared" si="75"/>
        <v>24715.315999999999</v>
      </c>
      <c r="AH147" s="104" t="s">
        <v>978</v>
      </c>
      <c r="AI147" s="104" t="s">
        <v>978</v>
      </c>
      <c r="AJ147" s="104" t="s">
        <v>978</v>
      </c>
      <c r="AK147" s="104" t="s">
        <v>978</v>
      </c>
      <c r="AL147" s="104">
        <f t="shared" si="76"/>
        <v>26794.774151999998</v>
      </c>
      <c r="AM147" s="120" t="s">
        <v>978</v>
      </c>
      <c r="AN147" s="103">
        <v>65500</v>
      </c>
      <c r="AO147" s="103">
        <v>4171.666666666667</v>
      </c>
      <c r="AP147" s="103" t="s">
        <v>974</v>
      </c>
      <c r="AQ147" s="103">
        <v>34000</v>
      </c>
      <c r="AR147" s="103">
        <v>33250</v>
      </c>
      <c r="AS147" s="103">
        <v>40837.5</v>
      </c>
      <c r="AT147" s="103">
        <v>29000</v>
      </c>
      <c r="AU147" s="103">
        <f>+MIN(AN147,AP147,AQ147,AR147,AS147,AT147)</f>
        <v>29000</v>
      </c>
      <c r="AV147" s="158" t="s">
        <v>1077</v>
      </c>
      <c r="AW147" s="156">
        <f t="shared" si="72"/>
        <v>27897.387075999999</v>
      </c>
      <c r="AX147" s="121">
        <f t="shared" si="73"/>
        <v>27897</v>
      </c>
      <c r="AY147" s="163" t="s">
        <v>1074</v>
      </c>
      <c r="AZ147" s="160">
        <v>0</v>
      </c>
      <c r="BA147" s="138">
        <v>60</v>
      </c>
      <c r="BB147" s="138">
        <v>0</v>
      </c>
      <c r="BC147" s="139">
        <f>+AZ147+BA147+BB147</f>
        <v>60</v>
      </c>
      <c r="BD147" s="140">
        <f t="shared" si="69"/>
        <v>1673820</v>
      </c>
    </row>
    <row r="148" spans="1:56" s="125" customFormat="1" ht="24" customHeight="1" x14ac:dyDescent="0.2">
      <c r="A148" s="150">
        <v>17</v>
      </c>
      <c r="B148" s="148">
        <v>145</v>
      </c>
      <c r="C148" s="105">
        <v>42293505</v>
      </c>
      <c r="D148" s="106" t="s">
        <v>671</v>
      </c>
      <c r="E148" s="105" t="s">
        <v>753</v>
      </c>
      <c r="F148" s="105" t="s">
        <v>301</v>
      </c>
      <c r="G148" s="145">
        <f>1492*50</f>
        <v>74600</v>
      </c>
      <c r="H148" s="145" t="s">
        <v>978</v>
      </c>
      <c r="I148" s="145">
        <f t="shared" si="78"/>
        <v>74600</v>
      </c>
      <c r="J148" s="104">
        <f>729*50</f>
        <v>36450</v>
      </c>
      <c r="K148" s="104">
        <f t="shared" si="74"/>
        <v>40301.015399999997</v>
      </c>
      <c r="L148" s="104">
        <f>1008*50</f>
        <v>50400</v>
      </c>
      <c r="M148" s="104">
        <f>L148*(1+5.2%)*(1+5.1%)</f>
        <v>55724.860800000002</v>
      </c>
      <c r="N148" s="104" t="s">
        <v>978</v>
      </c>
      <c r="O148" s="104" t="s">
        <v>978</v>
      </c>
      <c r="P148" s="104" t="s">
        <v>978</v>
      </c>
      <c r="Q148" s="104" t="s">
        <v>1012</v>
      </c>
      <c r="R148" s="104" t="s">
        <v>978</v>
      </c>
      <c r="S148" s="104" t="s">
        <v>978</v>
      </c>
      <c r="T148" s="104" t="s">
        <v>978</v>
      </c>
      <c r="U148" s="104" t="s">
        <v>978</v>
      </c>
      <c r="V148" s="104" t="s">
        <v>978</v>
      </c>
      <c r="W148" s="104" t="s">
        <v>978</v>
      </c>
      <c r="X148" s="104" t="s">
        <v>978</v>
      </c>
      <c r="Y148" s="104" t="s">
        <v>978</v>
      </c>
      <c r="Z148" s="104" t="s">
        <v>978</v>
      </c>
      <c r="AA148" s="104" t="s">
        <v>978</v>
      </c>
      <c r="AB148" s="104" t="s">
        <v>978</v>
      </c>
      <c r="AC148" s="104" t="s">
        <v>978</v>
      </c>
      <c r="AD148" s="104" t="s">
        <v>978</v>
      </c>
      <c r="AE148" s="104" t="s">
        <v>978</v>
      </c>
      <c r="AF148" s="104">
        <f>1072*50</f>
        <v>53600</v>
      </c>
      <c r="AG148" s="104">
        <f t="shared" si="75"/>
        <v>56333.599999999999</v>
      </c>
      <c r="AH148" s="104">
        <v>36234</v>
      </c>
      <c r="AI148" s="104">
        <f>AH148*(1+5.1%)</f>
        <v>38081.934000000001</v>
      </c>
      <c r="AJ148" s="104" t="s">
        <v>978</v>
      </c>
      <c r="AK148" s="104" t="s">
        <v>978</v>
      </c>
      <c r="AL148" s="104">
        <f t="shared" si="76"/>
        <v>47610.352550000003</v>
      </c>
      <c r="AM148" s="120" t="s">
        <v>978</v>
      </c>
      <c r="AN148" s="103">
        <v>375000</v>
      </c>
      <c r="AO148" s="103" t="s">
        <v>974</v>
      </c>
      <c r="AP148" s="103" t="s">
        <v>974</v>
      </c>
      <c r="AQ148" s="103">
        <v>48000</v>
      </c>
      <c r="AR148" s="103" t="s">
        <v>974</v>
      </c>
      <c r="AS148" s="103" t="s">
        <v>974</v>
      </c>
      <c r="AT148" s="103" t="s">
        <v>974</v>
      </c>
      <c r="AU148" s="103">
        <f t="shared" ref="AU148:AU158" si="80">+MIN(AN148:AT148)</f>
        <v>48000</v>
      </c>
      <c r="AV148" s="158"/>
      <c r="AW148" s="156">
        <f t="shared" si="72"/>
        <v>47805.176275000005</v>
      </c>
      <c r="AX148" s="121">
        <f t="shared" si="73"/>
        <v>47805</v>
      </c>
      <c r="AY148" s="163" t="s">
        <v>1074</v>
      </c>
      <c r="AZ148" s="160">
        <v>0</v>
      </c>
      <c r="BA148" s="138">
        <v>1</v>
      </c>
      <c r="BB148" s="138">
        <v>0</v>
      </c>
      <c r="BC148" s="139">
        <f>+AZ148+BA148+BB148</f>
        <v>1</v>
      </c>
      <c r="BD148" s="140">
        <f t="shared" si="69"/>
        <v>47805</v>
      </c>
    </row>
    <row r="149" spans="1:56" s="125" customFormat="1" ht="24.75" customHeight="1" x14ac:dyDescent="0.2">
      <c r="A149" s="150">
        <v>17</v>
      </c>
      <c r="B149" s="148">
        <v>146</v>
      </c>
      <c r="C149" s="105">
        <v>42293505</v>
      </c>
      <c r="D149" s="106" t="s">
        <v>310</v>
      </c>
      <c r="E149" s="106" t="s">
        <v>310</v>
      </c>
      <c r="F149" s="105" t="s">
        <v>286</v>
      </c>
      <c r="G149" s="145" t="s">
        <v>978</v>
      </c>
      <c r="H149" s="145" t="s">
        <v>978</v>
      </c>
      <c r="I149" s="145" t="s">
        <v>978</v>
      </c>
      <c r="J149" s="104" t="s">
        <v>978</v>
      </c>
      <c r="K149" s="104" t="s">
        <v>978</v>
      </c>
      <c r="L149" s="104" t="s">
        <v>978</v>
      </c>
      <c r="M149" s="104" t="s">
        <v>978</v>
      </c>
      <c r="N149" s="104" t="s">
        <v>978</v>
      </c>
      <c r="O149" s="104" t="s">
        <v>978</v>
      </c>
      <c r="P149" s="104" t="s">
        <v>978</v>
      </c>
      <c r="Q149" s="104" t="s">
        <v>1012</v>
      </c>
      <c r="R149" s="104" t="s">
        <v>978</v>
      </c>
      <c r="S149" s="104" t="s">
        <v>978</v>
      </c>
      <c r="T149" s="104" t="s">
        <v>978</v>
      </c>
      <c r="U149" s="104" t="s">
        <v>978</v>
      </c>
      <c r="V149" s="104" t="s">
        <v>978</v>
      </c>
      <c r="W149" s="104" t="s">
        <v>978</v>
      </c>
      <c r="X149" s="104" t="s">
        <v>978</v>
      </c>
      <c r="Y149" s="104" t="s">
        <v>978</v>
      </c>
      <c r="Z149" s="104" t="s">
        <v>978</v>
      </c>
      <c r="AA149" s="104" t="s">
        <v>978</v>
      </c>
      <c r="AB149" s="104" t="s">
        <v>978</v>
      </c>
      <c r="AC149" s="104" t="s">
        <v>978</v>
      </c>
      <c r="AD149" s="104" t="s">
        <v>978</v>
      </c>
      <c r="AE149" s="104" t="s">
        <v>978</v>
      </c>
      <c r="AF149" s="104" t="s">
        <v>978</v>
      </c>
      <c r="AG149" s="104" t="s">
        <v>978</v>
      </c>
      <c r="AH149" s="104" t="s">
        <v>978</v>
      </c>
      <c r="AI149" s="104" t="s">
        <v>978</v>
      </c>
      <c r="AJ149" s="104" t="s">
        <v>978</v>
      </c>
      <c r="AK149" s="104" t="s">
        <v>978</v>
      </c>
      <c r="AL149" s="104" t="s">
        <v>978</v>
      </c>
      <c r="AM149" s="120" t="s">
        <v>978</v>
      </c>
      <c r="AN149" s="103">
        <v>1250000</v>
      </c>
      <c r="AO149" s="103" t="s">
        <v>974</v>
      </c>
      <c r="AP149" s="103" t="s">
        <v>974</v>
      </c>
      <c r="AQ149" s="103">
        <v>34000</v>
      </c>
      <c r="AR149" s="103" t="s">
        <v>974</v>
      </c>
      <c r="AS149" s="103" t="s">
        <v>974</v>
      </c>
      <c r="AT149" s="103" t="s">
        <v>974</v>
      </c>
      <c r="AU149" s="103">
        <f t="shared" si="80"/>
        <v>34000</v>
      </c>
      <c r="AV149" s="158"/>
      <c r="AW149" s="156">
        <f t="shared" si="72"/>
        <v>34000</v>
      </c>
      <c r="AX149" s="121">
        <f t="shared" si="73"/>
        <v>34000</v>
      </c>
      <c r="AY149" s="163" t="s">
        <v>1073</v>
      </c>
      <c r="AZ149" s="160">
        <v>0</v>
      </c>
      <c r="BA149" s="138">
        <v>450</v>
      </c>
      <c r="BB149" s="138">
        <v>0</v>
      </c>
      <c r="BC149" s="139">
        <f>+BA149+BB149</f>
        <v>450</v>
      </c>
      <c r="BD149" s="140">
        <f t="shared" si="69"/>
        <v>15300000</v>
      </c>
    </row>
    <row r="150" spans="1:56" s="125" customFormat="1" ht="36" customHeight="1" x14ac:dyDescent="0.2">
      <c r="A150" s="150">
        <v>17</v>
      </c>
      <c r="B150" s="148">
        <v>147</v>
      </c>
      <c r="C150" s="105">
        <v>42293505</v>
      </c>
      <c r="D150" s="106" t="s">
        <v>672</v>
      </c>
      <c r="E150" s="106" t="s">
        <v>672</v>
      </c>
      <c r="F150" s="105" t="s">
        <v>286</v>
      </c>
      <c r="G150" s="145" t="s">
        <v>978</v>
      </c>
      <c r="H150" s="145" t="s">
        <v>978</v>
      </c>
      <c r="I150" s="145" t="s">
        <v>978</v>
      </c>
      <c r="J150" s="104" t="s">
        <v>978</v>
      </c>
      <c r="K150" s="104" t="s">
        <v>978</v>
      </c>
      <c r="L150" s="104" t="s">
        <v>978</v>
      </c>
      <c r="M150" s="104" t="s">
        <v>978</v>
      </c>
      <c r="N150" s="104" t="s">
        <v>978</v>
      </c>
      <c r="O150" s="104" t="s">
        <v>978</v>
      </c>
      <c r="P150" s="104" t="s">
        <v>978</v>
      </c>
      <c r="Q150" s="104" t="s">
        <v>1012</v>
      </c>
      <c r="R150" s="104" t="s">
        <v>978</v>
      </c>
      <c r="S150" s="104" t="s">
        <v>978</v>
      </c>
      <c r="T150" s="104" t="s">
        <v>978</v>
      </c>
      <c r="U150" s="104" t="s">
        <v>978</v>
      </c>
      <c r="V150" s="104" t="s">
        <v>978</v>
      </c>
      <c r="W150" s="104" t="s">
        <v>978</v>
      </c>
      <c r="X150" s="104" t="s">
        <v>978</v>
      </c>
      <c r="Y150" s="104" t="s">
        <v>978</v>
      </c>
      <c r="Z150" s="104" t="s">
        <v>978</v>
      </c>
      <c r="AA150" s="104" t="s">
        <v>978</v>
      </c>
      <c r="AB150" s="104" t="s">
        <v>978</v>
      </c>
      <c r="AC150" s="104" t="s">
        <v>978</v>
      </c>
      <c r="AD150" s="104" t="s">
        <v>978</v>
      </c>
      <c r="AE150" s="104" t="s">
        <v>978</v>
      </c>
      <c r="AF150" s="104" t="s">
        <v>978</v>
      </c>
      <c r="AG150" s="104" t="s">
        <v>978</v>
      </c>
      <c r="AH150" s="104" t="s">
        <v>978</v>
      </c>
      <c r="AI150" s="104" t="s">
        <v>978</v>
      </c>
      <c r="AJ150" s="104" t="s">
        <v>978</v>
      </c>
      <c r="AK150" s="104" t="s">
        <v>978</v>
      </c>
      <c r="AL150" s="104" t="s">
        <v>978</v>
      </c>
      <c r="AM150" s="120" t="s">
        <v>978</v>
      </c>
      <c r="AN150" s="103">
        <v>1250000</v>
      </c>
      <c r="AO150" s="103" t="s">
        <v>974</v>
      </c>
      <c r="AP150" s="103" t="s">
        <v>974</v>
      </c>
      <c r="AQ150" s="103">
        <v>34000</v>
      </c>
      <c r="AR150" s="103">
        <v>29925</v>
      </c>
      <c r="AS150" s="103">
        <v>28215</v>
      </c>
      <c r="AT150" s="103">
        <v>894200</v>
      </c>
      <c r="AU150" s="103">
        <f t="shared" si="80"/>
        <v>28215</v>
      </c>
      <c r="AV150" s="158"/>
      <c r="AW150" s="156">
        <f t="shared" si="72"/>
        <v>28215</v>
      </c>
      <c r="AX150" s="121">
        <f t="shared" ref="AX150:AX158" si="81">+ROUND(AW150,0)</f>
        <v>28215</v>
      </c>
      <c r="AY150" s="163" t="s">
        <v>1073</v>
      </c>
      <c r="AZ150" s="160">
        <v>0</v>
      </c>
      <c r="BA150" s="138">
        <v>300</v>
      </c>
      <c r="BB150" s="138">
        <v>0</v>
      </c>
      <c r="BC150" s="139">
        <f>+BA150+BB150</f>
        <v>300</v>
      </c>
      <c r="BD150" s="140">
        <f t="shared" si="69"/>
        <v>8464500</v>
      </c>
    </row>
    <row r="151" spans="1:56" s="125" customFormat="1" ht="36.75" customHeight="1" x14ac:dyDescent="0.2">
      <c r="A151" s="150">
        <v>17</v>
      </c>
      <c r="B151" s="148">
        <v>148</v>
      </c>
      <c r="C151" s="105">
        <v>42293505</v>
      </c>
      <c r="D151" s="106" t="s">
        <v>673</v>
      </c>
      <c r="E151" s="105" t="s">
        <v>880</v>
      </c>
      <c r="F151" s="105" t="s">
        <v>286</v>
      </c>
      <c r="G151" s="145" t="s">
        <v>978</v>
      </c>
      <c r="H151" s="145" t="s">
        <v>978</v>
      </c>
      <c r="I151" s="145" t="s">
        <v>978</v>
      </c>
      <c r="J151" s="104">
        <f>110490/5</f>
        <v>22098</v>
      </c>
      <c r="K151" s="104">
        <f t="shared" ref="K151:K158" si="82">J151*(1+5.2%)*(1+5.1%)</f>
        <v>24432.697896000001</v>
      </c>
      <c r="L151" s="104" t="s">
        <v>978</v>
      </c>
      <c r="M151" s="104" t="s">
        <v>978</v>
      </c>
      <c r="N151" s="104" t="s">
        <v>978</v>
      </c>
      <c r="O151" s="104" t="s">
        <v>978</v>
      </c>
      <c r="P151" s="104" t="s">
        <v>978</v>
      </c>
      <c r="Q151" s="104" t="s">
        <v>1012</v>
      </c>
      <c r="R151" s="104" t="s">
        <v>978</v>
      </c>
      <c r="S151" s="104" t="s">
        <v>978</v>
      </c>
      <c r="T151" s="104" t="s">
        <v>978</v>
      </c>
      <c r="U151" s="104" t="s">
        <v>978</v>
      </c>
      <c r="V151" s="104" t="s">
        <v>978</v>
      </c>
      <c r="W151" s="104" t="s">
        <v>978</v>
      </c>
      <c r="X151" s="104" t="s">
        <v>978</v>
      </c>
      <c r="Y151" s="104" t="s">
        <v>978</v>
      </c>
      <c r="Z151" s="104" t="s">
        <v>978</v>
      </c>
      <c r="AA151" s="104" t="s">
        <v>978</v>
      </c>
      <c r="AB151" s="104" t="s">
        <v>978</v>
      </c>
      <c r="AC151" s="104" t="s">
        <v>978</v>
      </c>
      <c r="AD151" s="104" t="s">
        <v>978</v>
      </c>
      <c r="AE151" s="104" t="s">
        <v>978</v>
      </c>
      <c r="AF151" s="104">
        <f>265335/10</f>
        <v>26533.5</v>
      </c>
      <c r="AG151" s="104">
        <f t="shared" ref="AG151:AG159" si="83">AF151*(1+5.1%)</f>
        <v>27886.708499999997</v>
      </c>
      <c r="AH151" s="104" t="s">
        <v>978</v>
      </c>
      <c r="AI151" s="104" t="s">
        <v>978</v>
      </c>
      <c r="AJ151" s="104" t="s">
        <v>978</v>
      </c>
      <c r="AK151" s="104" t="s">
        <v>978</v>
      </c>
      <c r="AL151" s="104">
        <f t="shared" si="76"/>
        <v>26159.703197999999</v>
      </c>
      <c r="AM151" s="120">
        <v>26467</v>
      </c>
      <c r="AN151" s="103">
        <v>615000</v>
      </c>
      <c r="AO151" s="103" t="s">
        <v>974</v>
      </c>
      <c r="AP151" s="103" t="s">
        <v>974</v>
      </c>
      <c r="AQ151" s="103">
        <v>45000</v>
      </c>
      <c r="AR151" s="103" t="s">
        <v>974</v>
      </c>
      <c r="AS151" s="103" t="s">
        <v>974</v>
      </c>
      <c r="AT151" s="103" t="s">
        <v>974</v>
      </c>
      <c r="AU151" s="103">
        <f t="shared" si="80"/>
        <v>45000</v>
      </c>
      <c r="AV151" s="158"/>
      <c r="AW151" s="156">
        <f>+AVERAGE(AL151,AU151,AM151)</f>
        <v>32542.234399333334</v>
      </c>
      <c r="AX151" s="121">
        <f t="shared" si="81"/>
        <v>32542</v>
      </c>
      <c r="AY151" s="163" t="s">
        <v>1085</v>
      </c>
      <c r="AZ151" s="160">
        <v>600</v>
      </c>
      <c r="BA151" s="138">
        <v>220</v>
      </c>
      <c r="BB151" s="138">
        <v>156</v>
      </c>
      <c r="BC151" s="139">
        <f t="shared" ref="BC151:BC165" si="84">+AZ151+BA151+BB151</f>
        <v>976</v>
      </c>
      <c r="BD151" s="140">
        <f t="shared" si="69"/>
        <v>31760992</v>
      </c>
    </row>
    <row r="152" spans="1:56" s="125" customFormat="1" ht="36" customHeight="1" x14ac:dyDescent="0.2">
      <c r="A152" s="150">
        <v>17</v>
      </c>
      <c r="B152" s="148">
        <v>149</v>
      </c>
      <c r="C152" s="105">
        <v>42293505</v>
      </c>
      <c r="D152" s="106" t="s">
        <v>674</v>
      </c>
      <c r="E152" s="105" t="s">
        <v>880</v>
      </c>
      <c r="F152" s="105" t="s">
        <v>286</v>
      </c>
      <c r="G152" s="145" t="s">
        <v>978</v>
      </c>
      <c r="H152" s="145" t="s">
        <v>978</v>
      </c>
      <c r="I152" s="145" t="s">
        <v>978</v>
      </c>
      <c r="J152" s="104">
        <f>115618/5</f>
        <v>23123.599999999999</v>
      </c>
      <c r="K152" s="104">
        <f t="shared" si="82"/>
        <v>25566.654587199999</v>
      </c>
      <c r="L152" s="104" t="s">
        <v>978</v>
      </c>
      <c r="M152" s="104" t="s">
        <v>978</v>
      </c>
      <c r="N152" s="104" t="s">
        <v>978</v>
      </c>
      <c r="O152" s="104" t="s">
        <v>978</v>
      </c>
      <c r="P152" s="104" t="s">
        <v>978</v>
      </c>
      <c r="Q152" s="104" t="s">
        <v>1012</v>
      </c>
      <c r="R152" s="104" t="s">
        <v>978</v>
      </c>
      <c r="S152" s="104" t="s">
        <v>978</v>
      </c>
      <c r="T152" s="104" t="s">
        <v>978</v>
      </c>
      <c r="U152" s="104" t="s">
        <v>978</v>
      </c>
      <c r="V152" s="104" t="s">
        <v>978</v>
      </c>
      <c r="W152" s="104" t="s">
        <v>978</v>
      </c>
      <c r="X152" s="104" t="s">
        <v>978</v>
      </c>
      <c r="Y152" s="104" t="s">
        <v>978</v>
      </c>
      <c r="Z152" s="104" t="s">
        <v>978</v>
      </c>
      <c r="AA152" s="104" t="s">
        <v>978</v>
      </c>
      <c r="AB152" s="104" t="s">
        <v>978</v>
      </c>
      <c r="AC152" s="104" t="s">
        <v>978</v>
      </c>
      <c r="AD152" s="104" t="s">
        <v>978</v>
      </c>
      <c r="AE152" s="104" t="s">
        <v>978</v>
      </c>
      <c r="AF152" s="104">
        <f>441000/10</f>
        <v>44100</v>
      </c>
      <c r="AG152" s="104">
        <f t="shared" si="83"/>
        <v>46349.1</v>
      </c>
      <c r="AH152" s="104" t="s">
        <v>978</v>
      </c>
      <c r="AI152" s="104" t="s">
        <v>978</v>
      </c>
      <c r="AJ152" s="104" t="s">
        <v>978</v>
      </c>
      <c r="AK152" s="104" t="s">
        <v>978</v>
      </c>
      <c r="AL152" s="104">
        <f t="shared" si="76"/>
        <v>35957.877293600002</v>
      </c>
      <c r="AM152" s="120">
        <v>28900</v>
      </c>
      <c r="AN152" s="103">
        <v>597000</v>
      </c>
      <c r="AO152" s="103" t="s">
        <v>974</v>
      </c>
      <c r="AP152" s="103" t="s">
        <v>974</v>
      </c>
      <c r="AQ152" s="103">
        <v>45000</v>
      </c>
      <c r="AR152" s="103" t="s">
        <v>974</v>
      </c>
      <c r="AS152" s="103" t="s">
        <v>974</v>
      </c>
      <c r="AT152" s="103" t="s">
        <v>974</v>
      </c>
      <c r="AU152" s="103">
        <f t="shared" si="80"/>
        <v>45000</v>
      </c>
      <c r="AV152" s="158"/>
      <c r="AW152" s="156">
        <f>+AVERAGE(AL152,AU152,AM152)</f>
        <v>36619.292431200003</v>
      </c>
      <c r="AX152" s="121">
        <f t="shared" si="81"/>
        <v>36619</v>
      </c>
      <c r="AY152" s="163" t="s">
        <v>1085</v>
      </c>
      <c r="AZ152" s="160">
        <v>1200</v>
      </c>
      <c r="BA152" s="138">
        <v>520</v>
      </c>
      <c r="BB152" s="138">
        <v>240</v>
      </c>
      <c r="BC152" s="139">
        <f t="shared" si="84"/>
        <v>1960</v>
      </c>
      <c r="BD152" s="140">
        <f t="shared" si="69"/>
        <v>71773240</v>
      </c>
    </row>
    <row r="153" spans="1:56" s="125" customFormat="1" ht="72.75" customHeight="1" x14ac:dyDescent="0.2">
      <c r="A153" s="150">
        <v>17</v>
      </c>
      <c r="B153" s="148">
        <v>150</v>
      </c>
      <c r="C153" s="105">
        <v>42293505</v>
      </c>
      <c r="D153" s="106" t="s">
        <v>675</v>
      </c>
      <c r="E153" s="105" t="s">
        <v>881</v>
      </c>
      <c r="F153" s="105" t="s">
        <v>286</v>
      </c>
      <c r="G153" s="145" t="s">
        <v>978</v>
      </c>
      <c r="H153" s="145" t="s">
        <v>978</v>
      </c>
      <c r="I153" s="145" t="s">
        <v>978</v>
      </c>
      <c r="J153" s="104">
        <v>16757</v>
      </c>
      <c r="K153" s="104">
        <f t="shared" si="82"/>
        <v>18527.410564000002</v>
      </c>
      <c r="L153" s="104" t="s">
        <v>978</v>
      </c>
      <c r="M153" s="104" t="s">
        <v>978</v>
      </c>
      <c r="N153" s="104" t="s">
        <v>978</v>
      </c>
      <c r="O153" s="104" t="s">
        <v>978</v>
      </c>
      <c r="P153" s="104" t="s">
        <v>978</v>
      </c>
      <c r="Q153" s="104" t="s">
        <v>1012</v>
      </c>
      <c r="R153" s="104" t="s">
        <v>978</v>
      </c>
      <c r="S153" s="104" t="s">
        <v>978</v>
      </c>
      <c r="T153" s="104" t="s">
        <v>978</v>
      </c>
      <c r="U153" s="104" t="s">
        <v>978</v>
      </c>
      <c r="V153" s="104" t="s">
        <v>978</v>
      </c>
      <c r="W153" s="104" t="s">
        <v>978</v>
      </c>
      <c r="X153" s="104" t="s">
        <v>978</v>
      </c>
      <c r="Y153" s="104" t="s">
        <v>978</v>
      </c>
      <c r="Z153" s="104" t="s">
        <v>978</v>
      </c>
      <c r="AA153" s="104" t="s">
        <v>978</v>
      </c>
      <c r="AB153" s="104" t="s">
        <v>978</v>
      </c>
      <c r="AC153" s="104" t="s">
        <v>978</v>
      </c>
      <c r="AD153" s="104" t="s">
        <v>978</v>
      </c>
      <c r="AE153" s="104" t="s">
        <v>978</v>
      </c>
      <c r="AF153" s="104">
        <v>28923</v>
      </c>
      <c r="AG153" s="104">
        <f t="shared" si="83"/>
        <v>30398.072999999997</v>
      </c>
      <c r="AH153" s="104" t="s">
        <v>978</v>
      </c>
      <c r="AI153" s="104" t="s">
        <v>978</v>
      </c>
      <c r="AJ153" s="104" t="s">
        <v>978</v>
      </c>
      <c r="AK153" s="104" t="s">
        <v>978</v>
      </c>
      <c r="AL153" s="104">
        <f t="shared" si="76"/>
        <v>24462.741781999997</v>
      </c>
      <c r="AM153" s="120">
        <v>33359</v>
      </c>
      <c r="AN153" s="103">
        <v>53200</v>
      </c>
      <c r="AO153" s="103" t="s">
        <v>974</v>
      </c>
      <c r="AP153" s="103" t="s">
        <v>974</v>
      </c>
      <c r="AQ153" s="103">
        <v>55000</v>
      </c>
      <c r="AR153" s="103">
        <v>36749.879999999997</v>
      </c>
      <c r="AS153" s="103">
        <v>32175</v>
      </c>
      <c r="AT153" s="103" t="s">
        <v>974</v>
      </c>
      <c r="AU153" s="103">
        <f t="shared" si="80"/>
        <v>32175</v>
      </c>
      <c r="AV153" s="158"/>
      <c r="AW153" s="156">
        <f>+AVERAGE(AL153,AU153)</f>
        <v>28318.870890999999</v>
      </c>
      <c r="AX153" s="121">
        <f t="shared" si="81"/>
        <v>28319</v>
      </c>
      <c r="AY153" s="163" t="s">
        <v>1079</v>
      </c>
      <c r="AZ153" s="160">
        <v>35</v>
      </c>
      <c r="BA153" s="138">
        <v>0</v>
      </c>
      <c r="BB153" s="138">
        <v>400</v>
      </c>
      <c r="BC153" s="139">
        <f t="shared" si="84"/>
        <v>435</v>
      </c>
      <c r="BD153" s="140">
        <f t="shared" si="69"/>
        <v>12318765</v>
      </c>
    </row>
    <row r="154" spans="1:56" s="125" customFormat="1" ht="36" customHeight="1" x14ac:dyDescent="0.2">
      <c r="A154" s="150">
        <v>17</v>
      </c>
      <c r="B154" s="148">
        <v>151</v>
      </c>
      <c r="C154" s="105">
        <v>42293505</v>
      </c>
      <c r="D154" s="106" t="s">
        <v>676</v>
      </c>
      <c r="E154" s="105" t="s">
        <v>882</v>
      </c>
      <c r="F154" s="105" t="s">
        <v>286</v>
      </c>
      <c r="G154" s="145">
        <v>9332</v>
      </c>
      <c r="H154" s="145" t="s">
        <v>978</v>
      </c>
      <c r="I154" s="145">
        <f>+AVERAGE(G154:H154)</f>
        <v>9332</v>
      </c>
      <c r="J154" s="104">
        <v>16757</v>
      </c>
      <c r="K154" s="104">
        <f t="shared" si="82"/>
        <v>18527.410564000002</v>
      </c>
      <c r="L154" s="104" t="s">
        <v>978</v>
      </c>
      <c r="M154" s="104" t="s">
        <v>978</v>
      </c>
      <c r="N154" s="104" t="s">
        <v>978</v>
      </c>
      <c r="O154" s="104" t="s">
        <v>978</v>
      </c>
      <c r="P154" s="104">
        <v>6285</v>
      </c>
      <c r="Q154" s="104">
        <f>P154*(1+5.2%)*(1+5.1%)</f>
        <v>6949.0228200000001</v>
      </c>
      <c r="R154" s="104" t="s">
        <v>978</v>
      </c>
      <c r="S154" s="104" t="s">
        <v>978</v>
      </c>
      <c r="T154" s="104" t="s">
        <v>978</v>
      </c>
      <c r="U154" s="104" t="s">
        <v>978</v>
      </c>
      <c r="V154" s="104">
        <v>6184</v>
      </c>
      <c r="W154" s="104">
        <f t="shared" si="79"/>
        <v>6499.384</v>
      </c>
      <c r="X154" s="104" t="s">
        <v>978</v>
      </c>
      <c r="Y154" s="104" t="s">
        <v>978</v>
      </c>
      <c r="Z154" s="104" t="s">
        <v>978</v>
      </c>
      <c r="AA154" s="104" t="s">
        <v>978</v>
      </c>
      <c r="AB154" s="104">
        <v>5264</v>
      </c>
      <c r="AC154" s="104">
        <f>AB154*(1+5.1%)</f>
        <v>5532.4639999999999</v>
      </c>
      <c r="AD154" s="104" t="s">
        <v>978</v>
      </c>
      <c r="AE154" s="104" t="s">
        <v>978</v>
      </c>
      <c r="AF154" s="104">
        <v>7977</v>
      </c>
      <c r="AG154" s="104">
        <f t="shared" si="83"/>
        <v>8383.8269999999993</v>
      </c>
      <c r="AH154" s="104" t="s">
        <v>978</v>
      </c>
      <c r="AI154" s="104" t="s">
        <v>978</v>
      </c>
      <c r="AJ154" s="104" t="s">
        <v>978</v>
      </c>
      <c r="AK154" s="104" t="s">
        <v>978</v>
      </c>
      <c r="AL154" s="104">
        <f t="shared" si="76"/>
        <v>9178.4216768000006</v>
      </c>
      <c r="AM154" s="120" t="s">
        <v>978</v>
      </c>
      <c r="AN154" s="103">
        <v>29400</v>
      </c>
      <c r="AO154" s="103" t="s">
        <v>974</v>
      </c>
      <c r="AP154" s="103" t="s">
        <v>974</v>
      </c>
      <c r="AQ154" s="103">
        <v>13090</v>
      </c>
      <c r="AR154" s="103">
        <v>9579.5</v>
      </c>
      <c r="AS154" s="103">
        <v>7854</v>
      </c>
      <c r="AT154" s="103">
        <v>7802</v>
      </c>
      <c r="AU154" s="103">
        <f t="shared" si="80"/>
        <v>7802</v>
      </c>
      <c r="AV154" s="158"/>
      <c r="AW154" s="156">
        <f>+AU154</f>
        <v>7802</v>
      </c>
      <c r="AX154" s="121">
        <f t="shared" si="81"/>
        <v>7802</v>
      </c>
      <c r="AY154" s="163" t="s">
        <v>1082</v>
      </c>
      <c r="AZ154" s="160">
        <v>52</v>
      </c>
      <c r="BA154" s="138">
        <v>140</v>
      </c>
      <c r="BB154" s="138">
        <v>48</v>
      </c>
      <c r="BC154" s="139">
        <f t="shared" si="84"/>
        <v>240</v>
      </c>
      <c r="BD154" s="140">
        <f t="shared" si="69"/>
        <v>1872480</v>
      </c>
    </row>
    <row r="155" spans="1:56" s="125" customFormat="1" ht="84.75" customHeight="1" x14ac:dyDescent="0.2">
      <c r="A155" s="150">
        <v>17</v>
      </c>
      <c r="B155" s="148">
        <v>152</v>
      </c>
      <c r="C155" s="105">
        <v>42293505</v>
      </c>
      <c r="D155" s="106" t="s">
        <v>677</v>
      </c>
      <c r="E155" s="105" t="s">
        <v>883</v>
      </c>
      <c r="F155" s="105" t="s">
        <v>286</v>
      </c>
      <c r="G155" s="145" t="s">
        <v>978</v>
      </c>
      <c r="H155" s="145" t="s">
        <v>978</v>
      </c>
      <c r="I155" s="145" t="s">
        <v>978</v>
      </c>
      <c r="J155" s="104">
        <f>110490/5</f>
        <v>22098</v>
      </c>
      <c r="K155" s="104">
        <f t="shared" si="82"/>
        <v>24432.697896000001</v>
      </c>
      <c r="L155" s="104" t="s">
        <v>978</v>
      </c>
      <c r="M155" s="104" t="s">
        <v>978</v>
      </c>
      <c r="N155" s="104" t="s">
        <v>978</v>
      </c>
      <c r="O155" s="104" t="s">
        <v>978</v>
      </c>
      <c r="P155" s="104" t="s">
        <v>978</v>
      </c>
      <c r="Q155" s="104" t="s">
        <v>1012</v>
      </c>
      <c r="R155" s="104" t="s">
        <v>978</v>
      </c>
      <c r="S155" s="104" t="s">
        <v>978</v>
      </c>
      <c r="T155" s="104" t="s">
        <v>978</v>
      </c>
      <c r="U155" s="104" t="s">
        <v>978</v>
      </c>
      <c r="V155" s="104" t="s">
        <v>978</v>
      </c>
      <c r="W155" s="104" t="s">
        <v>978</v>
      </c>
      <c r="X155" s="104" t="s">
        <v>978</v>
      </c>
      <c r="Y155" s="104" t="s">
        <v>978</v>
      </c>
      <c r="Z155" s="104" t="s">
        <v>978</v>
      </c>
      <c r="AA155" s="104" t="s">
        <v>978</v>
      </c>
      <c r="AB155" s="104" t="s">
        <v>978</v>
      </c>
      <c r="AC155" s="104" t="s">
        <v>978</v>
      </c>
      <c r="AD155" s="104" t="s">
        <v>978</v>
      </c>
      <c r="AE155" s="104" t="s">
        <v>978</v>
      </c>
      <c r="AF155" s="104">
        <f>150920/10</f>
        <v>15092</v>
      </c>
      <c r="AG155" s="104">
        <f t="shared" si="83"/>
        <v>15861.691999999999</v>
      </c>
      <c r="AH155" s="104" t="s">
        <v>978</v>
      </c>
      <c r="AI155" s="104" t="s">
        <v>978</v>
      </c>
      <c r="AJ155" s="104" t="s">
        <v>978</v>
      </c>
      <c r="AK155" s="104" t="s">
        <v>978</v>
      </c>
      <c r="AL155" s="104">
        <f t="shared" si="76"/>
        <v>20147.194948</v>
      </c>
      <c r="AM155" s="120">
        <v>13500</v>
      </c>
      <c r="AN155" s="103">
        <v>412500</v>
      </c>
      <c r="AO155" s="103" t="s">
        <v>974</v>
      </c>
      <c r="AP155" s="103" t="s">
        <v>974</v>
      </c>
      <c r="AQ155" s="103">
        <v>30000</v>
      </c>
      <c r="AR155" s="103" t="s">
        <v>974</v>
      </c>
      <c r="AS155" s="103" t="s">
        <v>974</v>
      </c>
      <c r="AT155" s="103" t="s">
        <v>974</v>
      </c>
      <c r="AU155" s="103">
        <f t="shared" si="80"/>
        <v>30000</v>
      </c>
      <c r="AV155" s="158"/>
      <c r="AW155" s="156">
        <f>+AVERAGE(AL155,AU155,AM155)</f>
        <v>21215.731649333335</v>
      </c>
      <c r="AX155" s="121">
        <f t="shared" si="81"/>
        <v>21216</v>
      </c>
      <c r="AY155" s="163" t="s">
        <v>1085</v>
      </c>
      <c r="AZ155" s="160">
        <v>600</v>
      </c>
      <c r="BA155" s="138">
        <v>220</v>
      </c>
      <c r="BB155" s="138">
        <v>156</v>
      </c>
      <c r="BC155" s="139">
        <f t="shared" si="84"/>
        <v>976</v>
      </c>
      <c r="BD155" s="140">
        <f t="shared" si="69"/>
        <v>20706816</v>
      </c>
    </row>
    <row r="156" spans="1:56" s="125" customFormat="1" ht="84" customHeight="1" x14ac:dyDescent="0.2">
      <c r="A156" s="150">
        <v>17</v>
      </c>
      <c r="B156" s="148">
        <v>153</v>
      </c>
      <c r="C156" s="105">
        <v>42293505</v>
      </c>
      <c r="D156" s="106" t="s">
        <v>678</v>
      </c>
      <c r="E156" s="105" t="s">
        <v>883</v>
      </c>
      <c r="F156" s="105" t="s">
        <v>286</v>
      </c>
      <c r="G156" s="145" t="s">
        <v>978</v>
      </c>
      <c r="H156" s="145" t="s">
        <v>978</v>
      </c>
      <c r="I156" s="145" t="s">
        <v>978</v>
      </c>
      <c r="J156" s="104">
        <f>143385/10</f>
        <v>14338.5</v>
      </c>
      <c r="K156" s="104">
        <f t="shared" si="82"/>
        <v>15853.391202000001</v>
      </c>
      <c r="L156" s="104" t="s">
        <v>978</v>
      </c>
      <c r="M156" s="104" t="s">
        <v>978</v>
      </c>
      <c r="N156" s="104" t="s">
        <v>978</v>
      </c>
      <c r="O156" s="104" t="s">
        <v>978</v>
      </c>
      <c r="P156" s="104" t="s">
        <v>978</v>
      </c>
      <c r="Q156" s="104" t="s">
        <v>1012</v>
      </c>
      <c r="R156" s="104" t="s">
        <v>978</v>
      </c>
      <c r="S156" s="104" t="s">
        <v>978</v>
      </c>
      <c r="T156" s="104" t="s">
        <v>978</v>
      </c>
      <c r="U156" s="104" t="s">
        <v>978</v>
      </c>
      <c r="V156" s="104" t="s">
        <v>978</v>
      </c>
      <c r="W156" s="104" t="s">
        <v>978</v>
      </c>
      <c r="X156" s="104" t="s">
        <v>978</v>
      </c>
      <c r="Y156" s="104" t="s">
        <v>978</v>
      </c>
      <c r="Z156" s="104" t="s">
        <v>978</v>
      </c>
      <c r="AA156" s="104" t="s">
        <v>978</v>
      </c>
      <c r="AB156" s="104" t="s">
        <v>978</v>
      </c>
      <c r="AC156" s="104" t="s">
        <v>978</v>
      </c>
      <c r="AD156" s="104" t="s">
        <v>978</v>
      </c>
      <c r="AE156" s="104" t="s">
        <v>978</v>
      </c>
      <c r="AF156" s="104">
        <f>149373/10</f>
        <v>14937.3</v>
      </c>
      <c r="AG156" s="104">
        <f t="shared" si="83"/>
        <v>15699.102299999999</v>
      </c>
      <c r="AH156" s="104" t="s">
        <v>978</v>
      </c>
      <c r="AI156" s="104" t="s">
        <v>978</v>
      </c>
      <c r="AJ156" s="104" t="s">
        <v>978</v>
      </c>
      <c r="AK156" s="104" t="s">
        <v>978</v>
      </c>
      <c r="AL156" s="104">
        <f t="shared" si="76"/>
        <v>15776.246750999999</v>
      </c>
      <c r="AM156" s="120" t="s">
        <v>978</v>
      </c>
      <c r="AN156" s="103">
        <v>412500</v>
      </c>
      <c r="AO156" s="103" t="s">
        <v>974</v>
      </c>
      <c r="AP156" s="103" t="s">
        <v>974</v>
      </c>
      <c r="AQ156" s="103">
        <v>30000</v>
      </c>
      <c r="AR156" s="103" t="s">
        <v>974</v>
      </c>
      <c r="AS156" s="103" t="s">
        <v>974</v>
      </c>
      <c r="AT156" s="103" t="s">
        <v>974</v>
      </c>
      <c r="AU156" s="103">
        <f t="shared" si="80"/>
        <v>30000</v>
      </c>
      <c r="AV156" s="158"/>
      <c r="AW156" s="156">
        <f>+AVERAGE(AL156,AU156)</f>
        <v>22888.123375499999</v>
      </c>
      <c r="AX156" s="121">
        <f t="shared" si="81"/>
        <v>22888</v>
      </c>
      <c r="AY156" s="163" t="s">
        <v>1073</v>
      </c>
      <c r="AZ156" s="160">
        <v>0</v>
      </c>
      <c r="BA156" s="138">
        <v>450</v>
      </c>
      <c r="BB156" s="138">
        <v>120</v>
      </c>
      <c r="BC156" s="139">
        <f t="shared" si="84"/>
        <v>570</v>
      </c>
      <c r="BD156" s="140">
        <f t="shared" si="69"/>
        <v>13046160</v>
      </c>
    </row>
    <row r="157" spans="1:56" s="125" customFormat="1" ht="84.75" customHeight="1" x14ac:dyDescent="0.2">
      <c r="A157" s="150">
        <v>17</v>
      </c>
      <c r="B157" s="148">
        <v>154</v>
      </c>
      <c r="C157" s="105">
        <v>42293505</v>
      </c>
      <c r="D157" s="106" t="s">
        <v>679</v>
      </c>
      <c r="E157" s="105" t="s">
        <v>883</v>
      </c>
      <c r="F157" s="105" t="s">
        <v>286</v>
      </c>
      <c r="G157" s="145" t="s">
        <v>978</v>
      </c>
      <c r="H157" s="145" t="s">
        <v>978</v>
      </c>
      <c r="I157" s="145" t="s">
        <v>978</v>
      </c>
      <c r="J157" s="104">
        <v>19222</v>
      </c>
      <c r="K157" s="104">
        <f t="shared" si="82"/>
        <v>21252.842744000001</v>
      </c>
      <c r="L157" s="104" t="s">
        <v>978</v>
      </c>
      <c r="M157" s="104" t="s">
        <v>978</v>
      </c>
      <c r="N157" s="104" t="s">
        <v>978</v>
      </c>
      <c r="O157" s="104" t="s">
        <v>978</v>
      </c>
      <c r="P157" s="104" t="s">
        <v>978</v>
      </c>
      <c r="Q157" s="104" t="s">
        <v>1012</v>
      </c>
      <c r="R157" s="104" t="s">
        <v>978</v>
      </c>
      <c r="S157" s="104" t="s">
        <v>978</v>
      </c>
      <c r="T157" s="104" t="s">
        <v>978</v>
      </c>
      <c r="U157" s="104" t="s">
        <v>978</v>
      </c>
      <c r="V157" s="104" t="s">
        <v>978</v>
      </c>
      <c r="W157" s="104" t="s">
        <v>978</v>
      </c>
      <c r="X157" s="104" t="s">
        <v>978</v>
      </c>
      <c r="Y157" s="104" t="s">
        <v>978</v>
      </c>
      <c r="Z157" s="104" t="s">
        <v>978</v>
      </c>
      <c r="AA157" s="104" t="s">
        <v>978</v>
      </c>
      <c r="AB157" s="104" t="s">
        <v>978</v>
      </c>
      <c r="AC157" s="104" t="s">
        <v>978</v>
      </c>
      <c r="AD157" s="104" t="s">
        <v>978</v>
      </c>
      <c r="AE157" s="104" t="s">
        <v>978</v>
      </c>
      <c r="AF157" s="104">
        <f>265580/10</f>
        <v>26558</v>
      </c>
      <c r="AG157" s="104">
        <f t="shared" si="83"/>
        <v>27912.457999999999</v>
      </c>
      <c r="AH157" s="104" t="s">
        <v>978</v>
      </c>
      <c r="AI157" s="104" t="s">
        <v>978</v>
      </c>
      <c r="AJ157" s="104" t="s">
        <v>978</v>
      </c>
      <c r="AK157" s="104" t="s">
        <v>978</v>
      </c>
      <c r="AL157" s="104">
        <f t="shared" si="76"/>
        <v>24582.650372</v>
      </c>
      <c r="AM157" s="120">
        <v>44500</v>
      </c>
      <c r="AN157" s="103">
        <v>412500</v>
      </c>
      <c r="AO157" s="103" t="s">
        <v>974</v>
      </c>
      <c r="AP157" s="103" t="s">
        <v>974</v>
      </c>
      <c r="AQ157" s="103">
        <v>38000</v>
      </c>
      <c r="AR157" s="103" t="s">
        <v>974</v>
      </c>
      <c r="AS157" s="103" t="s">
        <v>974</v>
      </c>
      <c r="AT157" s="103" t="s">
        <v>974</v>
      </c>
      <c r="AU157" s="103">
        <f t="shared" si="80"/>
        <v>38000</v>
      </c>
      <c r="AV157" s="158"/>
      <c r="AW157" s="156">
        <f>+AVERAGE(AL157,AU157)</f>
        <v>31291.325186000002</v>
      </c>
      <c r="AX157" s="121">
        <f t="shared" si="81"/>
        <v>31291</v>
      </c>
      <c r="AY157" s="163" t="s">
        <v>1079</v>
      </c>
      <c r="AZ157" s="160">
        <v>1000</v>
      </c>
      <c r="BA157" s="138">
        <v>0</v>
      </c>
      <c r="BB157" s="138">
        <v>144</v>
      </c>
      <c r="BC157" s="139">
        <f t="shared" si="84"/>
        <v>1144</v>
      </c>
      <c r="BD157" s="140">
        <f t="shared" si="69"/>
        <v>35796904</v>
      </c>
    </row>
    <row r="158" spans="1:56" s="125" customFormat="1" ht="96" customHeight="1" x14ac:dyDescent="0.2">
      <c r="A158" s="150">
        <v>17</v>
      </c>
      <c r="B158" s="148">
        <v>155</v>
      </c>
      <c r="C158" s="105">
        <v>42293505</v>
      </c>
      <c r="D158" s="106" t="s">
        <v>311</v>
      </c>
      <c r="E158" s="105" t="s">
        <v>884</v>
      </c>
      <c r="F158" s="105" t="s">
        <v>286</v>
      </c>
      <c r="G158" s="145" t="s">
        <v>978</v>
      </c>
      <c r="H158" s="145" t="s">
        <v>978</v>
      </c>
      <c r="I158" s="145" t="s">
        <v>978</v>
      </c>
      <c r="J158" s="104">
        <f>117526/5</f>
        <v>23505.200000000001</v>
      </c>
      <c r="K158" s="104">
        <f t="shared" si="82"/>
        <v>25988.5713904</v>
      </c>
      <c r="L158" s="104" t="s">
        <v>978</v>
      </c>
      <c r="M158" s="104" t="s">
        <v>978</v>
      </c>
      <c r="N158" s="104" t="s">
        <v>978</v>
      </c>
      <c r="O158" s="104" t="s">
        <v>978</v>
      </c>
      <c r="P158" s="104" t="s">
        <v>978</v>
      </c>
      <c r="Q158" s="104" t="s">
        <v>1012</v>
      </c>
      <c r="R158" s="104" t="s">
        <v>978</v>
      </c>
      <c r="S158" s="104" t="s">
        <v>978</v>
      </c>
      <c r="T158" s="104" t="s">
        <v>978</v>
      </c>
      <c r="U158" s="104" t="s">
        <v>978</v>
      </c>
      <c r="V158" s="104" t="s">
        <v>978</v>
      </c>
      <c r="W158" s="104" t="s">
        <v>978</v>
      </c>
      <c r="X158" s="104" t="s">
        <v>978</v>
      </c>
      <c r="Y158" s="104" t="s">
        <v>978</v>
      </c>
      <c r="Z158" s="104" t="s">
        <v>978</v>
      </c>
      <c r="AA158" s="104" t="s">
        <v>978</v>
      </c>
      <c r="AB158" s="104" t="s">
        <v>978</v>
      </c>
      <c r="AC158" s="104" t="s">
        <v>978</v>
      </c>
      <c r="AD158" s="104" t="s">
        <v>978</v>
      </c>
      <c r="AE158" s="104" t="s">
        <v>978</v>
      </c>
      <c r="AF158" s="104">
        <f>265335/10</f>
        <v>26533.5</v>
      </c>
      <c r="AG158" s="104">
        <f t="shared" si="83"/>
        <v>27886.708499999997</v>
      </c>
      <c r="AH158" s="104" t="s">
        <v>978</v>
      </c>
      <c r="AI158" s="104" t="s">
        <v>978</v>
      </c>
      <c r="AJ158" s="104" t="s">
        <v>978</v>
      </c>
      <c r="AK158" s="104" t="s">
        <v>978</v>
      </c>
      <c r="AL158" s="104">
        <f t="shared" si="76"/>
        <v>26937.639945199997</v>
      </c>
      <c r="AM158" s="120" t="s">
        <v>978</v>
      </c>
      <c r="AN158" s="103">
        <v>597000</v>
      </c>
      <c r="AO158" s="103" t="s">
        <v>974</v>
      </c>
      <c r="AP158" s="103" t="s">
        <v>974</v>
      </c>
      <c r="AQ158" s="103">
        <v>50000</v>
      </c>
      <c r="AR158" s="103" t="s">
        <v>974</v>
      </c>
      <c r="AS158" s="103" t="s">
        <v>974</v>
      </c>
      <c r="AT158" s="103" t="s">
        <v>974</v>
      </c>
      <c r="AU158" s="103">
        <f t="shared" si="80"/>
        <v>50000</v>
      </c>
      <c r="AV158" s="158"/>
      <c r="AW158" s="156">
        <f>+AVERAGE(AL158,AU158)</f>
        <v>38468.819972600002</v>
      </c>
      <c r="AX158" s="121">
        <f t="shared" si="81"/>
        <v>38469</v>
      </c>
      <c r="AY158" s="163" t="s">
        <v>1073</v>
      </c>
      <c r="AZ158" s="160">
        <v>0</v>
      </c>
      <c r="BA158" s="138">
        <v>450</v>
      </c>
      <c r="BB158" s="138">
        <v>120</v>
      </c>
      <c r="BC158" s="139">
        <f t="shared" si="84"/>
        <v>570</v>
      </c>
      <c r="BD158" s="140">
        <f t="shared" si="69"/>
        <v>21927330</v>
      </c>
    </row>
    <row r="159" spans="1:56" s="125" customFormat="1" ht="36.75" customHeight="1" x14ac:dyDescent="0.2">
      <c r="A159" s="150">
        <v>17</v>
      </c>
      <c r="B159" s="148">
        <v>156</v>
      </c>
      <c r="C159" s="105">
        <v>42142609</v>
      </c>
      <c r="D159" s="106" t="s">
        <v>885</v>
      </c>
      <c r="E159" s="105" t="s">
        <v>760</v>
      </c>
      <c r="F159" s="105" t="s">
        <v>288</v>
      </c>
      <c r="G159" s="145">
        <f>404*100</f>
        <v>40400</v>
      </c>
      <c r="H159" s="145" t="s">
        <v>978</v>
      </c>
      <c r="I159" s="145">
        <f>+AVERAGE(G159:H159)</f>
        <v>40400</v>
      </c>
      <c r="J159" s="104">
        <v>26962</v>
      </c>
      <c r="K159" s="104">
        <f>J159*(1+5.2%)*(1+5.1%)</f>
        <v>29810.589223999999</v>
      </c>
      <c r="L159" s="104" t="s">
        <v>978</v>
      </c>
      <c r="M159" s="104" t="s">
        <v>978</v>
      </c>
      <c r="N159" s="104" t="s">
        <v>978</v>
      </c>
      <c r="O159" s="104" t="s">
        <v>978</v>
      </c>
      <c r="P159" s="104" t="s">
        <v>978</v>
      </c>
      <c r="Q159" s="104" t="s">
        <v>1012</v>
      </c>
      <c r="R159" s="104" t="s">
        <v>978</v>
      </c>
      <c r="S159" s="104" t="s">
        <v>978</v>
      </c>
      <c r="T159" s="104" t="s">
        <v>978</v>
      </c>
      <c r="U159" s="104" t="s">
        <v>978</v>
      </c>
      <c r="V159" s="104" t="s">
        <v>978</v>
      </c>
      <c r="W159" s="104" t="s">
        <v>978</v>
      </c>
      <c r="X159" s="104" t="s">
        <v>978</v>
      </c>
      <c r="Y159" s="104" t="s">
        <v>978</v>
      </c>
      <c r="Z159" s="104" t="s">
        <v>978</v>
      </c>
      <c r="AA159" s="104" t="s">
        <v>978</v>
      </c>
      <c r="AB159" s="104" t="s">
        <v>978</v>
      </c>
      <c r="AC159" s="104" t="s">
        <v>978</v>
      </c>
      <c r="AD159" s="104" t="s">
        <v>978</v>
      </c>
      <c r="AE159" s="104" t="s">
        <v>978</v>
      </c>
      <c r="AF159" s="104">
        <v>27961</v>
      </c>
      <c r="AG159" s="104">
        <f t="shared" si="83"/>
        <v>29387.010999999999</v>
      </c>
      <c r="AH159" s="104" t="s">
        <v>978</v>
      </c>
      <c r="AI159" s="104" t="s">
        <v>978</v>
      </c>
      <c r="AJ159" s="104" t="s">
        <v>978</v>
      </c>
      <c r="AK159" s="104" t="s">
        <v>978</v>
      </c>
      <c r="AL159" s="104">
        <f t="shared" si="76"/>
        <v>29598.800111999997</v>
      </c>
      <c r="AM159" s="120">
        <v>35700</v>
      </c>
      <c r="AN159" s="103">
        <v>52910</v>
      </c>
      <c r="AO159" s="103">
        <v>333.2</v>
      </c>
      <c r="AP159" s="103">
        <v>350</v>
      </c>
      <c r="AQ159" s="103">
        <v>38080</v>
      </c>
      <c r="AR159" s="103">
        <v>52062.5</v>
      </c>
      <c r="AS159" s="103">
        <v>28875</v>
      </c>
      <c r="AT159" s="103">
        <v>31535</v>
      </c>
      <c r="AU159" s="103">
        <f>+MIN(AN159,AQ159,AR159,AS159,AT159)</f>
        <v>28875</v>
      </c>
      <c r="AV159" s="158" t="s">
        <v>1089</v>
      </c>
      <c r="AW159" s="156">
        <f>+AU159</f>
        <v>28875</v>
      </c>
      <c r="AX159" s="121">
        <f>+ROUND(AW159,0)</f>
        <v>28875</v>
      </c>
      <c r="AY159" s="163" t="s">
        <v>1082</v>
      </c>
      <c r="AZ159" s="160">
        <v>58</v>
      </c>
      <c r="BA159" s="138">
        <v>40</v>
      </c>
      <c r="BB159" s="138">
        <v>0</v>
      </c>
      <c r="BC159" s="139">
        <f t="shared" si="84"/>
        <v>98</v>
      </c>
      <c r="BD159" s="140">
        <f t="shared" si="69"/>
        <v>2829750</v>
      </c>
    </row>
    <row r="160" spans="1:56" s="125" customFormat="1" ht="84" customHeight="1" x14ac:dyDescent="0.2">
      <c r="A160" s="150">
        <v>17</v>
      </c>
      <c r="B160" s="148">
        <v>157</v>
      </c>
      <c r="C160" s="105">
        <v>42293505</v>
      </c>
      <c r="D160" s="106" t="s">
        <v>313</v>
      </c>
      <c r="E160" s="105" t="s">
        <v>886</v>
      </c>
      <c r="F160" s="105" t="s">
        <v>286</v>
      </c>
      <c r="G160" s="145">
        <v>9223</v>
      </c>
      <c r="H160" s="145" t="s">
        <v>978</v>
      </c>
      <c r="I160" s="145">
        <f>+AVERAGE(G160:H160)</f>
        <v>9223</v>
      </c>
      <c r="J160" s="104" t="s">
        <v>978</v>
      </c>
      <c r="K160" s="104" t="s">
        <v>978</v>
      </c>
      <c r="L160" s="104">
        <v>5808</v>
      </c>
      <c r="M160" s="104">
        <f>L160*(1+5.2%)*(1+5.1%)</f>
        <v>6421.626816</v>
      </c>
      <c r="N160" s="104" t="s">
        <v>978</v>
      </c>
      <c r="O160" s="104" t="s">
        <v>978</v>
      </c>
      <c r="P160" s="104" t="s">
        <v>978</v>
      </c>
      <c r="Q160" s="104" t="s">
        <v>1012</v>
      </c>
      <c r="R160" s="104" t="s">
        <v>978</v>
      </c>
      <c r="S160" s="104" t="s">
        <v>978</v>
      </c>
      <c r="T160" s="104" t="s">
        <v>978</v>
      </c>
      <c r="U160" s="104" t="s">
        <v>978</v>
      </c>
      <c r="V160" s="104" t="s">
        <v>978</v>
      </c>
      <c r="W160" s="104" t="s">
        <v>978</v>
      </c>
      <c r="X160" s="104" t="s">
        <v>978</v>
      </c>
      <c r="Y160" s="104" t="s">
        <v>978</v>
      </c>
      <c r="Z160" s="104" t="s">
        <v>978</v>
      </c>
      <c r="AA160" s="104" t="s">
        <v>978</v>
      </c>
      <c r="AB160" s="104" t="s">
        <v>978</v>
      </c>
      <c r="AC160" s="104" t="s">
        <v>978</v>
      </c>
      <c r="AD160" s="104" t="s">
        <v>978</v>
      </c>
      <c r="AE160" s="104" t="s">
        <v>978</v>
      </c>
      <c r="AF160" s="104" t="s">
        <v>978</v>
      </c>
      <c r="AG160" s="104" t="s">
        <v>978</v>
      </c>
      <c r="AH160" s="104">
        <v>4170</v>
      </c>
      <c r="AI160" s="104">
        <f t="shared" ref="AI160:AI161" si="85">AH160*(1+5.1%)</f>
        <v>4382.67</v>
      </c>
      <c r="AJ160" s="104" t="s">
        <v>978</v>
      </c>
      <c r="AK160" s="104" t="s">
        <v>978</v>
      </c>
      <c r="AL160" s="104">
        <f t="shared" si="76"/>
        <v>5402.148408</v>
      </c>
      <c r="AM160" s="120">
        <v>6830</v>
      </c>
      <c r="AN160" s="103">
        <v>13728</v>
      </c>
      <c r="AO160" s="103" t="s">
        <v>974</v>
      </c>
      <c r="AP160" s="103" t="s">
        <v>974</v>
      </c>
      <c r="AQ160" s="103">
        <v>9520</v>
      </c>
      <c r="AR160" s="103" t="s">
        <v>974</v>
      </c>
      <c r="AS160" s="103" t="s">
        <v>974</v>
      </c>
      <c r="AT160" s="103" t="s">
        <v>974</v>
      </c>
      <c r="AU160" s="103">
        <f t="shared" ref="AU160:AU177" si="86">+MIN(AN160:AT160)</f>
        <v>9520</v>
      </c>
      <c r="AV160" s="158"/>
      <c r="AW160" s="156">
        <f>+AVERAGE(I160,AL160,AU160,AM160)</f>
        <v>7743.7871020000002</v>
      </c>
      <c r="AX160" s="121">
        <f>+ROUND(AW160,0)</f>
        <v>7744</v>
      </c>
      <c r="AY160" s="163" t="s">
        <v>1085</v>
      </c>
      <c r="AZ160" s="160">
        <v>274</v>
      </c>
      <c r="BA160" s="138">
        <v>107</v>
      </c>
      <c r="BB160" s="138">
        <v>0</v>
      </c>
      <c r="BC160" s="139">
        <f t="shared" si="84"/>
        <v>381</v>
      </c>
      <c r="BD160" s="140">
        <f t="shared" si="69"/>
        <v>2950464</v>
      </c>
    </row>
    <row r="161" spans="1:56" s="125" customFormat="1" ht="84.75" customHeight="1" x14ac:dyDescent="0.2">
      <c r="A161" s="150">
        <v>17</v>
      </c>
      <c r="B161" s="148">
        <v>158</v>
      </c>
      <c r="C161" s="105">
        <v>42293505</v>
      </c>
      <c r="D161" s="106" t="s">
        <v>314</v>
      </c>
      <c r="E161" s="105" t="s">
        <v>886</v>
      </c>
      <c r="F161" s="105" t="s">
        <v>286</v>
      </c>
      <c r="G161" s="145">
        <v>9223</v>
      </c>
      <c r="H161" s="145" t="s">
        <v>978</v>
      </c>
      <c r="I161" s="145">
        <f>+AVERAGE(G161:H161)</f>
        <v>9223</v>
      </c>
      <c r="J161" s="104" t="s">
        <v>978</v>
      </c>
      <c r="K161" s="104" t="s">
        <v>978</v>
      </c>
      <c r="L161" s="104">
        <v>6468</v>
      </c>
      <c r="M161" s="104">
        <f>L161*(1+5.2%)*(1+5.1%)</f>
        <v>7151.3571359999996</v>
      </c>
      <c r="N161" s="104" t="s">
        <v>978</v>
      </c>
      <c r="O161" s="104" t="s">
        <v>978</v>
      </c>
      <c r="P161" s="104" t="s">
        <v>978</v>
      </c>
      <c r="Q161" s="104" t="s">
        <v>1012</v>
      </c>
      <c r="R161" s="104" t="s">
        <v>978</v>
      </c>
      <c r="S161" s="104" t="s">
        <v>978</v>
      </c>
      <c r="T161" s="104" t="s">
        <v>978</v>
      </c>
      <c r="U161" s="104" t="s">
        <v>978</v>
      </c>
      <c r="V161" s="104" t="s">
        <v>978</v>
      </c>
      <c r="W161" s="104" t="s">
        <v>978</v>
      </c>
      <c r="X161" s="104" t="s">
        <v>978</v>
      </c>
      <c r="Y161" s="104" t="s">
        <v>978</v>
      </c>
      <c r="Z161" s="104" t="s">
        <v>978</v>
      </c>
      <c r="AA161" s="104" t="s">
        <v>978</v>
      </c>
      <c r="AB161" s="104" t="s">
        <v>978</v>
      </c>
      <c r="AC161" s="104" t="s">
        <v>978</v>
      </c>
      <c r="AD161" s="104" t="s">
        <v>978</v>
      </c>
      <c r="AE161" s="104" t="s">
        <v>978</v>
      </c>
      <c r="AF161" s="104" t="s">
        <v>978</v>
      </c>
      <c r="AG161" s="104" t="s">
        <v>978</v>
      </c>
      <c r="AH161" s="104">
        <v>4480</v>
      </c>
      <c r="AI161" s="104">
        <f t="shared" si="85"/>
        <v>4708.4799999999996</v>
      </c>
      <c r="AJ161" s="104" t="s">
        <v>978</v>
      </c>
      <c r="AK161" s="104" t="s">
        <v>978</v>
      </c>
      <c r="AL161" s="104">
        <f t="shared" si="76"/>
        <v>5929.9185679999991</v>
      </c>
      <c r="AM161" s="120">
        <v>12708</v>
      </c>
      <c r="AN161" s="103">
        <v>13728</v>
      </c>
      <c r="AO161" s="103" t="s">
        <v>974</v>
      </c>
      <c r="AP161" s="103" t="s">
        <v>974</v>
      </c>
      <c r="AQ161" s="103">
        <v>9520</v>
      </c>
      <c r="AR161" s="103" t="s">
        <v>974</v>
      </c>
      <c r="AS161" s="103" t="s">
        <v>974</v>
      </c>
      <c r="AT161" s="103" t="s">
        <v>974</v>
      </c>
      <c r="AU161" s="103">
        <f t="shared" si="86"/>
        <v>9520</v>
      </c>
      <c r="AV161" s="158"/>
      <c r="AW161" s="156">
        <f>+AVERAGE(I161,AL161,AU161)</f>
        <v>8224.3061893333343</v>
      </c>
      <c r="AX161" s="121">
        <f>+ROUND(AW161,0)</f>
        <v>8224</v>
      </c>
      <c r="AY161" s="163" t="s">
        <v>1079</v>
      </c>
      <c r="AZ161" s="160">
        <v>131</v>
      </c>
      <c r="BA161" s="138">
        <v>50</v>
      </c>
      <c r="BB161" s="138">
        <v>60</v>
      </c>
      <c r="BC161" s="139">
        <f t="shared" si="84"/>
        <v>241</v>
      </c>
      <c r="BD161" s="140">
        <f t="shared" si="69"/>
        <v>1981984</v>
      </c>
    </row>
    <row r="162" spans="1:56" s="125" customFormat="1" ht="36" customHeight="1" x14ac:dyDescent="0.2">
      <c r="A162" s="150">
        <v>17</v>
      </c>
      <c r="B162" s="148">
        <v>159</v>
      </c>
      <c r="C162" s="105">
        <v>42293505</v>
      </c>
      <c r="D162" s="106" t="s">
        <v>315</v>
      </c>
      <c r="E162" s="105" t="s">
        <v>887</v>
      </c>
      <c r="F162" s="105" t="s">
        <v>286</v>
      </c>
      <c r="G162" s="145">
        <v>6105</v>
      </c>
      <c r="H162" s="145" t="s">
        <v>978</v>
      </c>
      <c r="I162" s="145" t="s">
        <v>978</v>
      </c>
      <c r="J162" s="104" t="s">
        <v>978</v>
      </c>
      <c r="K162" s="104" t="s">
        <v>978</v>
      </c>
      <c r="L162" s="104">
        <v>3989</v>
      </c>
      <c r="M162" s="104">
        <f>L162*(1+5.2%)*(1+5.1%)</f>
        <v>4410.4458279999999</v>
      </c>
      <c r="N162" s="104" t="s">
        <v>978</v>
      </c>
      <c r="O162" s="104" t="s">
        <v>978</v>
      </c>
      <c r="P162" s="104" t="s">
        <v>978</v>
      </c>
      <c r="Q162" s="104" t="s">
        <v>1012</v>
      </c>
      <c r="R162" s="104" t="s">
        <v>978</v>
      </c>
      <c r="S162" s="104" t="s">
        <v>978</v>
      </c>
      <c r="T162" s="104" t="s">
        <v>978</v>
      </c>
      <c r="U162" s="104" t="s">
        <v>978</v>
      </c>
      <c r="V162" s="104" t="s">
        <v>978</v>
      </c>
      <c r="W162" s="104" t="s">
        <v>978</v>
      </c>
      <c r="X162" s="104" t="s">
        <v>978</v>
      </c>
      <c r="Y162" s="104" t="s">
        <v>978</v>
      </c>
      <c r="Z162" s="104" t="s">
        <v>978</v>
      </c>
      <c r="AA162" s="104" t="s">
        <v>978</v>
      </c>
      <c r="AB162" s="104" t="s">
        <v>978</v>
      </c>
      <c r="AC162" s="104" t="s">
        <v>978</v>
      </c>
      <c r="AD162" s="104">
        <v>2870</v>
      </c>
      <c r="AE162" s="104">
        <f>AD162*(1+5.1%)</f>
        <v>3016.37</v>
      </c>
      <c r="AF162" s="104" t="s">
        <v>978</v>
      </c>
      <c r="AG162" s="104" t="s">
        <v>978</v>
      </c>
      <c r="AH162" s="104" t="s">
        <v>978</v>
      </c>
      <c r="AI162" s="104" t="s">
        <v>978</v>
      </c>
      <c r="AJ162" s="104" t="s">
        <v>978</v>
      </c>
      <c r="AK162" s="104" t="s">
        <v>978</v>
      </c>
      <c r="AL162" s="104">
        <f t="shared" si="76"/>
        <v>3713.4079139999999</v>
      </c>
      <c r="AM162" s="120">
        <v>6500</v>
      </c>
      <c r="AN162" s="103">
        <v>9724</v>
      </c>
      <c r="AO162" s="103">
        <v>4494.2333333333336</v>
      </c>
      <c r="AP162" s="103" t="s">
        <v>974</v>
      </c>
      <c r="AQ162" s="103">
        <v>5355</v>
      </c>
      <c r="AR162" s="103" t="s">
        <v>974</v>
      </c>
      <c r="AS162" s="103" t="s">
        <v>974</v>
      </c>
      <c r="AT162" s="103" t="s">
        <v>974</v>
      </c>
      <c r="AU162" s="103">
        <f t="shared" si="86"/>
        <v>4494.2333333333336</v>
      </c>
      <c r="AV162" s="158"/>
      <c r="AW162" s="156">
        <f>+AVERAGE(AL162,AU162,I162)</f>
        <v>4103.8206236666665</v>
      </c>
      <c r="AX162" s="121">
        <f t="shared" ref="AX162:AX163" si="87">+ROUND(AW162,0)</f>
        <v>4104</v>
      </c>
      <c r="AY162" s="163" t="s">
        <v>1079</v>
      </c>
      <c r="AZ162" s="160">
        <v>0</v>
      </c>
      <c r="BA162" s="138">
        <v>100</v>
      </c>
      <c r="BB162" s="138">
        <v>200</v>
      </c>
      <c r="BC162" s="139">
        <f t="shared" si="84"/>
        <v>300</v>
      </c>
      <c r="BD162" s="140">
        <f t="shared" si="69"/>
        <v>1231200</v>
      </c>
    </row>
    <row r="163" spans="1:56" s="125" customFormat="1" ht="24.75" customHeight="1" x14ac:dyDescent="0.2">
      <c r="A163" s="150">
        <v>17</v>
      </c>
      <c r="B163" s="148">
        <v>160</v>
      </c>
      <c r="C163" s="105">
        <v>42293505</v>
      </c>
      <c r="D163" s="106" t="s">
        <v>316</v>
      </c>
      <c r="E163" s="105" t="s">
        <v>888</v>
      </c>
      <c r="F163" s="105" t="s">
        <v>301</v>
      </c>
      <c r="G163" s="145">
        <f>6105*50</f>
        <v>305250</v>
      </c>
      <c r="H163" s="145" t="s">
        <v>978</v>
      </c>
      <c r="I163" s="145" t="s">
        <v>978</v>
      </c>
      <c r="J163" s="104" t="s">
        <v>978</v>
      </c>
      <c r="K163" s="104" t="s">
        <v>978</v>
      </c>
      <c r="L163" s="104">
        <f>4708*50</f>
        <v>235400</v>
      </c>
      <c r="M163" s="104">
        <f>L163*(1+5.2%)*(1+5.1%)</f>
        <v>260270.48079999999</v>
      </c>
      <c r="N163" s="104" t="s">
        <v>978</v>
      </c>
      <c r="O163" s="104" t="s">
        <v>978</v>
      </c>
      <c r="P163" s="104" t="s">
        <v>978</v>
      </c>
      <c r="Q163" s="104" t="s">
        <v>1012</v>
      </c>
      <c r="R163" s="104" t="s">
        <v>978</v>
      </c>
      <c r="S163" s="104" t="s">
        <v>978</v>
      </c>
      <c r="T163" s="104" t="s">
        <v>978</v>
      </c>
      <c r="U163" s="104" t="s">
        <v>978</v>
      </c>
      <c r="V163" s="104" t="s">
        <v>978</v>
      </c>
      <c r="W163" s="104" t="s">
        <v>978</v>
      </c>
      <c r="X163" s="104" t="s">
        <v>978</v>
      </c>
      <c r="Y163" s="104" t="s">
        <v>978</v>
      </c>
      <c r="Z163" s="104" t="s">
        <v>978</v>
      </c>
      <c r="AA163" s="104" t="s">
        <v>978</v>
      </c>
      <c r="AB163" s="104" t="s">
        <v>978</v>
      </c>
      <c r="AC163" s="104" t="s">
        <v>978</v>
      </c>
      <c r="AD163" s="104">
        <f>2870*50</f>
        <v>143500</v>
      </c>
      <c r="AE163" s="104">
        <f>AD163*(1+5.1%)</f>
        <v>150818.5</v>
      </c>
      <c r="AF163" s="104" t="s">
        <v>978</v>
      </c>
      <c r="AG163" s="104" t="s">
        <v>978</v>
      </c>
      <c r="AH163" s="104" t="s">
        <v>978</v>
      </c>
      <c r="AI163" s="104" t="s">
        <v>978</v>
      </c>
      <c r="AJ163" s="104" t="s">
        <v>978</v>
      </c>
      <c r="AK163" s="104" t="s">
        <v>978</v>
      </c>
      <c r="AL163" s="104">
        <f t="shared" si="76"/>
        <v>205544.49040000001</v>
      </c>
      <c r="AM163" s="120" t="s">
        <v>978</v>
      </c>
      <c r="AN163" s="103">
        <f>9724*50</f>
        <v>486200</v>
      </c>
      <c r="AO163" s="103">
        <f>4494.23333333333*50</f>
        <v>224711.66666666651</v>
      </c>
      <c r="AP163" s="103" t="s">
        <v>974</v>
      </c>
      <c r="AQ163" s="103">
        <f>5355*50</f>
        <v>267750</v>
      </c>
      <c r="AR163" s="103" t="s">
        <v>974</v>
      </c>
      <c r="AS163" s="103" t="s">
        <v>974</v>
      </c>
      <c r="AT163" s="103" t="s">
        <v>974</v>
      </c>
      <c r="AU163" s="103">
        <f t="shared" si="86"/>
        <v>224711.66666666651</v>
      </c>
      <c r="AV163" s="158"/>
      <c r="AW163" s="156">
        <f>+AVERAGE(AL163,AU163)</f>
        <v>215128.07853333326</v>
      </c>
      <c r="AX163" s="121">
        <f t="shared" si="87"/>
        <v>215128</v>
      </c>
      <c r="AY163" s="163" t="s">
        <v>1073</v>
      </c>
      <c r="AZ163" s="160">
        <v>0</v>
      </c>
      <c r="BA163" s="138">
        <v>3</v>
      </c>
      <c r="BB163" s="138">
        <v>4</v>
      </c>
      <c r="BC163" s="139">
        <f t="shared" si="84"/>
        <v>7</v>
      </c>
      <c r="BD163" s="140">
        <f t="shared" si="69"/>
        <v>1505896</v>
      </c>
    </row>
    <row r="164" spans="1:56" s="125" customFormat="1" ht="24" customHeight="1" x14ac:dyDescent="0.2">
      <c r="A164" s="150">
        <v>17</v>
      </c>
      <c r="B164" s="148">
        <v>161</v>
      </c>
      <c r="C164" s="105"/>
      <c r="D164" s="106" t="s">
        <v>642</v>
      </c>
      <c r="E164" s="105" t="s">
        <v>889</v>
      </c>
      <c r="F164" s="105" t="s">
        <v>286</v>
      </c>
      <c r="G164" s="145" t="s">
        <v>978</v>
      </c>
      <c r="H164" s="143" t="s">
        <v>978</v>
      </c>
      <c r="I164" s="145" t="s">
        <v>978</v>
      </c>
      <c r="J164" s="104" t="s">
        <v>978</v>
      </c>
      <c r="K164" s="104" t="s">
        <v>978</v>
      </c>
      <c r="L164" s="104" t="s">
        <v>978</v>
      </c>
      <c r="M164" s="104" t="s">
        <v>978</v>
      </c>
      <c r="N164" s="104" t="s">
        <v>978</v>
      </c>
      <c r="O164" s="104" t="s">
        <v>978</v>
      </c>
      <c r="P164" s="104" t="s">
        <v>978</v>
      </c>
      <c r="Q164" s="104" t="s">
        <v>1012</v>
      </c>
      <c r="R164" s="104" t="s">
        <v>978</v>
      </c>
      <c r="S164" s="104" t="s">
        <v>978</v>
      </c>
      <c r="T164" s="104" t="s">
        <v>978</v>
      </c>
      <c r="U164" s="104" t="s">
        <v>978</v>
      </c>
      <c r="V164" s="104" t="s">
        <v>978</v>
      </c>
      <c r="W164" s="104" t="s">
        <v>978</v>
      </c>
      <c r="X164" s="104" t="s">
        <v>978</v>
      </c>
      <c r="Y164" s="104" t="s">
        <v>978</v>
      </c>
      <c r="Z164" s="104" t="s">
        <v>978</v>
      </c>
      <c r="AA164" s="104" t="s">
        <v>978</v>
      </c>
      <c r="AB164" s="104" t="s">
        <v>978</v>
      </c>
      <c r="AC164" s="104" t="s">
        <v>978</v>
      </c>
      <c r="AD164" s="104" t="s">
        <v>978</v>
      </c>
      <c r="AE164" s="104" t="s">
        <v>978</v>
      </c>
      <c r="AF164" s="104" t="s">
        <v>978</v>
      </c>
      <c r="AG164" s="104" t="s">
        <v>978</v>
      </c>
      <c r="AH164" s="104" t="s">
        <v>978</v>
      </c>
      <c r="AI164" s="104" t="s">
        <v>978</v>
      </c>
      <c r="AJ164" s="104" t="s">
        <v>978</v>
      </c>
      <c r="AK164" s="104" t="s">
        <v>978</v>
      </c>
      <c r="AL164" s="104" t="s">
        <v>978</v>
      </c>
      <c r="AM164" s="120" t="s">
        <v>978</v>
      </c>
      <c r="AN164" s="103">
        <v>722150</v>
      </c>
      <c r="AO164" s="103" t="s">
        <v>974</v>
      </c>
      <c r="AP164" s="103" t="s">
        <v>974</v>
      </c>
      <c r="AQ164" s="103">
        <v>339150</v>
      </c>
      <c r="AR164" s="103" t="s">
        <v>974</v>
      </c>
      <c r="AS164" s="103" t="s">
        <v>974</v>
      </c>
      <c r="AT164" s="103" t="s">
        <v>974</v>
      </c>
      <c r="AU164" s="103">
        <f t="shared" si="86"/>
        <v>339150</v>
      </c>
      <c r="AV164" s="158"/>
      <c r="AW164" s="156">
        <f>+AVERAGE(I164,AL164,AU164)</f>
        <v>339150</v>
      </c>
      <c r="AX164" s="121">
        <f t="shared" ref="AX164:AX169" si="88">+ROUND(AW164,0)</f>
        <v>339150</v>
      </c>
      <c r="AY164" s="163" t="s">
        <v>1085</v>
      </c>
      <c r="AZ164" s="160">
        <v>13</v>
      </c>
      <c r="BA164" s="138">
        <v>0</v>
      </c>
      <c r="BB164" s="138">
        <v>24</v>
      </c>
      <c r="BC164" s="139">
        <f t="shared" si="84"/>
        <v>37</v>
      </c>
      <c r="BD164" s="140">
        <f t="shared" si="69"/>
        <v>12548550</v>
      </c>
    </row>
    <row r="165" spans="1:56" s="125" customFormat="1" ht="24.75" customHeight="1" x14ac:dyDescent="0.2">
      <c r="A165" s="150">
        <v>17</v>
      </c>
      <c r="B165" s="148">
        <v>162</v>
      </c>
      <c r="C165" s="105">
        <v>42151630</v>
      </c>
      <c r="D165" s="111" t="s">
        <v>643</v>
      </c>
      <c r="E165" s="111" t="s">
        <v>890</v>
      </c>
      <c r="F165" s="111" t="s">
        <v>1055</v>
      </c>
      <c r="G165" s="145">
        <v>79730</v>
      </c>
      <c r="H165" s="145" t="s">
        <v>978</v>
      </c>
      <c r="I165" s="145">
        <f>+AVERAGE(G165:H165)</f>
        <v>79730</v>
      </c>
      <c r="J165" s="104" t="s">
        <v>978</v>
      </c>
      <c r="K165" s="104" t="s">
        <v>978</v>
      </c>
      <c r="L165" s="104" t="s">
        <v>978</v>
      </c>
      <c r="M165" s="104" t="s">
        <v>978</v>
      </c>
      <c r="N165" s="104" t="s">
        <v>978</v>
      </c>
      <c r="O165" s="104" t="s">
        <v>978</v>
      </c>
      <c r="P165" s="104" t="s">
        <v>978</v>
      </c>
      <c r="Q165" s="104" t="s">
        <v>1012</v>
      </c>
      <c r="R165" s="104" t="s">
        <v>978</v>
      </c>
      <c r="S165" s="104" t="s">
        <v>978</v>
      </c>
      <c r="T165" s="104" t="s">
        <v>978</v>
      </c>
      <c r="U165" s="104" t="s">
        <v>978</v>
      </c>
      <c r="V165" s="104" t="s">
        <v>978</v>
      </c>
      <c r="W165" s="104" t="s">
        <v>978</v>
      </c>
      <c r="X165" s="104" t="s">
        <v>978</v>
      </c>
      <c r="Y165" s="104" t="s">
        <v>978</v>
      </c>
      <c r="Z165" s="104" t="s">
        <v>978</v>
      </c>
      <c r="AA165" s="104" t="s">
        <v>978</v>
      </c>
      <c r="AB165" s="104" t="s">
        <v>978</v>
      </c>
      <c r="AC165" s="104" t="s">
        <v>978</v>
      </c>
      <c r="AD165" s="104" t="s">
        <v>978</v>
      </c>
      <c r="AE165" s="104" t="s">
        <v>978</v>
      </c>
      <c r="AF165" s="104" t="s">
        <v>978</v>
      </c>
      <c r="AG165" s="104" t="s">
        <v>978</v>
      </c>
      <c r="AH165" s="104" t="s">
        <v>978</v>
      </c>
      <c r="AI165" s="104" t="s">
        <v>978</v>
      </c>
      <c r="AJ165" s="104" t="s">
        <v>978</v>
      </c>
      <c r="AK165" s="104" t="s">
        <v>978</v>
      </c>
      <c r="AL165" s="104" t="s">
        <v>978</v>
      </c>
      <c r="AM165" s="120" t="s">
        <v>978</v>
      </c>
      <c r="AN165" s="103">
        <v>54000</v>
      </c>
      <c r="AO165" s="103" t="s">
        <v>974</v>
      </c>
      <c r="AP165" s="103" t="s">
        <v>974</v>
      </c>
      <c r="AQ165" s="103" t="s">
        <v>974</v>
      </c>
      <c r="AR165" s="103" t="s">
        <v>974</v>
      </c>
      <c r="AS165" s="103" t="s">
        <v>974</v>
      </c>
      <c r="AT165" s="103" t="s">
        <v>974</v>
      </c>
      <c r="AU165" s="103">
        <f t="shared" si="86"/>
        <v>54000</v>
      </c>
      <c r="AV165" s="158"/>
      <c r="AW165" s="156">
        <f>+AVERAGE(AL165,AU165)</f>
        <v>54000</v>
      </c>
      <c r="AX165" s="121">
        <f t="shared" si="88"/>
        <v>54000</v>
      </c>
      <c r="AY165" s="163" t="s">
        <v>1074</v>
      </c>
      <c r="AZ165" s="160">
        <v>21</v>
      </c>
      <c r="BA165" s="138">
        <v>12</v>
      </c>
      <c r="BB165" s="138">
        <v>0</v>
      </c>
      <c r="BC165" s="139">
        <f t="shared" si="84"/>
        <v>33</v>
      </c>
      <c r="BD165" s="140">
        <f t="shared" si="69"/>
        <v>1782000</v>
      </c>
    </row>
    <row r="166" spans="1:56" s="125" customFormat="1" ht="24.75" customHeight="1" x14ac:dyDescent="0.2">
      <c r="A166" s="150">
        <v>17</v>
      </c>
      <c r="B166" s="148">
        <v>163</v>
      </c>
      <c r="C166" s="105"/>
      <c r="D166" s="106" t="s">
        <v>680</v>
      </c>
      <c r="E166" s="105" t="s">
        <v>680</v>
      </c>
      <c r="F166" s="105" t="s">
        <v>286</v>
      </c>
      <c r="G166" s="145" t="s">
        <v>978</v>
      </c>
      <c r="H166" s="145" t="s">
        <v>978</v>
      </c>
      <c r="I166" s="145" t="s">
        <v>978</v>
      </c>
      <c r="J166" s="104" t="s">
        <v>978</v>
      </c>
      <c r="K166" s="104" t="s">
        <v>978</v>
      </c>
      <c r="L166" s="104" t="s">
        <v>978</v>
      </c>
      <c r="M166" s="104" t="s">
        <v>978</v>
      </c>
      <c r="N166" s="104" t="s">
        <v>978</v>
      </c>
      <c r="O166" s="104" t="s">
        <v>978</v>
      </c>
      <c r="P166" s="104" t="s">
        <v>978</v>
      </c>
      <c r="Q166" s="104" t="s">
        <v>1012</v>
      </c>
      <c r="R166" s="104" t="s">
        <v>978</v>
      </c>
      <c r="S166" s="104" t="s">
        <v>978</v>
      </c>
      <c r="T166" s="104" t="s">
        <v>978</v>
      </c>
      <c r="U166" s="104" t="s">
        <v>978</v>
      </c>
      <c r="V166" s="104" t="s">
        <v>978</v>
      </c>
      <c r="W166" s="104" t="s">
        <v>978</v>
      </c>
      <c r="X166" s="104" t="s">
        <v>978</v>
      </c>
      <c r="Y166" s="104" t="s">
        <v>978</v>
      </c>
      <c r="Z166" s="104" t="s">
        <v>978</v>
      </c>
      <c r="AA166" s="104" t="s">
        <v>978</v>
      </c>
      <c r="AB166" s="104" t="s">
        <v>978</v>
      </c>
      <c r="AC166" s="104" t="s">
        <v>978</v>
      </c>
      <c r="AD166" s="104" t="s">
        <v>978</v>
      </c>
      <c r="AE166" s="104" t="s">
        <v>978</v>
      </c>
      <c r="AF166" s="104" t="s">
        <v>978</v>
      </c>
      <c r="AG166" s="104" t="s">
        <v>978</v>
      </c>
      <c r="AH166" s="104" t="s">
        <v>978</v>
      </c>
      <c r="AI166" s="104" t="s">
        <v>978</v>
      </c>
      <c r="AJ166" s="104" t="s">
        <v>978</v>
      </c>
      <c r="AK166" s="104" t="s">
        <v>978</v>
      </c>
      <c r="AL166" s="104" t="s">
        <v>978</v>
      </c>
      <c r="AM166" s="120" t="s">
        <v>978</v>
      </c>
      <c r="AN166" s="103">
        <v>12870</v>
      </c>
      <c r="AO166" s="103" t="s">
        <v>974</v>
      </c>
      <c r="AP166" s="103" t="s">
        <v>974</v>
      </c>
      <c r="AQ166" s="103">
        <v>17850</v>
      </c>
      <c r="AR166" s="103" t="s">
        <v>974</v>
      </c>
      <c r="AS166" s="103" t="s">
        <v>974</v>
      </c>
      <c r="AT166" s="103" t="s">
        <v>974</v>
      </c>
      <c r="AU166" s="103">
        <f t="shared" si="86"/>
        <v>12870</v>
      </c>
      <c r="AV166" s="158"/>
      <c r="AW166" s="156">
        <f>+AVERAGE(AL166,AU166)</f>
        <v>12870</v>
      </c>
      <c r="AX166" s="121">
        <f t="shared" si="88"/>
        <v>12870</v>
      </c>
      <c r="AY166" s="163" t="s">
        <v>1082</v>
      </c>
      <c r="AZ166" s="160">
        <v>0</v>
      </c>
      <c r="BA166" s="138">
        <v>12</v>
      </c>
      <c r="BB166" s="138">
        <v>0</v>
      </c>
      <c r="BC166" s="139">
        <f>+BA166+BB166</f>
        <v>12</v>
      </c>
      <c r="BD166" s="140">
        <f t="shared" si="69"/>
        <v>154440</v>
      </c>
    </row>
    <row r="167" spans="1:56" s="125" customFormat="1" ht="36" customHeight="1" x14ac:dyDescent="0.2">
      <c r="A167" s="150">
        <v>17</v>
      </c>
      <c r="B167" s="148">
        <v>164</v>
      </c>
      <c r="C167" s="105">
        <v>42152500</v>
      </c>
      <c r="D167" s="106" t="s">
        <v>644</v>
      </c>
      <c r="E167" s="105" t="s">
        <v>644</v>
      </c>
      <c r="F167" s="105" t="s">
        <v>645</v>
      </c>
      <c r="G167" s="145" t="s">
        <v>978</v>
      </c>
      <c r="H167" s="145" t="s">
        <v>978</v>
      </c>
      <c r="I167" s="145" t="s">
        <v>978</v>
      </c>
      <c r="J167" s="104" t="s">
        <v>978</v>
      </c>
      <c r="K167" s="104" t="s">
        <v>978</v>
      </c>
      <c r="L167" s="104" t="s">
        <v>978</v>
      </c>
      <c r="M167" s="104" t="s">
        <v>978</v>
      </c>
      <c r="N167" s="104" t="s">
        <v>978</v>
      </c>
      <c r="O167" s="104" t="s">
        <v>978</v>
      </c>
      <c r="P167" s="104" t="s">
        <v>978</v>
      </c>
      <c r="Q167" s="104" t="s">
        <v>1012</v>
      </c>
      <c r="R167" s="104" t="s">
        <v>978</v>
      </c>
      <c r="S167" s="104" t="s">
        <v>978</v>
      </c>
      <c r="T167" s="104" t="s">
        <v>978</v>
      </c>
      <c r="U167" s="104" t="s">
        <v>978</v>
      </c>
      <c r="V167" s="104" t="s">
        <v>978</v>
      </c>
      <c r="W167" s="104" t="s">
        <v>978</v>
      </c>
      <c r="X167" s="104" t="s">
        <v>978</v>
      </c>
      <c r="Y167" s="104" t="s">
        <v>978</v>
      </c>
      <c r="Z167" s="104" t="s">
        <v>978</v>
      </c>
      <c r="AA167" s="104" t="s">
        <v>978</v>
      </c>
      <c r="AB167" s="104" t="s">
        <v>978</v>
      </c>
      <c r="AC167" s="104" t="s">
        <v>978</v>
      </c>
      <c r="AD167" s="104" t="s">
        <v>978</v>
      </c>
      <c r="AE167" s="104" t="s">
        <v>978</v>
      </c>
      <c r="AF167" s="104" t="s">
        <v>978</v>
      </c>
      <c r="AG167" s="104" t="s">
        <v>978</v>
      </c>
      <c r="AH167" s="104" t="s">
        <v>978</v>
      </c>
      <c r="AI167" s="104" t="s">
        <v>978</v>
      </c>
      <c r="AJ167" s="104" t="s">
        <v>978</v>
      </c>
      <c r="AK167" s="104" t="s">
        <v>978</v>
      </c>
      <c r="AL167" s="104" t="s">
        <v>978</v>
      </c>
      <c r="AM167" s="120" t="s">
        <v>978</v>
      </c>
      <c r="AN167" s="103">
        <v>20020</v>
      </c>
      <c r="AO167" s="103" t="s">
        <v>974</v>
      </c>
      <c r="AP167" s="103" t="s">
        <v>974</v>
      </c>
      <c r="AQ167" s="103">
        <v>29750</v>
      </c>
      <c r="AR167" s="103" t="s">
        <v>974</v>
      </c>
      <c r="AS167" s="103" t="s">
        <v>974</v>
      </c>
      <c r="AT167" s="103" t="s">
        <v>974</v>
      </c>
      <c r="AU167" s="103">
        <f t="shared" si="86"/>
        <v>20020</v>
      </c>
      <c r="AV167" s="158"/>
      <c r="AW167" s="156">
        <f>+AVERAGE(AL167,AU167)</f>
        <v>20020</v>
      </c>
      <c r="AX167" s="121">
        <f t="shared" si="88"/>
        <v>20020</v>
      </c>
      <c r="AY167" s="163" t="s">
        <v>1073</v>
      </c>
      <c r="AZ167" s="160">
        <v>0</v>
      </c>
      <c r="BA167" s="138">
        <v>12</v>
      </c>
      <c r="BB167" s="138">
        <v>0</v>
      </c>
      <c r="BC167" s="139">
        <f>+BA167+BB167</f>
        <v>12</v>
      </c>
      <c r="BD167" s="140">
        <f t="shared" si="69"/>
        <v>240240</v>
      </c>
    </row>
    <row r="168" spans="1:56" s="125" customFormat="1" ht="60.75" customHeight="1" x14ac:dyDescent="0.2">
      <c r="A168" s="150">
        <v>17</v>
      </c>
      <c r="B168" s="148">
        <v>165</v>
      </c>
      <c r="C168" s="105">
        <v>42221504</v>
      </c>
      <c r="D168" s="106" t="s">
        <v>1028</v>
      </c>
      <c r="E168" s="105" t="s">
        <v>1034</v>
      </c>
      <c r="F168" s="105" t="s">
        <v>299</v>
      </c>
      <c r="G168" s="145">
        <f>4218*50</f>
        <v>210900</v>
      </c>
      <c r="H168" s="145" t="s">
        <v>978</v>
      </c>
      <c r="I168" s="145">
        <f>+AVERAGE(G168:H168)</f>
        <v>210900</v>
      </c>
      <c r="J168" s="104" t="s">
        <v>978</v>
      </c>
      <c r="K168" s="104" t="s">
        <v>978</v>
      </c>
      <c r="L168" s="104" t="s">
        <v>978</v>
      </c>
      <c r="M168" s="104" t="s">
        <v>978</v>
      </c>
      <c r="N168" s="104" t="s">
        <v>978</v>
      </c>
      <c r="O168" s="104" t="s">
        <v>978</v>
      </c>
      <c r="P168" s="104" t="s">
        <v>978</v>
      </c>
      <c r="Q168" s="104" t="s">
        <v>1012</v>
      </c>
      <c r="R168" s="104" t="s">
        <v>978</v>
      </c>
      <c r="S168" s="104" t="s">
        <v>978</v>
      </c>
      <c r="T168" s="104" t="s">
        <v>978</v>
      </c>
      <c r="U168" s="104" t="s">
        <v>978</v>
      </c>
      <c r="V168" s="104" t="s">
        <v>978</v>
      </c>
      <c r="W168" s="104" t="s">
        <v>978</v>
      </c>
      <c r="X168" s="104" t="s">
        <v>978</v>
      </c>
      <c r="Y168" s="104" t="s">
        <v>978</v>
      </c>
      <c r="Z168" s="104" t="s">
        <v>978</v>
      </c>
      <c r="AA168" s="104" t="s">
        <v>978</v>
      </c>
      <c r="AB168" s="104">
        <f>70833</f>
        <v>70833</v>
      </c>
      <c r="AC168" s="104">
        <f>AB168*(1+5.1%)</f>
        <v>74445.482999999993</v>
      </c>
      <c r="AD168" s="104" t="s">
        <v>978</v>
      </c>
      <c r="AE168" s="104" t="s">
        <v>978</v>
      </c>
      <c r="AF168" s="104" t="s">
        <v>978</v>
      </c>
      <c r="AG168" s="104" t="s">
        <v>978</v>
      </c>
      <c r="AH168" s="104" t="s">
        <v>978</v>
      </c>
      <c r="AI168" s="104" t="s">
        <v>978</v>
      </c>
      <c r="AJ168" s="104" t="s">
        <v>978</v>
      </c>
      <c r="AK168" s="104" t="s">
        <v>978</v>
      </c>
      <c r="AL168" s="104">
        <f>+AVERAGE(K168,M168,O168,Q168,S168,U168,W168,Y168,AA168,AC168,AE168,AG168,AI168,AK168)</f>
        <v>74445.482999999993</v>
      </c>
      <c r="AM168" s="120">
        <v>66500</v>
      </c>
      <c r="AN168" s="103">
        <f>12012*50</f>
        <v>600600</v>
      </c>
      <c r="AO168" s="103" t="s">
        <v>974</v>
      </c>
      <c r="AP168" s="103">
        <f>3000*50</f>
        <v>150000</v>
      </c>
      <c r="AQ168" s="103">
        <f>6000*50</f>
        <v>300000</v>
      </c>
      <c r="AR168" s="103" t="s">
        <v>974</v>
      </c>
      <c r="AS168" s="103" t="s">
        <v>974</v>
      </c>
      <c r="AT168" s="103" t="s">
        <v>974</v>
      </c>
      <c r="AU168" s="103">
        <f t="shared" si="86"/>
        <v>150000</v>
      </c>
      <c r="AV168" s="158"/>
      <c r="AW168" s="156">
        <f>+AVERAGE(AL168,AU168,AM168)</f>
        <v>96981.827666666664</v>
      </c>
      <c r="AX168" s="121">
        <f t="shared" si="88"/>
        <v>96982</v>
      </c>
      <c r="AY168" s="163" t="s">
        <v>1074</v>
      </c>
      <c r="AZ168" s="160">
        <v>0</v>
      </c>
      <c r="BA168" s="138">
        <v>12</v>
      </c>
      <c r="BB168" s="138">
        <v>0</v>
      </c>
      <c r="BC168" s="139">
        <f>+AZ168+BA168+BB168</f>
        <v>12</v>
      </c>
      <c r="BD168" s="140">
        <f t="shared" si="69"/>
        <v>1163784</v>
      </c>
    </row>
    <row r="169" spans="1:56" s="125" customFormat="1" ht="65.25" customHeight="1" x14ac:dyDescent="0.2">
      <c r="A169" s="150">
        <v>17</v>
      </c>
      <c r="B169" s="148">
        <v>166</v>
      </c>
      <c r="C169" s="105">
        <v>42151805</v>
      </c>
      <c r="D169" s="106" t="s">
        <v>681</v>
      </c>
      <c r="E169" s="105" t="s">
        <v>891</v>
      </c>
      <c r="F169" s="105" t="s">
        <v>442</v>
      </c>
      <c r="G169" s="145" t="s">
        <v>978</v>
      </c>
      <c r="H169" s="145" t="s">
        <v>978</v>
      </c>
      <c r="I169" s="145" t="s">
        <v>978</v>
      </c>
      <c r="J169" s="104" t="s">
        <v>978</v>
      </c>
      <c r="K169" s="104" t="s">
        <v>978</v>
      </c>
      <c r="L169" s="104" t="s">
        <v>978</v>
      </c>
      <c r="M169" s="104" t="s">
        <v>978</v>
      </c>
      <c r="N169" s="104" t="s">
        <v>978</v>
      </c>
      <c r="O169" s="104" t="s">
        <v>978</v>
      </c>
      <c r="P169" s="104" t="s">
        <v>978</v>
      </c>
      <c r="Q169" s="104" t="s">
        <v>1012</v>
      </c>
      <c r="R169" s="104" t="s">
        <v>978</v>
      </c>
      <c r="S169" s="104" t="s">
        <v>978</v>
      </c>
      <c r="T169" s="104" t="s">
        <v>978</v>
      </c>
      <c r="U169" s="104" t="s">
        <v>978</v>
      </c>
      <c r="V169" s="104" t="s">
        <v>978</v>
      </c>
      <c r="W169" s="104" t="s">
        <v>978</v>
      </c>
      <c r="X169" s="104" t="s">
        <v>978</v>
      </c>
      <c r="Y169" s="104" t="s">
        <v>978</v>
      </c>
      <c r="Z169" s="104" t="s">
        <v>978</v>
      </c>
      <c r="AA169" s="104" t="s">
        <v>978</v>
      </c>
      <c r="AB169" s="104" t="s">
        <v>978</v>
      </c>
      <c r="AC169" s="104" t="s">
        <v>978</v>
      </c>
      <c r="AD169" s="104" t="s">
        <v>978</v>
      </c>
      <c r="AE169" s="104" t="s">
        <v>978</v>
      </c>
      <c r="AF169" s="104" t="s">
        <v>978</v>
      </c>
      <c r="AG169" s="104" t="s">
        <v>978</v>
      </c>
      <c r="AH169" s="104" t="s">
        <v>978</v>
      </c>
      <c r="AI169" s="104" t="s">
        <v>978</v>
      </c>
      <c r="AJ169" s="104">
        <v>303800</v>
      </c>
      <c r="AK169" s="104">
        <f>AJ169*(1+5.1%)</f>
        <v>319293.8</v>
      </c>
      <c r="AL169" s="104">
        <f>+AVERAGE(K169,M169,O169,Q169,S169,U169,W169,Y169,AA169,AC169,AE169,AG169,AI169,AK169)</f>
        <v>319293.8</v>
      </c>
      <c r="AM169" s="120" t="s">
        <v>978</v>
      </c>
      <c r="AN169" s="103">
        <v>524810</v>
      </c>
      <c r="AO169" s="103" t="s">
        <v>974</v>
      </c>
      <c r="AP169" s="103" t="s">
        <v>974</v>
      </c>
      <c r="AQ169" s="103">
        <v>505750</v>
      </c>
      <c r="AR169" s="103" t="s">
        <v>974</v>
      </c>
      <c r="AS169" s="103" t="s">
        <v>974</v>
      </c>
      <c r="AT169" s="103" t="s">
        <v>974</v>
      </c>
      <c r="AU169" s="103">
        <f t="shared" si="86"/>
        <v>505750</v>
      </c>
      <c r="AV169" s="158"/>
      <c r="AW169" s="156">
        <f>+AVERAGE(AL169,AU169)</f>
        <v>412521.9</v>
      </c>
      <c r="AX169" s="121">
        <f t="shared" si="88"/>
        <v>412522</v>
      </c>
      <c r="AY169" s="163" t="s">
        <v>1073</v>
      </c>
      <c r="AZ169" s="160">
        <v>2</v>
      </c>
      <c r="BA169" s="138">
        <v>10</v>
      </c>
      <c r="BB169" s="138">
        <v>12</v>
      </c>
      <c r="BC169" s="139">
        <f>+AZ169+BA169+BB169</f>
        <v>24</v>
      </c>
      <c r="BD169" s="140">
        <f t="shared" si="69"/>
        <v>9900528</v>
      </c>
    </row>
    <row r="170" spans="1:56" s="125" customFormat="1" ht="60.75" customHeight="1" x14ac:dyDescent="0.2">
      <c r="A170" s="150">
        <v>17</v>
      </c>
      <c r="B170" s="148">
        <v>167</v>
      </c>
      <c r="C170" s="105">
        <v>42295104</v>
      </c>
      <c r="D170" s="106" t="s">
        <v>317</v>
      </c>
      <c r="E170" s="105" t="s">
        <v>754</v>
      </c>
      <c r="F170" s="105" t="s">
        <v>286</v>
      </c>
      <c r="G170" s="145" t="s">
        <v>978</v>
      </c>
      <c r="H170" s="145" t="s">
        <v>978</v>
      </c>
      <c r="I170" s="145" t="s">
        <v>978</v>
      </c>
      <c r="J170" s="104" t="s">
        <v>978</v>
      </c>
      <c r="K170" s="104" t="s">
        <v>978</v>
      </c>
      <c r="L170" s="104">
        <v>24092</v>
      </c>
      <c r="M170" s="104">
        <f>L170*(1+5.2%)*(1+5.1%)</f>
        <v>26637.367983999997</v>
      </c>
      <c r="N170" s="104" t="s">
        <v>978</v>
      </c>
      <c r="O170" s="104" t="s">
        <v>978</v>
      </c>
      <c r="P170" s="104" t="s">
        <v>978</v>
      </c>
      <c r="Q170" s="104" t="s">
        <v>1012</v>
      </c>
      <c r="R170" s="104" t="s">
        <v>978</v>
      </c>
      <c r="S170" s="104" t="s">
        <v>978</v>
      </c>
      <c r="T170" s="104" t="s">
        <v>978</v>
      </c>
      <c r="U170" s="104" t="s">
        <v>978</v>
      </c>
      <c r="V170" s="104" t="s">
        <v>978</v>
      </c>
      <c r="W170" s="104" t="s">
        <v>978</v>
      </c>
      <c r="X170" s="104" t="s">
        <v>978</v>
      </c>
      <c r="Y170" s="104" t="s">
        <v>978</v>
      </c>
      <c r="Z170" s="104" t="s">
        <v>978</v>
      </c>
      <c r="AA170" s="104" t="s">
        <v>978</v>
      </c>
      <c r="AB170" s="104" t="s">
        <v>978</v>
      </c>
      <c r="AC170" s="104" t="s">
        <v>978</v>
      </c>
      <c r="AD170" s="104" t="s">
        <v>978</v>
      </c>
      <c r="AE170" s="104" t="s">
        <v>978</v>
      </c>
      <c r="AF170" s="104" t="s">
        <v>978</v>
      </c>
      <c r="AG170" s="104" t="s">
        <v>978</v>
      </c>
      <c r="AH170" s="104">
        <v>15768</v>
      </c>
      <c r="AI170" s="104">
        <f t="shared" ref="AI170:AI171" si="89">AH170*(1+5.1%)</f>
        <v>16572.167999999998</v>
      </c>
      <c r="AJ170" s="104" t="s">
        <v>978</v>
      </c>
      <c r="AK170" s="104" t="s">
        <v>978</v>
      </c>
      <c r="AL170" s="104">
        <f>+AVERAGE(K170,M170,O170,Q170,S170,U170,W170,Y170,AA170,AC170,AE170,AG170,AI170,AK170)</f>
        <v>21604.767991999997</v>
      </c>
      <c r="AM170" s="120">
        <v>40262</v>
      </c>
      <c r="AN170" s="103">
        <v>51480</v>
      </c>
      <c r="AO170" s="103" t="s">
        <v>974</v>
      </c>
      <c r="AP170" s="103" t="s">
        <v>974</v>
      </c>
      <c r="AQ170" s="103">
        <v>38080</v>
      </c>
      <c r="AR170" s="103" t="s">
        <v>974</v>
      </c>
      <c r="AS170" s="103" t="s">
        <v>974</v>
      </c>
      <c r="AT170" s="103" t="s">
        <v>974</v>
      </c>
      <c r="AU170" s="103">
        <f t="shared" si="86"/>
        <v>38080</v>
      </c>
      <c r="AV170" s="158"/>
      <c r="AW170" s="156">
        <f>+AVERAGE(AL170,AU170)</f>
        <v>29842.383995999997</v>
      </c>
      <c r="AX170" s="121">
        <f t="shared" ref="AX170:AX188" si="90">+ROUND(AW170,0)</f>
        <v>29842</v>
      </c>
      <c r="AY170" s="163" t="s">
        <v>1079</v>
      </c>
      <c r="AZ170" s="160">
        <v>293</v>
      </c>
      <c r="BA170" s="138">
        <v>0</v>
      </c>
      <c r="BB170" s="138">
        <v>0</v>
      </c>
      <c r="BC170" s="139">
        <f>+AZ170+BA170+BB170</f>
        <v>293</v>
      </c>
      <c r="BD170" s="140">
        <f t="shared" si="69"/>
        <v>8743706</v>
      </c>
    </row>
    <row r="171" spans="1:56" s="125" customFormat="1" ht="24" customHeight="1" x14ac:dyDescent="0.2">
      <c r="A171" s="150">
        <v>17</v>
      </c>
      <c r="B171" s="148">
        <v>168</v>
      </c>
      <c r="C171" s="105">
        <v>42311503</v>
      </c>
      <c r="D171" s="106" t="s">
        <v>318</v>
      </c>
      <c r="E171" s="105" t="s">
        <v>755</v>
      </c>
      <c r="F171" s="105" t="s">
        <v>286</v>
      </c>
      <c r="G171" s="145" t="s">
        <v>978</v>
      </c>
      <c r="H171" s="145" t="s">
        <v>978</v>
      </c>
      <c r="I171" s="145" t="s">
        <v>978</v>
      </c>
      <c r="J171" s="104" t="s">
        <v>978</v>
      </c>
      <c r="K171" s="104" t="s">
        <v>978</v>
      </c>
      <c r="L171" s="104">
        <v>14908</v>
      </c>
      <c r="M171" s="104">
        <f>L171*(1+5.2%)*(1+5.1%)</f>
        <v>16483.060015999999</v>
      </c>
      <c r="N171" s="104" t="s">
        <v>978</v>
      </c>
      <c r="O171" s="104" t="s">
        <v>978</v>
      </c>
      <c r="P171" s="104" t="s">
        <v>978</v>
      </c>
      <c r="Q171" s="104" t="s">
        <v>1012</v>
      </c>
      <c r="R171" s="104" t="s">
        <v>978</v>
      </c>
      <c r="S171" s="104" t="s">
        <v>978</v>
      </c>
      <c r="T171" s="104" t="s">
        <v>978</v>
      </c>
      <c r="U171" s="104" t="s">
        <v>978</v>
      </c>
      <c r="V171" s="104" t="s">
        <v>978</v>
      </c>
      <c r="W171" s="104" t="s">
        <v>978</v>
      </c>
      <c r="X171" s="104" t="s">
        <v>978</v>
      </c>
      <c r="Y171" s="104" t="s">
        <v>978</v>
      </c>
      <c r="Z171" s="104" t="s">
        <v>978</v>
      </c>
      <c r="AA171" s="104" t="s">
        <v>978</v>
      </c>
      <c r="AB171" s="104" t="s">
        <v>978</v>
      </c>
      <c r="AC171" s="104" t="s">
        <v>978</v>
      </c>
      <c r="AD171" s="104" t="s">
        <v>978</v>
      </c>
      <c r="AE171" s="104" t="s">
        <v>978</v>
      </c>
      <c r="AF171" s="104" t="s">
        <v>978</v>
      </c>
      <c r="AG171" s="104" t="s">
        <v>978</v>
      </c>
      <c r="AH171" s="104">
        <v>13212</v>
      </c>
      <c r="AI171" s="104">
        <f t="shared" si="89"/>
        <v>13885.812</v>
      </c>
      <c r="AJ171" s="104" t="s">
        <v>978</v>
      </c>
      <c r="AK171" s="104" t="s">
        <v>978</v>
      </c>
      <c r="AL171" s="104">
        <f>+AVERAGE(K171,M171,O171,Q171,S171,U171,W171,Y171,AA171,AC171,AE171,AG171,AI171,AK171)</f>
        <v>15184.436008000001</v>
      </c>
      <c r="AM171" s="120" t="s">
        <v>978</v>
      </c>
      <c r="AN171" s="103">
        <v>17875</v>
      </c>
      <c r="AO171" s="103" t="s">
        <v>974</v>
      </c>
      <c r="AP171" s="103" t="s">
        <v>974</v>
      </c>
      <c r="AQ171" s="103">
        <v>38080</v>
      </c>
      <c r="AR171" s="103" t="s">
        <v>974</v>
      </c>
      <c r="AS171" s="103" t="s">
        <v>974</v>
      </c>
      <c r="AT171" s="103" t="s">
        <v>974</v>
      </c>
      <c r="AU171" s="103">
        <f t="shared" si="86"/>
        <v>17875</v>
      </c>
      <c r="AV171" s="158"/>
      <c r="AW171" s="156">
        <f>+AVERAGE(AL171,AU171)</f>
        <v>16529.718004000002</v>
      </c>
      <c r="AX171" s="121">
        <f t="shared" si="90"/>
        <v>16530</v>
      </c>
      <c r="AY171" s="163" t="s">
        <v>1073</v>
      </c>
      <c r="AZ171" s="160">
        <f>19*60</f>
        <v>1140</v>
      </c>
      <c r="BA171" s="138">
        <v>0</v>
      </c>
      <c r="BB171" s="138">
        <v>240</v>
      </c>
      <c r="BC171" s="139">
        <f>+AZ171+BA171+BB171</f>
        <v>1380</v>
      </c>
      <c r="BD171" s="140">
        <f t="shared" si="69"/>
        <v>22811400</v>
      </c>
    </row>
    <row r="172" spans="1:56" s="125" customFormat="1" ht="141.75" customHeight="1" x14ac:dyDescent="0.2">
      <c r="A172" s="150">
        <v>17</v>
      </c>
      <c r="B172" s="148">
        <v>169</v>
      </c>
      <c r="C172" s="105">
        <v>42141802</v>
      </c>
      <c r="D172" s="106" t="s">
        <v>319</v>
      </c>
      <c r="E172" s="105" t="s">
        <v>1066</v>
      </c>
      <c r="F172" s="105" t="s">
        <v>286</v>
      </c>
      <c r="G172" s="145" t="s">
        <v>978</v>
      </c>
      <c r="H172" s="145" t="s">
        <v>978</v>
      </c>
      <c r="I172" s="145" t="s">
        <v>978</v>
      </c>
      <c r="J172" s="104" t="s">
        <v>978</v>
      </c>
      <c r="K172" s="104" t="s">
        <v>978</v>
      </c>
      <c r="L172" s="104" t="s">
        <v>978</v>
      </c>
      <c r="M172" s="104" t="s">
        <v>978</v>
      </c>
      <c r="N172" s="104" t="s">
        <v>978</v>
      </c>
      <c r="O172" s="104" t="s">
        <v>978</v>
      </c>
      <c r="P172" s="104" t="s">
        <v>978</v>
      </c>
      <c r="Q172" s="104" t="s">
        <v>1012</v>
      </c>
      <c r="R172" s="104" t="s">
        <v>978</v>
      </c>
      <c r="S172" s="104" t="s">
        <v>978</v>
      </c>
      <c r="T172" s="104" t="s">
        <v>978</v>
      </c>
      <c r="U172" s="104" t="s">
        <v>978</v>
      </c>
      <c r="V172" s="104" t="s">
        <v>978</v>
      </c>
      <c r="W172" s="104" t="s">
        <v>978</v>
      </c>
      <c r="X172" s="104" t="s">
        <v>978</v>
      </c>
      <c r="Y172" s="104" t="s">
        <v>978</v>
      </c>
      <c r="Z172" s="104" t="s">
        <v>978</v>
      </c>
      <c r="AA172" s="104" t="s">
        <v>978</v>
      </c>
      <c r="AB172" s="104" t="s">
        <v>978</v>
      </c>
      <c r="AC172" s="104" t="s">
        <v>978</v>
      </c>
      <c r="AD172" s="104" t="s">
        <v>978</v>
      </c>
      <c r="AE172" s="104" t="s">
        <v>978</v>
      </c>
      <c r="AF172" s="104" t="s">
        <v>978</v>
      </c>
      <c r="AG172" s="104" t="s">
        <v>978</v>
      </c>
      <c r="AH172" s="104">
        <v>4034</v>
      </c>
      <c r="AI172" s="104">
        <f t="shared" ref="AI172:AI177" si="91">AH172*(1+5.1%)</f>
        <v>4239.7339999999995</v>
      </c>
      <c r="AJ172" s="104" t="s">
        <v>978</v>
      </c>
      <c r="AK172" s="104" t="s">
        <v>978</v>
      </c>
      <c r="AL172" s="104" t="s">
        <v>978</v>
      </c>
      <c r="AM172" s="120">
        <v>7600</v>
      </c>
      <c r="AN172" s="103">
        <v>12298</v>
      </c>
      <c r="AO172" s="103" t="s">
        <v>974</v>
      </c>
      <c r="AP172" s="103" t="s">
        <v>974</v>
      </c>
      <c r="AQ172" s="103">
        <v>7735</v>
      </c>
      <c r="AR172" s="103" t="s">
        <v>974</v>
      </c>
      <c r="AS172" s="103" t="s">
        <v>974</v>
      </c>
      <c r="AT172" s="103" t="s">
        <v>974</v>
      </c>
      <c r="AU172" s="103">
        <f t="shared" si="86"/>
        <v>7735</v>
      </c>
      <c r="AV172" s="158"/>
      <c r="AW172" s="156">
        <f>+AVERAGE(I172,AL172,AU172,AM172)</f>
        <v>7667.5</v>
      </c>
      <c r="AX172" s="121">
        <f>+ROUND(AW172,0)</f>
        <v>7668</v>
      </c>
      <c r="AY172" s="163" t="s">
        <v>1085</v>
      </c>
      <c r="AZ172" s="160">
        <v>100</v>
      </c>
      <c r="BA172" s="138">
        <v>5</v>
      </c>
      <c r="BB172" s="138">
        <v>0</v>
      </c>
      <c r="BC172" s="139">
        <f>+AZ172+BA172+BB172</f>
        <v>105</v>
      </c>
      <c r="BD172" s="140">
        <f t="shared" si="69"/>
        <v>805140</v>
      </c>
    </row>
    <row r="173" spans="1:56" s="125" customFormat="1" ht="48.75" customHeight="1" x14ac:dyDescent="0.2">
      <c r="A173" s="150">
        <v>17</v>
      </c>
      <c r="B173" s="148">
        <v>170</v>
      </c>
      <c r="C173" s="105">
        <v>42141802</v>
      </c>
      <c r="D173" s="106" t="s">
        <v>320</v>
      </c>
      <c r="E173" s="105" t="s">
        <v>756</v>
      </c>
      <c r="F173" s="105" t="s">
        <v>286</v>
      </c>
      <c r="G173" s="145" t="s">
        <v>978</v>
      </c>
      <c r="H173" s="145" t="s">
        <v>978</v>
      </c>
      <c r="I173" s="145" t="s">
        <v>978</v>
      </c>
      <c r="J173" s="104" t="s">
        <v>978</v>
      </c>
      <c r="K173" s="104" t="s">
        <v>978</v>
      </c>
      <c r="L173" s="104" t="s">
        <v>978</v>
      </c>
      <c r="M173" s="104" t="s">
        <v>978</v>
      </c>
      <c r="N173" s="104" t="s">
        <v>978</v>
      </c>
      <c r="O173" s="104" t="s">
        <v>978</v>
      </c>
      <c r="P173" s="104" t="s">
        <v>978</v>
      </c>
      <c r="Q173" s="104" t="s">
        <v>1012</v>
      </c>
      <c r="R173" s="104" t="s">
        <v>978</v>
      </c>
      <c r="S173" s="104" t="s">
        <v>978</v>
      </c>
      <c r="T173" s="104" t="s">
        <v>978</v>
      </c>
      <c r="U173" s="104" t="s">
        <v>978</v>
      </c>
      <c r="V173" s="104" t="s">
        <v>978</v>
      </c>
      <c r="W173" s="104" t="s">
        <v>978</v>
      </c>
      <c r="X173" s="104" t="s">
        <v>978</v>
      </c>
      <c r="Y173" s="104" t="s">
        <v>978</v>
      </c>
      <c r="Z173" s="104" t="s">
        <v>978</v>
      </c>
      <c r="AA173" s="104" t="s">
        <v>978</v>
      </c>
      <c r="AB173" s="104" t="s">
        <v>978</v>
      </c>
      <c r="AC173" s="104" t="s">
        <v>978</v>
      </c>
      <c r="AD173" s="104">
        <v>3824</v>
      </c>
      <c r="AE173" s="104">
        <f>AD173*(1+5.1%)</f>
        <v>4019.0239999999999</v>
      </c>
      <c r="AF173" s="104" t="s">
        <v>978</v>
      </c>
      <c r="AG173" s="104" t="s">
        <v>978</v>
      </c>
      <c r="AH173" s="104">
        <v>3988</v>
      </c>
      <c r="AI173" s="104">
        <f t="shared" si="91"/>
        <v>4191.3879999999999</v>
      </c>
      <c r="AJ173" s="104" t="s">
        <v>978</v>
      </c>
      <c r="AK173" s="104" t="s">
        <v>978</v>
      </c>
      <c r="AL173" s="104">
        <f>+AVERAGE(K173,M173,O173,Q173,S173,U173,W173,Y173,AA173,AC173,AE173,AG173,AI173,AK173)</f>
        <v>4105.2060000000001</v>
      </c>
      <c r="AM173" s="120">
        <v>6900</v>
      </c>
      <c r="AN173" s="103">
        <v>17875</v>
      </c>
      <c r="AO173" s="103" t="s">
        <v>974</v>
      </c>
      <c r="AP173" s="103" t="s">
        <v>974</v>
      </c>
      <c r="AQ173" s="103">
        <v>6545</v>
      </c>
      <c r="AR173" s="103" t="s">
        <v>974</v>
      </c>
      <c r="AS173" s="103" t="s">
        <v>974</v>
      </c>
      <c r="AT173" s="103" t="s">
        <v>974</v>
      </c>
      <c r="AU173" s="103">
        <f t="shared" si="86"/>
        <v>6545</v>
      </c>
      <c r="AV173" s="158"/>
      <c r="AW173" s="156">
        <f>+AVERAGE(AL173,AU173)</f>
        <v>5325.1030000000001</v>
      </c>
      <c r="AX173" s="121">
        <f t="shared" si="90"/>
        <v>5325</v>
      </c>
      <c r="AY173" s="163" t="s">
        <v>1079</v>
      </c>
      <c r="AZ173" s="160">
        <v>0</v>
      </c>
      <c r="BA173" s="138">
        <v>51</v>
      </c>
      <c r="BB173" s="138">
        <v>0</v>
      </c>
      <c r="BC173" s="139">
        <f>+BA173+BB173</f>
        <v>51</v>
      </c>
      <c r="BD173" s="140">
        <f t="shared" si="69"/>
        <v>271575</v>
      </c>
    </row>
    <row r="174" spans="1:56" s="125" customFormat="1" ht="48" customHeight="1" x14ac:dyDescent="0.2">
      <c r="A174" s="150">
        <v>17</v>
      </c>
      <c r="B174" s="148">
        <v>171</v>
      </c>
      <c r="C174" s="105">
        <v>42295104</v>
      </c>
      <c r="D174" s="106" t="s">
        <v>682</v>
      </c>
      <c r="E174" s="105" t="s">
        <v>756</v>
      </c>
      <c r="F174" s="105" t="s">
        <v>288</v>
      </c>
      <c r="G174" s="145" t="s">
        <v>978</v>
      </c>
      <c r="H174" s="143" t="s">
        <v>978</v>
      </c>
      <c r="I174" s="145" t="s">
        <v>978</v>
      </c>
      <c r="J174" s="104" t="s">
        <v>978</v>
      </c>
      <c r="K174" s="104" t="s">
        <v>978</v>
      </c>
      <c r="L174" s="104" t="s">
        <v>978</v>
      </c>
      <c r="M174" s="104" t="s">
        <v>978</v>
      </c>
      <c r="N174" s="104" t="s">
        <v>978</v>
      </c>
      <c r="O174" s="104" t="s">
        <v>978</v>
      </c>
      <c r="P174" s="104" t="s">
        <v>978</v>
      </c>
      <c r="Q174" s="104" t="s">
        <v>1012</v>
      </c>
      <c r="R174" s="104" t="s">
        <v>978</v>
      </c>
      <c r="S174" s="104" t="s">
        <v>978</v>
      </c>
      <c r="T174" s="104" t="s">
        <v>978</v>
      </c>
      <c r="U174" s="104" t="s">
        <v>978</v>
      </c>
      <c r="V174" s="104" t="s">
        <v>978</v>
      </c>
      <c r="W174" s="104" t="s">
        <v>978</v>
      </c>
      <c r="X174" s="104" t="s">
        <v>978</v>
      </c>
      <c r="Y174" s="104" t="s">
        <v>978</v>
      </c>
      <c r="Z174" s="104" t="s">
        <v>978</v>
      </c>
      <c r="AA174" s="104" t="s">
        <v>978</v>
      </c>
      <c r="AB174" s="104" t="s">
        <v>978</v>
      </c>
      <c r="AC174" s="104" t="s">
        <v>978</v>
      </c>
      <c r="AD174" s="104">
        <f>4111*100</f>
        <v>411100</v>
      </c>
      <c r="AE174" s="104">
        <f>AD174*(1+5.1%)</f>
        <v>432066.1</v>
      </c>
      <c r="AF174" s="104" t="s">
        <v>978</v>
      </c>
      <c r="AG174" s="104" t="s">
        <v>978</v>
      </c>
      <c r="AH174" s="104">
        <f>3988*100</f>
        <v>398800</v>
      </c>
      <c r="AI174" s="104">
        <f t="shared" si="91"/>
        <v>419138.8</v>
      </c>
      <c r="AJ174" s="104" t="s">
        <v>978</v>
      </c>
      <c r="AK174" s="104" t="s">
        <v>978</v>
      </c>
      <c r="AL174" s="104">
        <f>+AVERAGE(K174,M174,O174,Q174,S174,U174,W174,Y174,AA174,AC174,AE174,AG174,AI174,AK174)</f>
        <v>425602.44999999995</v>
      </c>
      <c r="AM174" s="120" t="s">
        <v>978</v>
      </c>
      <c r="AN174" s="103">
        <f>17875*100</f>
        <v>1787500</v>
      </c>
      <c r="AO174" s="103" t="s">
        <v>974</v>
      </c>
      <c r="AP174" s="103" t="s">
        <v>974</v>
      </c>
      <c r="AQ174" s="103">
        <f>6545*100</f>
        <v>654500</v>
      </c>
      <c r="AR174" s="103" t="s">
        <v>974</v>
      </c>
      <c r="AS174" s="103" t="s">
        <v>974</v>
      </c>
      <c r="AT174" s="103" t="s">
        <v>974</v>
      </c>
      <c r="AU174" s="103">
        <f t="shared" si="86"/>
        <v>654500</v>
      </c>
      <c r="AV174" s="158"/>
      <c r="AW174" s="156">
        <f>+AVERAGE(I174,AL174,AU174,AM174)</f>
        <v>540051.22499999998</v>
      </c>
      <c r="AX174" s="121">
        <f>+ROUND(AW174,0)</f>
        <v>540051</v>
      </c>
      <c r="AY174" s="163" t="s">
        <v>1085</v>
      </c>
      <c r="AZ174" s="160">
        <v>0</v>
      </c>
      <c r="BA174" s="138">
        <v>4</v>
      </c>
      <c r="BB174" s="138">
        <v>0</v>
      </c>
      <c r="BC174" s="139">
        <f>+BA174+BB174</f>
        <v>4</v>
      </c>
      <c r="BD174" s="140">
        <f t="shared" si="69"/>
        <v>2160204</v>
      </c>
    </row>
    <row r="175" spans="1:56" s="125" customFormat="1" ht="36.75" customHeight="1" x14ac:dyDescent="0.2">
      <c r="A175" s="150">
        <v>17</v>
      </c>
      <c r="B175" s="148">
        <v>172</v>
      </c>
      <c r="C175" s="105">
        <v>42293505</v>
      </c>
      <c r="D175" s="106" t="s">
        <v>321</v>
      </c>
      <c r="E175" s="105" t="s">
        <v>750</v>
      </c>
      <c r="F175" s="105" t="s">
        <v>288</v>
      </c>
      <c r="G175" s="145">
        <v>65093</v>
      </c>
      <c r="H175" s="145" t="s">
        <v>978</v>
      </c>
      <c r="I175" s="145">
        <f t="shared" ref="I175:I186" si="92">+AVERAGE(G175:H175)</f>
        <v>65093</v>
      </c>
      <c r="J175" s="104" t="s">
        <v>978</v>
      </c>
      <c r="K175" s="104" t="s">
        <v>978</v>
      </c>
      <c r="L175" s="104" t="s">
        <v>978</v>
      </c>
      <c r="M175" s="104" t="s">
        <v>978</v>
      </c>
      <c r="N175" s="104" t="s">
        <v>978</v>
      </c>
      <c r="O175" s="104" t="s">
        <v>978</v>
      </c>
      <c r="P175" s="104" t="s">
        <v>978</v>
      </c>
      <c r="Q175" s="104" t="s">
        <v>1012</v>
      </c>
      <c r="R175" s="104" t="s">
        <v>978</v>
      </c>
      <c r="S175" s="104" t="s">
        <v>978</v>
      </c>
      <c r="T175" s="104" t="s">
        <v>978</v>
      </c>
      <c r="U175" s="104" t="s">
        <v>978</v>
      </c>
      <c r="V175" s="104" t="s">
        <v>978</v>
      </c>
      <c r="W175" s="104" t="s">
        <v>978</v>
      </c>
      <c r="X175" s="104" t="s">
        <v>978</v>
      </c>
      <c r="Y175" s="104" t="s">
        <v>978</v>
      </c>
      <c r="Z175" s="104" t="s">
        <v>978</v>
      </c>
      <c r="AA175" s="104" t="s">
        <v>978</v>
      </c>
      <c r="AB175" s="104" t="s">
        <v>978</v>
      </c>
      <c r="AC175" s="104" t="s">
        <v>978</v>
      </c>
      <c r="AD175" s="104" t="s">
        <v>978</v>
      </c>
      <c r="AE175" s="104" t="s">
        <v>978</v>
      </c>
      <c r="AF175" s="104" t="s">
        <v>978</v>
      </c>
      <c r="AG175" s="104" t="s">
        <v>978</v>
      </c>
      <c r="AH175" s="104">
        <v>48731</v>
      </c>
      <c r="AI175" s="104">
        <f t="shared" si="91"/>
        <v>51216.280999999995</v>
      </c>
      <c r="AJ175" s="104" t="s">
        <v>978</v>
      </c>
      <c r="AK175" s="104" t="s">
        <v>978</v>
      </c>
      <c r="AL175" s="104" t="s">
        <v>978</v>
      </c>
      <c r="AM175" s="120">
        <v>45800</v>
      </c>
      <c r="AN175" s="103">
        <v>88660</v>
      </c>
      <c r="AO175" s="103" t="s">
        <v>974</v>
      </c>
      <c r="AP175" s="103" t="s">
        <v>974</v>
      </c>
      <c r="AQ175" s="103">
        <v>59500</v>
      </c>
      <c r="AR175" s="103" t="s">
        <v>974</v>
      </c>
      <c r="AS175" s="103" t="s">
        <v>974</v>
      </c>
      <c r="AT175" s="103" t="s">
        <v>974</v>
      </c>
      <c r="AU175" s="103">
        <f t="shared" si="86"/>
        <v>59500</v>
      </c>
      <c r="AV175" s="158"/>
      <c r="AW175" s="156">
        <f>+AVERAGE(AL175,AU175,AM175)</f>
        <v>52650</v>
      </c>
      <c r="AX175" s="121">
        <f t="shared" si="90"/>
        <v>52650</v>
      </c>
      <c r="AY175" s="163" t="s">
        <v>1074</v>
      </c>
      <c r="AZ175" s="160">
        <v>9</v>
      </c>
      <c r="BA175" s="138">
        <v>0</v>
      </c>
      <c r="BB175" s="138">
        <v>0</v>
      </c>
      <c r="BC175" s="139">
        <f t="shared" ref="BC175:BC185" si="93">+AZ175+BA175+BB175</f>
        <v>9</v>
      </c>
      <c r="BD175" s="140">
        <f t="shared" si="69"/>
        <v>473850</v>
      </c>
    </row>
    <row r="176" spans="1:56" s="125" customFormat="1" ht="36" customHeight="1" x14ac:dyDescent="0.2">
      <c r="A176" s="150">
        <v>17</v>
      </c>
      <c r="B176" s="148">
        <v>173</v>
      </c>
      <c r="C176" s="105">
        <v>42293505</v>
      </c>
      <c r="D176" s="106" t="s">
        <v>294</v>
      </c>
      <c r="E176" s="105" t="s">
        <v>750</v>
      </c>
      <c r="F176" s="105" t="s">
        <v>288</v>
      </c>
      <c r="G176" s="145">
        <v>65093</v>
      </c>
      <c r="H176" s="145" t="s">
        <v>978</v>
      </c>
      <c r="I176" s="145">
        <f t="shared" si="92"/>
        <v>65093</v>
      </c>
      <c r="J176" s="104" t="s">
        <v>978</v>
      </c>
      <c r="K176" s="104" t="s">
        <v>978</v>
      </c>
      <c r="L176" s="104" t="s">
        <v>978</v>
      </c>
      <c r="M176" s="104" t="s">
        <v>978</v>
      </c>
      <c r="N176" s="104" t="s">
        <v>978</v>
      </c>
      <c r="O176" s="104" t="s">
        <v>978</v>
      </c>
      <c r="P176" s="104" t="s">
        <v>978</v>
      </c>
      <c r="Q176" s="104" t="s">
        <v>1012</v>
      </c>
      <c r="R176" s="104" t="s">
        <v>978</v>
      </c>
      <c r="S176" s="104" t="s">
        <v>978</v>
      </c>
      <c r="T176" s="104" t="s">
        <v>978</v>
      </c>
      <c r="U176" s="104" t="s">
        <v>978</v>
      </c>
      <c r="V176" s="104" t="s">
        <v>978</v>
      </c>
      <c r="W176" s="104" t="s">
        <v>978</v>
      </c>
      <c r="X176" s="104" t="s">
        <v>978</v>
      </c>
      <c r="Y176" s="104" t="s">
        <v>978</v>
      </c>
      <c r="Z176" s="104" t="s">
        <v>978</v>
      </c>
      <c r="AA176" s="104" t="s">
        <v>978</v>
      </c>
      <c r="AB176" s="104">
        <v>35808</v>
      </c>
      <c r="AC176" s="104">
        <f>AB176*(1+5.1%)</f>
        <v>37634.207999999999</v>
      </c>
      <c r="AD176" s="104" t="s">
        <v>978</v>
      </c>
      <c r="AE176" s="104" t="s">
        <v>978</v>
      </c>
      <c r="AF176" s="104" t="s">
        <v>978</v>
      </c>
      <c r="AG176" s="104" t="s">
        <v>978</v>
      </c>
      <c r="AH176" s="104">
        <v>40595</v>
      </c>
      <c r="AI176" s="104">
        <f t="shared" si="91"/>
        <v>42665.344999999994</v>
      </c>
      <c r="AJ176" s="104" t="s">
        <v>978</v>
      </c>
      <c r="AK176" s="104" t="s">
        <v>978</v>
      </c>
      <c r="AL176" s="104">
        <f>+AVERAGE(K176,M176,O176,Q176,S176,U176,W176,Y176,AA176,AC176,AE176,AG176,AI176,AK176)</f>
        <v>40149.776499999993</v>
      </c>
      <c r="AM176" s="120">
        <v>45800</v>
      </c>
      <c r="AN176" s="103">
        <v>88660</v>
      </c>
      <c r="AO176" s="103" t="s">
        <v>974</v>
      </c>
      <c r="AP176" s="103" t="s">
        <v>974</v>
      </c>
      <c r="AQ176" s="103">
        <v>59500</v>
      </c>
      <c r="AR176" s="103" t="s">
        <v>974</v>
      </c>
      <c r="AS176" s="103" t="s">
        <v>974</v>
      </c>
      <c r="AT176" s="103" t="s">
        <v>974</v>
      </c>
      <c r="AU176" s="103">
        <f t="shared" si="86"/>
        <v>59500</v>
      </c>
      <c r="AV176" s="158"/>
      <c r="AW176" s="156">
        <f>+AVERAGE(AL176,AU176,AM176)</f>
        <v>48483.258833333326</v>
      </c>
      <c r="AX176" s="121">
        <f t="shared" si="90"/>
        <v>48483</v>
      </c>
      <c r="AY176" s="163" t="s">
        <v>1074</v>
      </c>
      <c r="AZ176" s="160">
        <v>8</v>
      </c>
      <c r="BA176" s="138">
        <v>20</v>
      </c>
      <c r="BB176" s="138">
        <v>0</v>
      </c>
      <c r="BC176" s="139">
        <f t="shared" si="93"/>
        <v>28</v>
      </c>
      <c r="BD176" s="140">
        <f t="shared" si="69"/>
        <v>1357524</v>
      </c>
    </row>
    <row r="177" spans="1:56" s="125" customFormat="1" ht="36.75" customHeight="1" x14ac:dyDescent="0.2">
      <c r="A177" s="150">
        <v>17</v>
      </c>
      <c r="B177" s="148">
        <v>174</v>
      </c>
      <c r="C177" s="105">
        <v>42281904</v>
      </c>
      <c r="D177" s="106" t="s">
        <v>322</v>
      </c>
      <c r="E177" s="105" t="s">
        <v>750</v>
      </c>
      <c r="F177" s="105" t="s">
        <v>288</v>
      </c>
      <c r="G177" s="145">
        <v>65093</v>
      </c>
      <c r="H177" s="145" t="s">
        <v>978</v>
      </c>
      <c r="I177" s="145">
        <f t="shared" si="92"/>
        <v>65093</v>
      </c>
      <c r="J177" s="104" t="s">
        <v>978</v>
      </c>
      <c r="K177" s="104" t="s">
        <v>978</v>
      </c>
      <c r="L177" s="104" t="s">
        <v>978</v>
      </c>
      <c r="M177" s="104" t="s">
        <v>978</v>
      </c>
      <c r="N177" s="104" t="s">
        <v>978</v>
      </c>
      <c r="O177" s="104" t="s">
        <v>978</v>
      </c>
      <c r="P177" s="104" t="s">
        <v>978</v>
      </c>
      <c r="Q177" s="104" t="s">
        <v>1012</v>
      </c>
      <c r="R177" s="104" t="s">
        <v>978</v>
      </c>
      <c r="S177" s="104" t="s">
        <v>978</v>
      </c>
      <c r="T177" s="104" t="s">
        <v>978</v>
      </c>
      <c r="U177" s="104" t="s">
        <v>978</v>
      </c>
      <c r="V177" s="104" t="s">
        <v>978</v>
      </c>
      <c r="W177" s="104" t="s">
        <v>978</v>
      </c>
      <c r="X177" s="104" t="s">
        <v>978</v>
      </c>
      <c r="Y177" s="104" t="s">
        <v>978</v>
      </c>
      <c r="Z177" s="104" t="s">
        <v>978</v>
      </c>
      <c r="AA177" s="104" t="s">
        <v>978</v>
      </c>
      <c r="AB177" s="104" t="s">
        <v>978</v>
      </c>
      <c r="AC177" s="104" t="s">
        <v>978</v>
      </c>
      <c r="AD177" s="104" t="s">
        <v>978</v>
      </c>
      <c r="AE177" s="104" t="s">
        <v>978</v>
      </c>
      <c r="AF177" s="104" t="s">
        <v>978</v>
      </c>
      <c r="AG177" s="104" t="s">
        <v>978</v>
      </c>
      <c r="AH177" s="104">
        <v>41144</v>
      </c>
      <c r="AI177" s="104">
        <f t="shared" si="91"/>
        <v>43242.343999999997</v>
      </c>
      <c r="AJ177" s="104" t="s">
        <v>978</v>
      </c>
      <c r="AK177" s="104" t="s">
        <v>978</v>
      </c>
      <c r="AL177" s="104" t="s">
        <v>978</v>
      </c>
      <c r="AM177" s="120">
        <v>45800</v>
      </c>
      <c r="AN177" s="103">
        <v>88660</v>
      </c>
      <c r="AO177" s="103" t="s">
        <v>974</v>
      </c>
      <c r="AP177" s="103" t="s">
        <v>974</v>
      </c>
      <c r="AQ177" s="103">
        <v>59500</v>
      </c>
      <c r="AR177" s="103" t="s">
        <v>974</v>
      </c>
      <c r="AS177" s="103" t="s">
        <v>974</v>
      </c>
      <c r="AT177" s="103" t="s">
        <v>974</v>
      </c>
      <c r="AU177" s="103">
        <f t="shared" si="86"/>
        <v>59500</v>
      </c>
      <c r="AV177" s="158"/>
      <c r="AW177" s="156">
        <f>+AVERAGE(AL177,AU177,AM177)</f>
        <v>52650</v>
      </c>
      <c r="AX177" s="121">
        <f t="shared" si="90"/>
        <v>52650</v>
      </c>
      <c r="AY177" s="163" t="s">
        <v>1074</v>
      </c>
      <c r="AZ177" s="160">
        <v>11</v>
      </c>
      <c r="BA177" s="138">
        <v>0</v>
      </c>
      <c r="BB177" s="138">
        <v>0</v>
      </c>
      <c r="BC177" s="139">
        <f t="shared" si="93"/>
        <v>11</v>
      </c>
      <c r="BD177" s="140">
        <f t="shared" si="69"/>
        <v>579150</v>
      </c>
    </row>
    <row r="178" spans="1:56" s="125" customFormat="1" ht="96" customHeight="1" x14ac:dyDescent="0.2">
      <c r="A178" s="150">
        <v>17</v>
      </c>
      <c r="B178" s="148">
        <v>175</v>
      </c>
      <c r="C178" s="105">
        <v>42142523</v>
      </c>
      <c r="D178" s="106" t="s">
        <v>323</v>
      </c>
      <c r="E178" s="105" t="s">
        <v>1033</v>
      </c>
      <c r="F178" s="105" t="s">
        <v>288</v>
      </c>
      <c r="G178" s="145">
        <f>113*100</f>
        <v>11300</v>
      </c>
      <c r="H178" s="145" t="s">
        <v>978</v>
      </c>
      <c r="I178" s="145">
        <f>+AVERAGE(G1:H178)</f>
        <v>131839.38636363635</v>
      </c>
      <c r="J178" s="104" t="s">
        <v>978</v>
      </c>
      <c r="K178" s="104" t="s">
        <v>978</v>
      </c>
      <c r="L178" s="104" t="s">
        <v>978</v>
      </c>
      <c r="M178" s="104" t="s">
        <v>978</v>
      </c>
      <c r="N178" s="104" t="s">
        <v>978</v>
      </c>
      <c r="O178" s="104" t="s">
        <v>978</v>
      </c>
      <c r="P178" s="104" t="s">
        <v>978</v>
      </c>
      <c r="Q178" s="104" t="s">
        <v>1012</v>
      </c>
      <c r="R178" s="104" t="s">
        <v>978</v>
      </c>
      <c r="S178" s="104" t="s">
        <v>978</v>
      </c>
      <c r="T178" s="104" t="s">
        <v>978</v>
      </c>
      <c r="U178" s="104" t="s">
        <v>978</v>
      </c>
      <c r="V178" s="104" t="s">
        <v>978</v>
      </c>
      <c r="W178" s="104" t="s">
        <v>978</v>
      </c>
      <c r="X178" s="104" t="s">
        <v>978</v>
      </c>
      <c r="Y178" s="104" t="s">
        <v>978</v>
      </c>
      <c r="Z178" s="104" t="s">
        <v>978</v>
      </c>
      <c r="AA178" s="104" t="s">
        <v>978</v>
      </c>
      <c r="AB178" s="104" t="s">
        <v>978</v>
      </c>
      <c r="AC178" s="104" t="s">
        <v>978</v>
      </c>
      <c r="AD178" s="104" t="s">
        <v>978</v>
      </c>
      <c r="AE178" s="104" t="s">
        <v>978</v>
      </c>
      <c r="AF178" s="104" t="s">
        <v>978</v>
      </c>
      <c r="AG178" s="104" t="s">
        <v>978</v>
      </c>
      <c r="AH178" s="104" t="s">
        <v>978</v>
      </c>
      <c r="AI178" s="104" t="s">
        <v>978</v>
      </c>
      <c r="AJ178" s="104" t="s">
        <v>978</v>
      </c>
      <c r="AK178" s="104" t="s">
        <v>978</v>
      </c>
      <c r="AL178" s="104" t="s">
        <v>978</v>
      </c>
      <c r="AM178" s="120">
        <v>24700</v>
      </c>
      <c r="AN178" s="103">
        <v>41470</v>
      </c>
      <c r="AO178" s="103" t="s">
        <v>974</v>
      </c>
      <c r="AP178" s="103">
        <v>100</v>
      </c>
      <c r="AQ178" s="103">
        <v>11900</v>
      </c>
      <c r="AR178" s="103" t="s">
        <v>974</v>
      </c>
      <c r="AS178" s="103" t="s">
        <v>974</v>
      </c>
      <c r="AT178" s="103" t="s">
        <v>974</v>
      </c>
      <c r="AU178" s="103">
        <f t="shared" ref="AU178:AU187" si="94">+MIN(AN178,AQ178,AR178,AS178,AT178)</f>
        <v>11900</v>
      </c>
      <c r="AV178" s="158" t="s">
        <v>1076</v>
      </c>
      <c r="AW178" s="156">
        <f>+AU178</f>
        <v>11900</v>
      </c>
      <c r="AX178" s="121">
        <f t="shared" si="90"/>
        <v>11900</v>
      </c>
      <c r="AY178" s="163" t="s">
        <v>1078</v>
      </c>
      <c r="AZ178" s="160">
        <v>2</v>
      </c>
      <c r="BA178" s="138">
        <v>10</v>
      </c>
      <c r="BB178" s="138">
        <v>0</v>
      </c>
      <c r="BC178" s="139">
        <f t="shared" si="93"/>
        <v>12</v>
      </c>
      <c r="BD178" s="140">
        <f t="shared" si="69"/>
        <v>142800</v>
      </c>
    </row>
    <row r="179" spans="1:56" s="125" customFormat="1" ht="24.75" customHeight="1" x14ac:dyDescent="0.2">
      <c r="A179" s="150">
        <v>17</v>
      </c>
      <c r="B179" s="148">
        <v>176</v>
      </c>
      <c r="C179" s="105">
        <v>42142523</v>
      </c>
      <c r="D179" s="106" t="s">
        <v>295</v>
      </c>
      <c r="E179" s="105" t="s">
        <v>751</v>
      </c>
      <c r="F179" s="107" t="s">
        <v>558</v>
      </c>
      <c r="G179" s="145">
        <f>113*100</f>
        <v>11300</v>
      </c>
      <c r="H179" s="145">
        <v>9362</v>
      </c>
      <c r="I179" s="145">
        <f t="shared" si="92"/>
        <v>10331</v>
      </c>
      <c r="J179" s="104" t="s">
        <v>978</v>
      </c>
      <c r="K179" s="104" t="s">
        <v>978</v>
      </c>
      <c r="L179" s="104" t="s">
        <v>978</v>
      </c>
      <c r="M179" s="104" t="s">
        <v>978</v>
      </c>
      <c r="N179" s="104" t="s">
        <v>978</v>
      </c>
      <c r="O179" s="104" t="s">
        <v>978</v>
      </c>
      <c r="P179" s="104" t="s">
        <v>978</v>
      </c>
      <c r="Q179" s="104" t="s">
        <v>1012</v>
      </c>
      <c r="R179" s="104" t="s">
        <v>978</v>
      </c>
      <c r="S179" s="104" t="s">
        <v>978</v>
      </c>
      <c r="T179" s="104" t="s">
        <v>978</v>
      </c>
      <c r="U179" s="104" t="s">
        <v>978</v>
      </c>
      <c r="V179" s="104" t="s">
        <v>978</v>
      </c>
      <c r="W179" s="104" t="s">
        <v>978</v>
      </c>
      <c r="X179" s="104" t="s">
        <v>978</v>
      </c>
      <c r="Y179" s="104" t="s">
        <v>978</v>
      </c>
      <c r="Z179" s="104" t="s">
        <v>978</v>
      </c>
      <c r="AA179" s="104" t="s">
        <v>978</v>
      </c>
      <c r="AB179" s="104" t="s">
        <v>978</v>
      </c>
      <c r="AC179" s="104" t="s">
        <v>978</v>
      </c>
      <c r="AD179" s="104" t="s">
        <v>978</v>
      </c>
      <c r="AE179" s="104" t="s">
        <v>978</v>
      </c>
      <c r="AF179" s="104" t="s">
        <v>978</v>
      </c>
      <c r="AG179" s="104" t="s">
        <v>978</v>
      </c>
      <c r="AH179" s="104" t="s">
        <v>978</v>
      </c>
      <c r="AI179" s="104" t="s">
        <v>978</v>
      </c>
      <c r="AJ179" s="104" t="s">
        <v>978</v>
      </c>
      <c r="AK179" s="104" t="s">
        <v>978</v>
      </c>
      <c r="AL179" s="104" t="s">
        <v>978</v>
      </c>
      <c r="AM179" s="120" t="s">
        <v>978</v>
      </c>
      <c r="AN179" s="103">
        <v>41470</v>
      </c>
      <c r="AO179" s="103" t="s">
        <v>974</v>
      </c>
      <c r="AP179" s="103">
        <v>100</v>
      </c>
      <c r="AQ179" s="103">
        <v>11900</v>
      </c>
      <c r="AR179" s="103" t="s">
        <v>974</v>
      </c>
      <c r="AS179" s="103" t="s">
        <v>974</v>
      </c>
      <c r="AT179" s="103" t="s">
        <v>974</v>
      </c>
      <c r="AU179" s="103">
        <f t="shared" si="94"/>
        <v>11900</v>
      </c>
      <c r="AV179" s="158" t="s">
        <v>1076</v>
      </c>
      <c r="AW179" s="156">
        <f>+AVERAGE(I179,AL179,AU179)</f>
        <v>11115.5</v>
      </c>
      <c r="AX179" s="121">
        <f t="shared" si="90"/>
        <v>11116</v>
      </c>
      <c r="AY179" s="163" t="s">
        <v>1085</v>
      </c>
      <c r="AZ179" s="160">
        <v>1</v>
      </c>
      <c r="BA179" s="138">
        <v>0</v>
      </c>
      <c r="BB179" s="138">
        <v>0</v>
      </c>
      <c r="BC179" s="139">
        <f t="shared" si="93"/>
        <v>1</v>
      </c>
      <c r="BD179" s="140">
        <f t="shared" si="69"/>
        <v>11116</v>
      </c>
    </row>
    <row r="180" spans="1:56" s="125" customFormat="1" ht="24" customHeight="1" x14ac:dyDescent="0.2">
      <c r="A180" s="150">
        <v>17</v>
      </c>
      <c r="B180" s="148">
        <v>177</v>
      </c>
      <c r="C180" s="105">
        <v>42142523</v>
      </c>
      <c r="D180" s="106" t="s">
        <v>324</v>
      </c>
      <c r="E180" s="105" t="s">
        <v>757</v>
      </c>
      <c r="F180" s="107" t="s">
        <v>558</v>
      </c>
      <c r="G180" s="145">
        <f>131*100</f>
        <v>13100</v>
      </c>
      <c r="H180" s="145" t="s">
        <v>978</v>
      </c>
      <c r="I180" s="145">
        <f t="shared" si="92"/>
        <v>13100</v>
      </c>
      <c r="J180" s="104" t="s">
        <v>978</v>
      </c>
      <c r="K180" s="104" t="s">
        <v>978</v>
      </c>
      <c r="L180" s="104" t="s">
        <v>978</v>
      </c>
      <c r="M180" s="104" t="s">
        <v>978</v>
      </c>
      <c r="N180" s="104" t="s">
        <v>978</v>
      </c>
      <c r="O180" s="104" t="s">
        <v>978</v>
      </c>
      <c r="P180" s="104" t="s">
        <v>978</v>
      </c>
      <c r="Q180" s="104" t="s">
        <v>1012</v>
      </c>
      <c r="R180" s="104" t="s">
        <v>978</v>
      </c>
      <c r="S180" s="104" t="s">
        <v>978</v>
      </c>
      <c r="T180" s="104" t="s">
        <v>978</v>
      </c>
      <c r="U180" s="104" t="s">
        <v>978</v>
      </c>
      <c r="V180" s="104" t="s">
        <v>978</v>
      </c>
      <c r="W180" s="104" t="s">
        <v>978</v>
      </c>
      <c r="X180" s="104" t="s">
        <v>978</v>
      </c>
      <c r="Y180" s="104" t="s">
        <v>978</v>
      </c>
      <c r="Z180" s="104" t="s">
        <v>978</v>
      </c>
      <c r="AA180" s="104" t="s">
        <v>978</v>
      </c>
      <c r="AB180" s="104" t="s">
        <v>978</v>
      </c>
      <c r="AC180" s="104" t="s">
        <v>978</v>
      </c>
      <c r="AD180" s="104" t="s">
        <v>978</v>
      </c>
      <c r="AE180" s="104" t="s">
        <v>978</v>
      </c>
      <c r="AF180" s="104" t="s">
        <v>978</v>
      </c>
      <c r="AG180" s="104" t="s">
        <v>978</v>
      </c>
      <c r="AH180" s="104" t="s">
        <v>978</v>
      </c>
      <c r="AI180" s="104" t="s">
        <v>978</v>
      </c>
      <c r="AJ180" s="104" t="s">
        <v>978</v>
      </c>
      <c r="AK180" s="104" t="s">
        <v>978</v>
      </c>
      <c r="AL180" s="104" t="s">
        <v>978</v>
      </c>
      <c r="AM180" s="120">
        <v>24700</v>
      </c>
      <c r="AN180" s="103">
        <v>41470</v>
      </c>
      <c r="AO180" s="103" t="s">
        <v>974</v>
      </c>
      <c r="AP180" s="103">
        <v>100</v>
      </c>
      <c r="AQ180" s="103">
        <v>11900</v>
      </c>
      <c r="AR180" s="103" t="s">
        <v>974</v>
      </c>
      <c r="AS180" s="103" t="s">
        <v>974</v>
      </c>
      <c r="AT180" s="103" t="s">
        <v>974</v>
      </c>
      <c r="AU180" s="103">
        <f t="shared" si="94"/>
        <v>11900</v>
      </c>
      <c r="AV180" s="158" t="s">
        <v>1076</v>
      </c>
      <c r="AW180" s="156">
        <f>+AU180</f>
        <v>11900</v>
      </c>
      <c r="AX180" s="121">
        <f t="shared" si="90"/>
        <v>11900</v>
      </c>
      <c r="AY180" s="163" t="s">
        <v>1078</v>
      </c>
      <c r="AZ180" s="160">
        <v>4</v>
      </c>
      <c r="BA180" s="138">
        <v>0</v>
      </c>
      <c r="BB180" s="138">
        <v>0</v>
      </c>
      <c r="BC180" s="139">
        <f t="shared" si="93"/>
        <v>4</v>
      </c>
      <c r="BD180" s="140">
        <f t="shared" si="69"/>
        <v>47600</v>
      </c>
    </row>
    <row r="181" spans="1:56" s="125" customFormat="1" ht="24.75" customHeight="1" x14ac:dyDescent="0.2">
      <c r="A181" s="150">
        <v>17</v>
      </c>
      <c r="B181" s="148">
        <v>178</v>
      </c>
      <c r="C181" s="105">
        <v>42142523</v>
      </c>
      <c r="D181" s="106" t="s">
        <v>683</v>
      </c>
      <c r="E181" s="105" t="s">
        <v>758</v>
      </c>
      <c r="F181" s="107" t="s">
        <v>558</v>
      </c>
      <c r="G181" s="145">
        <f>113*100</f>
        <v>11300</v>
      </c>
      <c r="H181" s="145">
        <v>9362</v>
      </c>
      <c r="I181" s="145">
        <f t="shared" si="92"/>
        <v>10331</v>
      </c>
      <c r="J181" s="104" t="s">
        <v>978</v>
      </c>
      <c r="K181" s="104" t="s">
        <v>978</v>
      </c>
      <c r="L181" s="104" t="s">
        <v>978</v>
      </c>
      <c r="M181" s="104" t="s">
        <v>978</v>
      </c>
      <c r="N181" s="104" t="s">
        <v>978</v>
      </c>
      <c r="O181" s="104" t="s">
        <v>978</v>
      </c>
      <c r="P181" s="104" t="s">
        <v>978</v>
      </c>
      <c r="Q181" s="104" t="s">
        <v>1012</v>
      </c>
      <c r="R181" s="104" t="s">
        <v>978</v>
      </c>
      <c r="S181" s="104" t="s">
        <v>978</v>
      </c>
      <c r="T181" s="104" t="s">
        <v>978</v>
      </c>
      <c r="U181" s="104" t="s">
        <v>978</v>
      </c>
      <c r="V181" s="104" t="s">
        <v>978</v>
      </c>
      <c r="W181" s="104" t="s">
        <v>978</v>
      </c>
      <c r="X181" s="104" t="s">
        <v>978</v>
      </c>
      <c r="Y181" s="104" t="s">
        <v>978</v>
      </c>
      <c r="Z181" s="104" t="s">
        <v>978</v>
      </c>
      <c r="AA181" s="104" t="s">
        <v>978</v>
      </c>
      <c r="AB181" s="104" t="s">
        <v>978</v>
      </c>
      <c r="AC181" s="104" t="s">
        <v>978</v>
      </c>
      <c r="AD181" s="104" t="s">
        <v>978</v>
      </c>
      <c r="AE181" s="104" t="s">
        <v>978</v>
      </c>
      <c r="AF181" s="104" t="s">
        <v>978</v>
      </c>
      <c r="AG181" s="104" t="s">
        <v>978</v>
      </c>
      <c r="AH181" s="104" t="s">
        <v>978</v>
      </c>
      <c r="AI181" s="104" t="s">
        <v>978</v>
      </c>
      <c r="AJ181" s="104" t="s">
        <v>978</v>
      </c>
      <c r="AK181" s="104" t="s">
        <v>978</v>
      </c>
      <c r="AL181" s="104" t="s">
        <v>978</v>
      </c>
      <c r="AM181" s="120">
        <v>24700</v>
      </c>
      <c r="AN181" s="103">
        <v>41470</v>
      </c>
      <c r="AO181" s="103" t="s">
        <v>974</v>
      </c>
      <c r="AP181" s="103">
        <v>100</v>
      </c>
      <c r="AQ181" s="103">
        <v>11900</v>
      </c>
      <c r="AR181" s="103" t="s">
        <v>974</v>
      </c>
      <c r="AS181" s="103" t="s">
        <v>974</v>
      </c>
      <c r="AT181" s="103" t="s">
        <v>974</v>
      </c>
      <c r="AU181" s="103">
        <f t="shared" si="94"/>
        <v>11900</v>
      </c>
      <c r="AV181" s="158" t="s">
        <v>1076</v>
      </c>
      <c r="AW181" s="156">
        <f>+AVERAGE(I181,AL181,AU181)</f>
        <v>11115.5</v>
      </c>
      <c r="AX181" s="121">
        <f t="shared" si="90"/>
        <v>11116</v>
      </c>
      <c r="AY181" s="163" t="s">
        <v>1079</v>
      </c>
      <c r="AZ181" s="160">
        <v>3</v>
      </c>
      <c r="BA181" s="138">
        <v>12</v>
      </c>
      <c r="BB181" s="138">
        <v>0</v>
      </c>
      <c r="BC181" s="139">
        <f t="shared" si="93"/>
        <v>15</v>
      </c>
      <c r="BD181" s="140">
        <f t="shared" si="69"/>
        <v>166740</v>
      </c>
    </row>
    <row r="182" spans="1:56" s="125" customFormat="1" ht="24" customHeight="1" x14ac:dyDescent="0.2">
      <c r="A182" s="150">
        <v>17</v>
      </c>
      <c r="B182" s="148">
        <v>179</v>
      </c>
      <c r="C182" s="105">
        <v>42142523</v>
      </c>
      <c r="D182" s="106" t="s">
        <v>325</v>
      </c>
      <c r="E182" s="105" t="s">
        <v>759</v>
      </c>
      <c r="F182" s="105" t="s">
        <v>288</v>
      </c>
      <c r="G182" s="145">
        <f>131*100</f>
        <v>13100</v>
      </c>
      <c r="H182" s="145">
        <v>9362</v>
      </c>
      <c r="I182" s="145">
        <f t="shared" si="92"/>
        <v>11231</v>
      </c>
      <c r="J182" s="104" t="s">
        <v>978</v>
      </c>
      <c r="K182" s="104" t="s">
        <v>978</v>
      </c>
      <c r="L182" s="104" t="s">
        <v>978</v>
      </c>
      <c r="M182" s="104" t="s">
        <v>978</v>
      </c>
      <c r="N182" s="104" t="s">
        <v>978</v>
      </c>
      <c r="O182" s="104" t="s">
        <v>978</v>
      </c>
      <c r="P182" s="104" t="s">
        <v>978</v>
      </c>
      <c r="Q182" s="104" t="s">
        <v>1012</v>
      </c>
      <c r="R182" s="104" t="s">
        <v>978</v>
      </c>
      <c r="S182" s="104" t="s">
        <v>978</v>
      </c>
      <c r="T182" s="104" t="s">
        <v>978</v>
      </c>
      <c r="U182" s="104" t="s">
        <v>978</v>
      </c>
      <c r="V182" s="104" t="s">
        <v>978</v>
      </c>
      <c r="W182" s="104" t="s">
        <v>978</v>
      </c>
      <c r="X182" s="104" t="s">
        <v>978</v>
      </c>
      <c r="Y182" s="104" t="s">
        <v>978</v>
      </c>
      <c r="Z182" s="104" t="s">
        <v>978</v>
      </c>
      <c r="AA182" s="104" t="s">
        <v>978</v>
      </c>
      <c r="AB182" s="104" t="s">
        <v>978</v>
      </c>
      <c r="AC182" s="104" t="s">
        <v>978</v>
      </c>
      <c r="AD182" s="104" t="s">
        <v>978</v>
      </c>
      <c r="AE182" s="104" t="s">
        <v>978</v>
      </c>
      <c r="AF182" s="104" t="s">
        <v>978</v>
      </c>
      <c r="AG182" s="104" t="s">
        <v>978</v>
      </c>
      <c r="AH182" s="104" t="s">
        <v>978</v>
      </c>
      <c r="AI182" s="104" t="s">
        <v>978</v>
      </c>
      <c r="AJ182" s="104" t="s">
        <v>978</v>
      </c>
      <c r="AK182" s="104" t="s">
        <v>978</v>
      </c>
      <c r="AL182" s="104" t="s">
        <v>978</v>
      </c>
      <c r="AM182" s="120">
        <v>24700</v>
      </c>
      <c r="AN182" s="103">
        <v>41470</v>
      </c>
      <c r="AO182" s="103" t="s">
        <v>974</v>
      </c>
      <c r="AP182" s="103">
        <v>100</v>
      </c>
      <c r="AQ182" s="103">
        <v>11900</v>
      </c>
      <c r="AR182" s="103" t="s">
        <v>974</v>
      </c>
      <c r="AS182" s="103" t="s">
        <v>974</v>
      </c>
      <c r="AT182" s="103" t="s">
        <v>974</v>
      </c>
      <c r="AU182" s="103">
        <f t="shared" si="94"/>
        <v>11900</v>
      </c>
      <c r="AV182" s="158" t="s">
        <v>1076</v>
      </c>
      <c r="AW182" s="156">
        <f>+AVERAGE(I182,AL182,AU182)</f>
        <v>11565.5</v>
      </c>
      <c r="AX182" s="121">
        <f t="shared" si="90"/>
        <v>11566</v>
      </c>
      <c r="AY182" s="163" t="s">
        <v>1079</v>
      </c>
      <c r="AZ182" s="160">
        <v>5</v>
      </c>
      <c r="BA182" s="138">
        <v>0</v>
      </c>
      <c r="BB182" s="138">
        <v>0</v>
      </c>
      <c r="BC182" s="139">
        <f t="shared" si="93"/>
        <v>5</v>
      </c>
      <c r="BD182" s="140">
        <f t="shared" si="69"/>
        <v>57830</v>
      </c>
    </row>
    <row r="183" spans="1:56" s="125" customFormat="1" ht="36.75" customHeight="1" x14ac:dyDescent="0.2">
      <c r="A183" s="150">
        <v>17</v>
      </c>
      <c r="B183" s="148">
        <v>180</v>
      </c>
      <c r="C183" s="105">
        <v>42281904</v>
      </c>
      <c r="D183" s="106" t="s">
        <v>326</v>
      </c>
      <c r="E183" s="105" t="s">
        <v>760</v>
      </c>
      <c r="F183" s="105" t="s">
        <v>288</v>
      </c>
      <c r="G183" s="145" t="s">
        <v>978</v>
      </c>
      <c r="H183" s="145" t="s">
        <v>978</v>
      </c>
      <c r="I183" s="145" t="s">
        <v>978</v>
      </c>
      <c r="J183" s="104" t="s">
        <v>978</v>
      </c>
      <c r="K183" s="104" t="s">
        <v>978</v>
      </c>
      <c r="L183" s="104" t="s">
        <v>978</v>
      </c>
      <c r="M183" s="104" t="s">
        <v>978</v>
      </c>
      <c r="N183" s="104" t="s">
        <v>978</v>
      </c>
      <c r="O183" s="104" t="s">
        <v>978</v>
      </c>
      <c r="P183" s="104" t="s">
        <v>978</v>
      </c>
      <c r="Q183" s="104" t="s">
        <v>1012</v>
      </c>
      <c r="R183" s="104" t="s">
        <v>978</v>
      </c>
      <c r="S183" s="104" t="s">
        <v>978</v>
      </c>
      <c r="T183" s="104" t="s">
        <v>978</v>
      </c>
      <c r="U183" s="104" t="s">
        <v>978</v>
      </c>
      <c r="V183" s="104" t="s">
        <v>978</v>
      </c>
      <c r="W183" s="104" t="s">
        <v>978</v>
      </c>
      <c r="X183" s="104" t="s">
        <v>978</v>
      </c>
      <c r="Y183" s="104" t="s">
        <v>978</v>
      </c>
      <c r="Z183" s="104" t="s">
        <v>978</v>
      </c>
      <c r="AA183" s="104" t="s">
        <v>978</v>
      </c>
      <c r="AB183" s="104" t="s">
        <v>978</v>
      </c>
      <c r="AC183" s="104" t="s">
        <v>978</v>
      </c>
      <c r="AD183" s="104" t="s">
        <v>978</v>
      </c>
      <c r="AE183" s="104" t="s">
        <v>978</v>
      </c>
      <c r="AF183" s="104" t="s">
        <v>978</v>
      </c>
      <c r="AG183" s="104" t="s">
        <v>978</v>
      </c>
      <c r="AH183" s="104" t="s">
        <v>978</v>
      </c>
      <c r="AI183" s="104" t="s">
        <v>978</v>
      </c>
      <c r="AJ183" s="104" t="s">
        <v>978</v>
      </c>
      <c r="AK183" s="104" t="s">
        <v>978</v>
      </c>
      <c r="AL183" s="104" t="s">
        <v>978</v>
      </c>
      <c r="AM183" s="120">
        <v>29990</v>
      </c>
      <c r="AN183" s="103">
        <v>107822</v>
      </c>
      <c r="AO183" s="103">
        <v>298</v>
      </c>
      <c r="AP183" s="103">
        <v>280</v>
      </c>
      <c r="AQ183" s="103">
        <v>23800</v>
      </c>
      <c r="AR183" s="103" t="s">
        <v>974</v>
      </c>
      <c r="AS183" s="103" t="s">
        <v>974</v>
      </c>
      <c r="AT183" s="103" t="s">
        <v>974</v>
      </c>
      <c r="AU183" s="103">
        <f t="shared" si="94"/>
        <v>23800</v>
      </c>
      <c r="AV183" s="158" t="s">
        <v>1089</v>
      </c>
      <c r="AW183" s="156">
        <f>+AVERAGE(AL183,AU183)</f>
        <v>23800</v>
      </c>
      <c r="AX183" s="121">
        <f t="shared" si="90"/>
        <v>23800</v>
      </c>
      <c r="AY183" s="163" t="s">
        <v>1079</v>
      </c>
      <c r="AZ183" s="160">
        <v>22</v>
      </c>
      <c r="BA183" s="138">
        <v>3</v>
      </c>
      <c r="BB183" s="138">
        <v>0</v>
      </c>
      <c r="BC183" s="139">
        <f t="shared" si="93"/>
        <v>25</v>
      </c>
      <c r="BD183" s="140">
        <f t="shared" si="69"/>
        <v>595000</v>
      </c>
    </row>
    <row r="184" spans="1:56" s="125" customFormat="1" ht="36" customHeight="1" x14ac:dyDescent="0.2">
      <c r="A184" s="150">
        <v>17</v>
      </c>
      <c r="B184" s="148">
        <v>181</v>
      </c>
      <c r="C184" s="105">
        <v>42281904</v>
      </c>
      <c r="D184" s="106" t="s">
        <v>892</v>
      </c>
      <c r="E184" s="105" t="s">
        <v>760</v>
      </c>
      <c r="F184" s="105" t="s">
        <v>288</v>
      </c>
      <c r="G184" s="145" t="s">
        <v>978</v>
      </c>
      <c r="H184" s="145" t="s">
        <v>978</v>
      </c>
      <c r="I184" s="145" t="s">
        <v>978</v>
      </c>
      <c r="J184" s="104" t="s">
        <v>978</v>
      </c>
      <c r="K184" s="104" t="s">
        <v>978</v>
      </c>
      <c r="L184" s="104" t="s">
        <v>978</v>
      </c>
      <c r="M184" s="104" t="s">
        <v>978</v>
      </c>
      <c r="N184" s="104" t="s">
        <v>978</v>
      </c>
      <c r="O184" s="104" t="s">
        <v>978</v>
      </c>
      <c r="P184" s="104" t="s">
        <v>978</v>
      </c>
      <c r="Q184" s="104" t="s">
        <v>1012</v>
      </c>
      <c r="R184" s="104" t="s">
        <v>978</v>
      </c>
      <c r="S184" s="104" t="s">
        <v>978</v>
      </c>
      <c r="T184" s="104" t="s">
        <v>978</v>
      </c>
      <c r="U184" s="104" t="s">
        <v>978</v>
      </c>
      <c r="V184" s="104" t="s">
        <v>978</v>
      </c>
      <c r="W184" s="104" t="s">
        <v>978</v>
      </c>
      <c r="X184" s="104" t="s">
        <v>978</v>
      </c>
      <c r="Y184" s="104" t="s">
        <v>978</v>
      </c>
      <c r="Z184" s="104" t="s">
        <v>978</v>
      </c>
      <c r="AA184" s="104" t="s">
        <v>978</v>
      </c>
      <c r="AB184" s="104">
        <v>23134</v>
      </c>
      <c r="AC184" s="104">
        <f>AB184*(1+5.1%)</f>
        <v>24313.833999999999</v>
      </c>
      <c r="AD184" s="104" t="s">
        <v>978</v>
      </c>
      <c r="AE184" s="104" t="s">
        <v>978</v>
      </c>
      <c r="AF184" s="104" t="s">
        <v>978</v>
      </c>
      <c r="AG184" s="104" t="s">
        <v>978</v>
      </c>
      <c r="AH184" s="104">
        <v>21038</v>
      </c>
      <c r="AI184" s="104">
        <f>AH184*(1+5.1%)</f>
        <v>22110.937999999998</v>
      </c>
      <c r="AJ184" s="104" t="s">
        <v>978</v>
      </c>
      <c r="AK184" s="104" t="s">
        <v>978</v>
      </c>
      <c r="AL184" s="104">
        <f>+AVERAGE(K184,M184,O184,Q184,S184,U184,W184,Y184,AA184,AC184,AE184,AG184,AI184,AK184)</f>
        <v>23212.385999999999</v>
      </c>
      <c r="AM184" s="120">
        <v>30000</v>
      </c>
      <c r="AN184" s="103">
        <v>45760</v>
      </c>
      <c r="AO184" s="103">
        <v>359</v>
      </c>
      <c r="AP184" s="103">
        <v>250</v>
      </c>
      <c r="AQ184" s="103">
        <v>23800</v>
      </c>
      <c r="AR184" s="103" t="s">
        <v>974</v>
      </c>
      <c r="AS184" s="103" t="s">
        <v>974</v>
      </c>
      <c r="AT184" s="103" t="s">
        <v>974</v>
      </c>
      <c r="AU184" s="103">
        <f t="shared" si="94"/>
        <v>23800</v>
      </c>
      <c r="AV184" s="158" t="s">
        <v>1089</v>
      </c>
      <c r="AW184" s="156">
        <f>+AVERAGE(I184,AL184,AU184)</f>
        <v>23506.192999999999</v>
      </c>
      <c r="AX184" s="121">
        <f t="shared" si="90"/>
        <v>23506</v>
      </c>
      <c r="AY184" s="163" t="s">
        <v>1079</v>
      </c>
      <c r="AZ184" s="160">
        <v>16</v>
      </c>
      <c r="BA184" s="138">
        <v>145</v>
      </c>
      <c r="BB184" s="138">
        <v>0</v>
      </c>
      <c r="BC184" s="139">
        <f t="shared" si="93"/>
        <v>161</v>
      </c>
      <c r="BD184" s="140">
        <f t="shared" si="69"/>
        <v>3784466</v>
      </c>
    </row>
    <row r="185" spans="1:56" s="125" customFormat="1" ht="36.75" customHeight="1" x14ac:dyDescent="0.2">
      <c r="A185" s="150">
        <v>17</v>
      </c>
      <c r="B185" s="148">
        <v>182</v>
      </c>
      <c r="C185" s="105">
        <v>14111800</v>
      </c>
      <c r="D185" s="106" t="s">
        <v>893</v>
      </c>
      <c r="E185" s="105" t="s">
        <v>760</v>
      </c>
      <c r="F185" s="105" t="s">
        <v>288</v>
      </c>
      <c r="G185" s="145" t="s">
        <v>978</v>
      </c>
      <c r="H185" s="145" t="s">
        <v>978</v>
      </c>
      <c r="I185" s="145" t="s">
        <v>978</v>
      </c>
      <c r="J185" s="104" t="s">
        <v>978</v>
      </c>
      <c r="K185" s="104" t="s">
        <v>978</v>
      </c>
      <c r="L185" s="104" t="s">
        <v>978</v>
      </c>
      <c r="M185" s="104" t="s">
        <v>978</v>
      </c>
      <c r="N185" s="104" t="s">
        <v>978</v>
      </c>
      <c r="O185" s="104" t="s">
        <v>978</v>
      </c>
      <c r="P185" s="104" t="s">
        <v>978</v>
      </c>
      <c r="Q185" s="104" t="s">
        <v>1012</v>
      </c>
      <c r="R185" s="104" t="s">
        <v>978</v>
      </c>
      <c r="S185" s="104" t="s">
        <v>978</v>
      </c>
      <c r="T185" s="104" t="s">
        <v>978</v>
      </c>
      <c r="U185" s="104" t="s">
        <v>978</v>
      </c>
      <c r="V185" s="104" t="s">
        <v>978</v>
      </c>
      <c r="W185" s="104" t="s">
        <v>978</v>
      </c>
      <c r="X185" s="104" t="s">
        <v>978</v>
      </c>
      <c r="Y185" s="104" t="s">
        <v>978</v>
      </c>
      <c r="Z185" s="104" t="s">
        <v>978</v>
      </c>
      <c r="AA185" s="104" t="s">
        <v>978</v>
      </c>
      <c r="AB185" s="104" t="s">
        <v>978</v>
      </c>
      <c r="AC185" s="104" t="s">
        <v>978</v>
      </c>
      <c r="AD185" s="104" t="s">
        <v>978</v>
      </c>
      <c r="AE185" s="104" t="s">
        <v>978</v>
      </c>
      <c r="AF185" s="104" t="s">
        <v>978</v>
      </c>
      <c r="AG185" s="104" t="s">
        <v>978</v>
      </c>
      <c r="AH185" s="104" t="s">
        <v>978</v>
      </c>
      <c r="AI185" s="104" t="s">
        <v>978</v>
      </c>
      <c r="AJ185" s="104" t="s">
        <v>978</v>
      </c>
      <c r="AK185" s="104" t="s">
        <v>978</v>
      </c>
      <c r="AL185" s="104" t="s">
        <v>978</v>
      </c>
      <c r="AM185" s="120">
        <v>30000</v>
      </c>
      <c r="AN185" s="103">
        <v>45760</v>
      </c>
      <c r="AO185" s="103">
        <v>358.98333333333335</v>
      </c>
      <c r="AP185" s="103">
        <v>250</v>
      </c>
      <c r="AQ185" s="103">
        <v>23800</v>
      </c>
      <c r="AR185" s="103" t="s">
        <v>974</v>
      </c>
      <c r="AS185" s="103" t="s">
        <v>974</v>
      </c>
      <c r="AT185" s="103" t="s">
        <v>974</v>
      </c>
      <c r="AU185" s="103">
        <f t="shared" si="94"/>
        <v>23800</v>
      </c>
      <c r="AV185" s="158" t="s">
        <v>1089</v>
      </c>
      <c r="AW185" s="156">
        <f>+AVERAGE(AL185,AU185)</f>
        <v>23800</v>
      </c>
      <c r="AX185" s="121">
        <f t="shared" si="90"/>
        <v>23800</v>
      </c>
      <c r="AY185" s="163" t="s">
        <v>1079</v>
      </c>
      <c r="AZ185" s="160">
        <v>4</v>
      </c>
      <c r="BA185" s="138">
        <v>145</v>
      </c>
      <c r="BB185" s="138">
        <v>0</v>
      </c>
      <c r="BC185" s="139">
        <f t="shared" si="93"/>
        <v>149</v>
      </c>
      <c r="BD185" s="140">
        <f t="shared" si="69"/>
        <v>3546200</v>
      </c>
    </row>
    <row r="186" spans="1:56" s="125" customFormat="1" ht="36" customHeight="1" x14ac:dyDescent="0.2">
      <c r="A186" s="150">
        <v>17</v>
      </c>
      <c r="B186" s="148">
        <v>183</v>
      </c>
      <c r="C186" s="105">
        <v>14111800</v>
      </c>
      <c r="D186" s="106" t="s">
        <v>894</v>
      </c>
      <c r="E186" s="105" t="s">
        <v>760</v>
      </c>
      <c r="F186" s="105" t="s">
        <v>288</v>
      </c>
      <c r="G186" s="145">
        <f>289*100</f>
        <v>28900</v>
      </c>
      <c r="H186" s="145" t="s">
        <v>978</v>
      </c>
      <c r="I186" s="145">
        <f t="shared" si="92"/>
        <v>28900</v>
      </c>
      <c r="J186" s="104" t="s">
        <v>978</v>
      </c>
      <c r="K186" s="104" t="s">
        <v>978</v>
      </c>
      <c r="L186" s="104" t="s">
        <v>978</v>
      </c>
      <c r="M186" s="104" t="s">
        <v>978</v>
      </c>
      <c r="N186" s="104" t="s">
        <v>978</v>
      </c>
      <c r="O186" s="104" t="s">
        <v>978</v>
      </c>
      <c r="P186" s="104" t="s">
        <v>978</v>
      </c>
      <c r="Q186" s="104" t="s">
        <v>1012</v>
      </c>
      <c r="R186" s="104" t="s">
        <v>978</v>
      </c>
      <c r="S186" s="104" t="s">
        <v>978</v>
      </c>
      <c r="T186" s="104" t="s">
        <v>978</v>
      </c>
      <c r="U186" s="104" t="s">
        <v>978</v>
      </c>
      <c r="V186" s="104" t="s">
        <v>978</v>
      </c>
      <c r="W186" s="104" t="s">
        <v>978</v>
      </c>
      <c r="X186" s="104" t="s">
        <v>978</v>
      </c>
      <c r="Y186" s="104" t="s">
        <v>978</v>
      </c>
      <c r="Z186" s="104" t="s">
        <v>978</v>
      </c>
      <c r="AA186" s="104" t="s">
        <v>978</v>
      </c>
      <c r="AB186" s="104">
        <v>11900</v>
      </c>
      <c r="AC186" s="104">
        <f>AB186*(1+5.1%)</f>
        <v>12506.9</v>
      </c>
      <c r="AD186" s="104" t="s">
        <v>978</v>
      </c>
      <c r="AE186" s="104" t="s">
        <v>978</v>
      </c>
      <c r="AF186" s="104" t="s">
        <v>978</v>
      </c>
      <c r="AG186" s="104" t="s">
        <v>978</v>
      </c>
      <c r="AH186" s="104">
        <v>20875</v>
      </c>
      <c r="AI186" s="104">
        <f>AH186*(1+5.1%)</f>
        <v>21939.625</v>
      </c>
      <c r="AJ186" s="104" t="s">
        <v>978</v>
      </c>
      <c r="AK186" s="104" t="s">
        <v>978</v>
      </c>
      <c r="AL186" s="104">
        <f>+AVERAGE(K186,M186,O186,Q186,S186,U186,W186,Y186,AA186,AC186,AE186,AG186,AI186,AK186)</f>
        <v>17223.262500000001</v>
      </c>
      <c r="AM186" s="120">
        <v>26100</v>
      </c>
      <c r="AN186" s="103">
        <v>51480</v>
      </c>
      <c r="AO186" s="103">
        <v>307.41666666666674</v>
      </c>
      <c r="AP186" s="103">
        <v>250</v>
      </c>
      <c r="AQ186" s="103">
        <v>23800</v>
      </c>
      <c r="AR186" s="103" t="s">
        <v>974</v>
      </c>
      <c r="AS186" s="103" t="s">
        <v>974</v>
      </c>
      <c r="AT186" s="103" t="s">
        <v>974</v>
      </c>
      <c r="AU186" s="103">
        <f t="shared" si="94"/>
        <v>23800</v>
      </c>
      <c r="AV186" s="158" t="s">
        <v>1089</v>
      </c>
      <c r="AW186" s="156">
        <f>+AVERAGE(AL186,AU186)</f>
        <v>20511.631249999999</v>
      </c>
      <c r="AX186" s="121">
        <f t="shared" si="90"/>
        <v>20512</v>
      </c>
      <c r="AY186" s="163" t="s">
        <v>1084</v>
      </c>
      <c r="AZ186" s="160">
        <v>0</v>
      </c>
      <c r="BA186" s="138">
        <v>36</v>
      </c>
      <c r="BB186" s="138">
        <v>0</v>
      </c>
      <c r="BC186" s="139">
        <f>+BA186+BB186</f>
        <v>36</v>
      </c>
      <c r="BD186" s="140">
        <f t="shared" si="69"/>
        <v>738432</v>
      </c>
    </row>
    <row r="187" spans="1:56" s="125" customFormat="1" ht="36" customHeight="1" x14ac:dyDescent="0.2">
      <c r="A187" s="150">
        <v>17</v>
      </c>
      <c r="B187" s="148">
        <v>184</v>
      </c>
      <c r="C187" s="105">
        <v>14111800</v>
      </c>
      <c r="D187" s="106" t="s">
        <v>327</v>
      </c>
      <c r="E187" s="105" t="s">
        <v>760</v>
      </c>
      <c r="F187" s="105" t="s">
        <v>435</v>
      </c>
      <c r="G187" s="145">
        <f>724*25</f>
        <v>18100</v>
      </c>
      <c r="H187" s="145" t="s">
        <v>978</v>
      </c>
      <c r="I187" s="145">
        <f>+AVERAGE(G187:H187)</f>
        <v>18100</v>
      </c>
      <c r="J187" s="104" t="s">
        <v>978</v>
      </c>
      <c r="K187" s="104" t="s">
        <v>978</v>
      </c>
      <c r="L187" s="104" t="s">
        <v>978</v>
      </c>
      <c r="M187" s="104" t="s">
        <v>978</v>
      </c>
      <c r="N187" s="104" t="s">
        <v>978</v>
      </c>
      <c r="O187" s="104" t="s">
        <v>978</v>
      </c>
      <c r="P187" s="104" t="s">
        <v>978</v>
      </c>
      <c r="Q187" s="104" t="s">
        <v>1012</v>
      </c>
      <c r="R187" s="104" t="s">
        <v>978</v>
      </c>
      <c r="S187" s="104" t="s">
        <v>978</v>
      </c>
      <c r="T187" s="104" t="s">
        <v>978</v>
      </c>
      <c r="U187" s="104" t="s">
        <v>978</v>
      </c>
      <c r="V187" s="104" t="s">
        <v>978</v>
      </c>
      <c r="W187" s="104" t="s">
        <v>978</v>
      </c>
      <c r="X187" s="104" t="s">
        <v>978</v>
      </c>
      <c r="Y187" s="104" t="s">
        <v>978</v>
      </c>
      <c r="Z187" s="104" t="s">
        <v>978</v>
      </c>
      <c r="AA187" s="104" t="s">
        <v>978</v>
      </c>
      <c r="AB187" s="104">
        <f>62260/2</f>
        <v>31130</v>
      </c>
      <c r="AC187" s="104">
        <f>AB187*(1+5.1%)</f>
        <v>32717.629999999997</v>
      </c>
      <c r="AD187" s="104" t="s">
        <v>978</v>
      </c>
      <c r="AE187" s="104" t="s">
        <v>978</v>
      </c>
      <c r="AF187" s="104" t="s">
        <v>978</v>
      </c>
      <c r="AG187" s="104" t="s">
        <v>978</v>
      </c>
      <c r="AH187" s="104">
        <v>12202</v>
      </c>
      <c r="AI187" s="104">
        <f>AH187*(1+5.1%)</f>
        <v>12824.302</v>
      </c>
      <c r="AJ187" s="104" t="s">
        <v>978</v>
      </c>
      <c r="AK187" s="104" t="s">
        <v>978</v>
      </c>
      <c r="AL187" s="104">
        <f>+AVERAGE(K187,M187,O187,Q187,S187,U187,W187,Y187,AA187,AC187,AE187,AG187,AI187,AK187)</f>
        <v>22770.966</v>
      </c>
      <c r="AM187" s="120">
        <v>43200</v>
      </c>
      <c r="AN187" s="103">
        <f>62920/2</f>
        <v>31460</v>
      </c>
      <c r="AO187" s="103">
        <f>834.983333333333*25</f>
        <v>20874.583333333325</v>
      </c>
      <c r="AP187" s="103">
        <f>600*25</f>
        <v>15000</v>
      </c>
      <c r="AQ187" s="103">
        <f>33320/2</f>
        <v>16660</v>
      </c>
      <c r="AR187" s="103" t="s">
        <v>974</v>
      </c>
      <c r="AS187" s="103" t="s">
        <v>974</v>
      </c>
      <c r="AT187" s="103" t="s">
        <v>974</v>
      </c>
      <c r="AU187" s="103">
        <f t="shared" si="94"/>
        <v>16660</v>
      </c>
      <c r="AV187" s="158"/>
      <c r="AW187" s="156">
        <f>+AU187</f>
        <v>16660</v>
      </c>
      <c r="AX187" s="121">
        <f t="shared" si="90"/>
        <v>16660</v>
      </c>
      <c r="AY187" s="163" t="s">
        <v>1078</v>
      </c>
      <c r="AZ187" s="160">
        <v>16</v>
      </c>
      <c r="BA187" s="138">
        <v>1</v>
      </c>
      <c r="BB187" s="138">
        <v>0</v>
      </c>
      <c r="BC187" s="139">
        <f>+AZ187+BA187+BB187</f>
        <v>17</v>
      </c>
      <c r="BD187" s="140">
        <f t="shared" si="69"/>
        <v>283220</v>
      </c>
    </row>
    <row r="188" spans="1:56" s="125" customFormat="1" ht="36.75" customHeight="1" x14ac:dyDescent="0.2">
      <c r="A188" s="150">
        <v>17</v>
      </c>
      <c r="B188" s="148">
        <v>185</v>
      </c>
      <c r="C188" s="105">
        <v>14111800</v>
      </c>
      <c r="D188" s="106" t="s">
        <v>328</v>
      </c>
      <c r="E188" s="105" t="s">
        <v>760</v>
      </c>
      <c r="F188" s="105" t="s">
        <v>435</v>
      </c>
      <c r="G188" s="145">
        <f>144725</f>
        <v>144725</v>
      </c>
      <c r="H188" s="145" t="s">
        <v>978</v>
      </c>
      <c r="I188" s="145">
        <f>+AVERAGE(G188:H188)</f>
        <v>144725</v>
      </c>
      <c r="J188" s="104" t="s">
        <v>978</v>
      </c>
      <c r="K188" s="104" t="s">
        <v>978</v>
      </c>
      <c r="L188" s="104" t="s">
        <v>978</v>
      </c>
      <c r="M188" s="104" t="s">
        <v>978</v>
      </c>
      <c r="N188" s="104" t="s">
        <v>978</v>
      </c>
      <c r="O188" s="104" t="s">
        <v>978</v>
      </c>
      <c r="P188" s="104" t="s">
        <v>978</v>
      </c>
      <c r="Q188" s="104" t="s">
        <v>1012</v>
      </c>
      <c r="R188" s="104" t="s">
        <v>978</v>
      </c>
      <c r="S188" s="104" t="s">
        <v>978</v>
      </c>
      <c r="T188" s="104" t="s">
        <v>978</v>
      </c>
      <c r="U188" s="104" t="s">
        <v>978</v>
      </c>
      <c r="V188" s="104" t="s">
        <v>978</v>
      </c>
      <c r="W188" s="104" t="s">
        <v>978</v>
      </c>
      <c r="X188" s="104" t="s">
        <v>978</v>
      </c>
      <c r="Y188" s="104" t="s">
        <v>978</v>
      </c>
      <c r="Z188" s="104" t="s">
        <v>978</v>
      </c>
      <c r="AA188" s="104" t="s">
        <v>978</v>
      </c>
      <c r="AB188" s="104" t="s">
        <v>978</v>
      </c>
      <c r="AC188" s="104" t="s">
        <v>978</v>
      </c>
      <c r="AD188" s="104" t="s">
        <v>978</v>
      </c>
      <c r="AE188" s="104" t="s">
        <v>978</v>
      </c>
      <c r="AF188" s="104" t="s">
        <v>978</v>
      </c>
      <c r="AG188" s="104" t="s">
        <v>978</v>
      </c>
      <c r="AH188" s="104" t="s">
        <v>978</v>
      </c>
      <c r="AI188" s="104" t="s">
        <v>978</v>
      </c>
      <c r="AJ188" s="104" t="s">
        <v>978</v>
      </c>
      <c r="AK188" s="104" t="s">
        <v>978</v>
      </c>
      <c r="AL188" s="104" t="s">
        <v>978</v>
      </c>
      <c r="AM188" s="120">
        <v>40126</v>
      </c>
      <c r="AN188" s="103">
        <f>54340/2</f>
        <v>27170</v>
      </c>
      <c r="AO188" s="103" t="s">
        <v>974</v>
      </c>
      <c r="AP188" s="103">
        <f>2000*25</f>
        <v>50000</v>
      </c>
      <c r="AQ188" s="103">
        <v>33320</v>
      </c>
      <c r="AR188" s="103" t="s">
        <v>974</v>
      </c>
      <c r="AS188" s="103" t="s">
        <v>974</v>
      </c>
      <c r="AT188" s="103" t="s">
        <v>974</v>
      </c>
      <c r="AU188" s="103">
        <f>+MIN(AN188,AR188,AS188,AT188)</f>
        <v>27170</v>
      </c>
      <c r="AV188" s="158"/>
      <c r="AW188" s="156">
        <f>+AVERAGE(AL188,AU188)</f>
        <v>27170</v>
      </c>
      <c r="AX188" s="121">
        <f t="shared" si="90"/>
        <v>27170</v>
      </c>
      <c r="AY188" s="163" t="s">
        <v>1078</v>
      </c>
      <c r="AZ188" s="160">
        <v>0</v>
      </c>
      <c r="BA188" s="138">
        <v>1</v>
      </c>
      <c r="BB188" s="138">
        <v>0</v>
      </c>
      <c r="BC188" s="139">
        <f>+BA188+BB188</f>
        <v>1</v>
      </c>
      <c r="BD188" s="140">
        <f t="shared" si="69"/>
        <v>27170</v>
      </c>
    </row>
    <row r="189" spans="1:56" s="125" customFormat="1" ht="36" customHeight="1" x14ac:dyDescent="0.2">
      <c r="A189" s="150">
        <v>17</v>
      </c>
      <c r="B189" s="148">
        <v>186</v>
      </c>
      <c r="C189" s="105">
        <v>14111800</v>
      </c>
      <c r="D189" s="106" t="s">
        <v>329</v>
      </c>
      <c r="E189" s="105" t="s">
        <v>760</v>
      </c>
      <c r="F189" s="107" t="s">
        <v>435</v>
      </c>
      <c r="G189" s="145" t="s">
        <v>978</v>
      </c>
      <c r="H189" s="145" t="s">
        <v>978</v>
      </c>
      <c r="I189" s="145" t="s">
        <v>978</v>
      </c>
      <c r="J189" s="104">
        <v>22323</v>
      </c>
      <c r="K189" s="104">
        <f>J189*(1+5.2%)*(1+5.1%)</f>
        <v>24681.469595999999</v>
      </c>
      <c r="L189" s="104" t="s">
        <v>978</v>
      </c>
      <c r="M189" s="104" t="s">
        <v>978</v>
      </c>
      <c r="N189" s="104" t="s">
        <v>978</v>
      </c>
      <c r="O189" s="104" t="s">
        <v>978</v>
      </c>
      <c r="P189" s="104" t="s">
        <v>978</v>
      </c>
      <c r="Q189" s="104" t="s">
        <v>1012</v>
      </c>
      <c r="R189" s="104" t="s">
        <v>978</v>
      </c>
      <c r="S189" s="104" t="s">
        <v>978</v>
      </c>
      <c r="T189" s="104" t="s">
        <v>978</v>
      </c>
      <c r="U189" s="104" t="s">
        <v>978</v>
      </c>
      <c r="V189" s="104" t="s">
        <v>978</v>
      </c>
      <c r="W189" s="104" t="s">
        <v>978</v>
      </c>
      <c r="X189" s="104" t="s">
        <v>978</v>
      </c>
      <c r="Y189" s="104" t="s">
        <v>978</v>
      </c>
      <c r="Z189" s="104" t="s">
        <v>978</v>
      </c>
      <c r="AA189" s="104" t="s">
        <v>978</v>
      </c>
      <c r="AB189" s="104">
        <v>84255</v>
      </c>
      <c r="AC189" s="104">
        <f>AB189*(1+5.1%)</f>
        <v>88552.00499999999</v>
      </c>
      <c r="AD189" s="104" t="s">
        <v>978</v>
      </c>
      <c r="AE189" s="104" t="s">
        <v>978</v>
      </c>
      <c r="AF189" s="104">
        <v>27342</v>
      </c>
      <c r="AG189" s="104">
        <f>AF189*(1+5.1%)</f>
        <v>28736.441999999999</v>
      </c>
      <c r="AH189" s="104">
        <v>36521</v>
      </c>
      <c r="AI189" s="104">
        <f>AH189*(1+5.1%)</f>
        <v>38383.570999999996</v>
      </c>
      <c r="AJ189" s="104" t="s">
        <v>978</v>
      </c>
      <c r="AK189" s="104" t="s">
        <v>978</v>
      </c>
      <c r="AL189" s="104">
        <f>+AVERAGE(K189,M189,O189,Q189,S189,U189,W189,Y189,AA189,AC189,AE189,AG189,AI189,AK189)</f>
        <v>45088.371898999998</v>
      </c>
      <c r="AM189" s="120">
        <v>38000</v>
      </c>
      <c r="AN189" s="103">
        <v>67300</v>
      </c>
      <c r="AO189" s="103" t="s">
        <v>974</v>
      </c>
      <c r="AP189" s="103">
        <v>2000</v>
      </c>
      <c r="AQ189" s="103">
        <v>33320</v>
      </c>
      <c r="AR189" s="103">
        <v>41650</v>
      </c>
      <c r="AS189" s="103">
        <v>37779.129999999997</v>
      </c>
      <c r="AT189" s="103">
        <v>1180</v>
      </c>
      <c r="AU189" s="103">
        <f>+MIN(AN189,AQ189,AR189,AS189)</f>
        <v>33320</v>
      </c>
      <c r="AV189" s="158" t="s">
        <v>1088</v>
      </c>
      <c r="AW189" s="156">
        <f>+AU189</f>
        <v>33320</v>
      </c>
      <c r="AX189" s="121">
        <f t="shared" ref="AX189:AX194" si="95">+ROUND(AW189,0)</f>
        <v>33320</v>
      </c>
      <c r="AY189" s="163" t="s">
        <v>1078</v>
      </c>
      <c r="AZ189" s="160">
        <v>0</v>
      </c>
      <c r="BA189" s="138">
        <v>2</v>
      </c>
      <c r="BB189" s="138">
        <v>0</v>
      </c>
      <c r="BC189" s="139">
        <f>+BA189+BB189</f>
        <v>2</v>
      </c>
      <c r="BD189" s="140">
        <f t="shared" si="69"/>
        <v>66640</v>
      </c>
    </row>
    <row r="190" spans="1:56" s="125" customFormat="1" ht="24" customHeight="1" x14ac:dyDescent="0.2">
      <c r="A190" s="150">
        <v>17</v>
      </c>
      <c r="B190" s="148">
        <v>187</v>
      </c>
      <c r="C190" s="105">
        <v>14111800</v>
      </c>
      <c r="D190" s="106" t="s">
        <v>330</v>
      </c>
      <c r="E190" s="105" t="s">
        <v>761</v>
      </c>
      <c r="F190" s="107" t="s">
        <v>559</v>
      </c>
      <c r="G190" s="145" t="s">
        <v>978</v>
      </c>
      <c r="H190" s="145" t="s">
        <v>978</v>
      </c>
      <c r="I190" s="145" t="s">
        <v>978</v>
      </c>
      <c r="J190" s="104" t="s">
        <v>978</v>
      </c>
      <c r="K190" s="104" t="s">
        <v>978</v>
      </c>
      <c r="L190" s="104" t="s">
        <v>978</v>
      </c>
      <c r="M190" s="104" t="s">
        <v>978</v>
      </c>
      <c r="N190" s="104" t="s">
        <v>978</v>
      </c>
      <c r="O190" s="104" t="s">
        <v>978</v>
      </c>
      <c r="P190" s="104" t="s">
        <v>978</v>
      </c>
      <c r="Q190" s="104" t="s">
        <v>1012</v>
      </c>
      <c r="R190" s="104" t="s">
        <v>978</v>
      </c>
      <c r="S190" s="104" t="s">
        <v>978</v>
      </c>
      <c r="T190" s="104" t="s">
        <v>978</v>
      </c>
      <c r="U190" s="104" t="s">
        <v>978</v>
      </c>
      <c r="V190" s="104" t="s">
        <v>978</v>
      </c>
      <c r="W190" s="104" t="s">
        <v>978</v>
      </c>
      <c r="X190" s="104" t="s">
        <v>978</v>
      </c>
      <c r="Y190" s="104" t="s">
        <v>978</v>
      </c>
      <c r="Z190" s="104" t="s">
        <v>978</v>
      </c>
      <c r="AA190" s="104" t="s">
        <v>978</v>
      </c>
      <c r="AB190" s="104" t="s">
        <v>978</v>
      </c>
      <c r="AC190" s="104" t="s">
        <v>978</v>
      </c>
      <c r="AD190" s="104" t="s">
        <v>978</v>
      </c>
      <c r="AE190" s="104" t="s">
        <v>978</v>
      </c>
      <c r="AF190" s="104" t="s">
        <v>978</v>
      </c>
      <c r="AG190" s="104" t="s">
        <v>978</v>
      </c>
      <c r="AH190" s="104" t="s">
        <v>978</v>
      </c>
      <c r="AI190" s="104" t="s">
        <v>978</v>
      </c>
      <c r="AJ190" s="104" t="s">
        <v>978</v>
      </c>
      <c r="AK190" s="104" t="s">
        <v>978</v>
      </c>
      <c r="AL190" s="104" t="s">
        <v>978</v>
      </c>
      <c r="AM190" s="120" t="s">
        <v>978</v>
      </c>
      <c r="AN190" s="103">
        <f>300300/2</f>
        <v>150150</v>
      </c>
      <c r="AO190" s="103" t="s">
        <v>974</v>
      </c>
      <c r="AP190" s="103" t="s">
        <v>974</v>
      </c>
      <c r="AQ190" s="103">
        <f>535500/2</f>
        <v>267750</v>
      </c>
      <c r="AR190" s="103" t="s">
        <v>974</v>
      </c>
      <c r="AS190" s="103" t="s">
        <v>974</v>
      </c>
      <c r="AT190" s="103" t="s">
        <v>974</v>
      </c>
      <c r="AU190" s="103">
        <f>+MIN(AN190:AT190)</f>
        <v>150150</v>
      </c>
      <c r="AV190" s="158"/>
      <c r="AW190" s="156">
        <f>+AVERAGE(AL190,AU190)</f>
        <v>150150</v>
      </c>
      <c r="AX190" s="121">
        <f t="shared" si="95"/>
        <v>150150</v>
      </c>
      <c r="AY190" s="163" t="s">
        <v>1073</v>
      </c>
      <c r="AZ190" s="160">
        <v>12</v>
      </c>
      <c r="BA190" s="138">
        <v>0</v>
      </c>
      <c r="BB190" s="138">
        <v>0</v>
      </c>
      <c r="BC190" s="139">
        <f t="shared" ref="BC190:BC195" si="96">+AZ190+BA190+BB190</f>
        <v>12</v>
      </c>
      <c r="BD190" s="140">
        <f t="shared" si="69"/>
        <v>1801800</v>
      </c>
    </row>
    <row r="191" spans="1:56" s="125" customFormat="1" ht="120.75" customHeight="1" x14ac:dyDescent="0.2">
      <c r="A191" s="150">
        <v>17</v>
      </c>
      <c r="B191" s="148">
        <v>188</v>
      </c>
      <c r="C191" s="105">
        <v>14111800</v>
      </c>
      <c r="D191" s="106" t="s">
        <v>1029</v>
      </c>
      <c r="E191" s="105" t="s">
        <v>752</v>
      </c>
      <c r="F191" s="105" t="s">
        <v>299</v>
      </c>
      <c r="G191" s="145">
        <f>4218*50</f>
        <v>210900</v>
      </c>
      <c r="H191" s="145" t="s">
        <v>978</v>
      </c>
      <c r="I191" s="145">
        <f>+AVERAGE(G191:H191)</f>
        <v>210900</v>
      </c>
      <c r="J191" s="104" t="s">
        <v>978</v>
      </c>
      <c r="K191" s="104" t="s">
        <v>978</v>
      </c>
      <c r="L191" s="104" t="s">
        <v>978</v>
      </c>
      <c r="M191" s="104" t="s">
        <v>978</v>
      </c>
      <c r="N191" s="104" t="s">
        <v>978</v>
      </c>
      <c r="O191" s="104" t="s">
        <v>978</v>
      </c>
      <c r="P191" s="104" t="s">
        <v>978</v>
      </c>
      <c r="Q191" s="104" t="s">
        <v>1012</v>
      </c>
      <c r="R191" s="104" t="s">
        <v>978</v>
      </c>
      <c r="S191" s="104" t="s">
        <v>978</v>
      </c>
      <c r="T191" s="104" t="s">
        <v>978</v>
      </c>
      <c r="U191" s="104" t="s">
        <v>978</v>
      </c>
      <c r="V191" s="104" t="s">
        <v>978</v>
      </c>
      <c r="W191" s="104" t="s">
        <v>978</v>
      </c>
      <c r="X191" s="104" t="s">
        <v>978</v>
      </c>
      <c r="Y191" s="104" t="s">
        <v>978</v>
      </c>
      <c r="Z191" s="104" t="s">
        <v>978</v>
      </c>
      <c r="AA191" s="104" t="s">
        <v>978</v>
      </c>
      <c r="AB191" s="104">
        <v>68263</v>
      </c>
      <c r="AC191" s="104">
        <f>AB191*(1+5.1%)</f>
        <v>71744.413</v>
      </c>
      <c r="AD191" s="104" t="s">
        <v>978</v>
      </c>
      <c r="AE191" s="104" t="s">
        <v>978</v>
      </c>
      <c r="AF191" s="104" t="s">
        <v>978</v>
      </c>
      <c r="AG191" s="104" t="s">
        <v>978</v>
      </c>
      <c r="AH191" s="104">
        <v>82382</v>
      </c>
      <c r="AI191" s="104">
        <f t="shared" ref="AI191:AI193" si="97">AH191*(1+5.1%)</f>
        <v>86583.481999999989</v>
      </c>
      <c r="AJ191" s="104" t="s">
        <v>978</v>
      </c>
      <c r="AK191" s="104" t="s">
        <v>978</v>
      </c>
      <c r="AL191" s="104">
        <f>+AVERAGE(K191,M191,O191,Q191,S191,U191,W191,Y191,AA191,AC191,AE191,AG191,AI191,AK191)</f>
        <v>79163.947499999995</v>
      </c>
      <c r="AM191" s="120">
        <v>66500</v>
      </c>
      <c r="AN191" s="103">
        <v>600600</v>
      </c>
      <c r="AO191" s="103" t="s">
        <v>974</v>
      </c>
      <c r="AP191" s="103">
        <v>3000</v>
      </c>
      <c r="AQ191" s="103">
        <v>200000</v>
      </c>
      <c r="AR191" s="103" t="s">
        <v>974</v>
      </c>
      <c r="AS191" s="103" t="s">
        <v>974</v>
      </c>
      <c r="AT191" s="103" t="s">
        <v>974</v>
      </c>
      <c r="AU191" s="103">
        <f>+MIN(AN191,AQ191,AR191,AS191,AT191)</f>
        <v>200000</v>
      </c>
      <c r="AV191" s="158" t="s">
        <v>1076</v>
      </c>
      <c r="AW191" s="156">
        <f>+AVERAGE(AL191,AU191,AM191)</f>
        <v>115221.31583333334</v>
      </c>
      <c r="AX191" s="121">
        <f t="shared" si="95"/>
        <v>115221</v>
      </c>
      <c r="AY191" s="163" t="s">
        <v>1074</v>
      </c>
      <c r="AZ191" s="160">
        <v>0</v>
      </c>
      <c r="BA191" s="138">
        <v>12</v>
      </c>
      <c r="BB191" s="138">
        <v>0</v>
      </c>
      <c r="BC191" s="139">
        <f t="shared" si="96"/>
        <v>12</v>
      </c>
      <c r="BD191" s="140">
        <f t="shared" si="69"/>
        <v>1382652</v>
      </c>
    </row>
    <row r="192" spans="1:56" s="125" customFormat="1" ht="168" customHeight="1" x14ac:dyDescent="0.2">
      <c r="A192" s="150">
        <v>17</v>
      </c>
      <c r="B192" s="148">
        <v>189</v>
      </c>
      <c r="C192" s="105">
        <v>14111800</v>
      </c>
      <c r="D192" s="106" t="s">
        <v>1030</v>
      </c>
      <c r="E192" s="105" t="s">
        <v>1036</v>
      </c>
      <c r="F192" s="105" t="s">
        <v>299</v>
      </c>
      <c r="G192" s="145">
        <f>4218*50</f>
        <v>210900</v>
      </c>
      <c r="H192" s="145" t="s">
        <v>978</v>
      </c>
      <c r="I192" s="145">
        <f>+AVERAGE(G192:H192)</f>
        <v>210900</v>
      </c>
      <c r="J192" s="104" t="s">
        <v>978</v>
      </c>
      <c r="K192" s="104" t="s">
        <v>978</v>
      </c>
      <c r="L192" s="104" t="s">
        <v>978</v>
      </c>
      <c r="M192" s="104" t="s">
        <v>978</v>
      </c>
      <c r="N192" s="104" t="s">
        <v>978</v>
      </c>
      <c r="O192" s="104" t="s">
        <v>978</v>
      </c>
      <c r="P192" s="104" t="s">
        <v>978</v>
      </c>
      <c r="Q192" s="104" t="s">
        <v>1012</v>
      </c>
      <c r="R192" s="104" t="s">
        <v>978</v>
      </c>
      <c r="S192" s="104" t="s">
        <v>978</v>
      </c>
      <c r="T192" s="104" t="s">
        <v>978</v>
      </c>
      <c r="U192" s="104" t="s">
        <v>978</v>
      </c>
      <c r="V192" s="104" t="s">
        <v>978</v>
      </c>
      <c r="W192" s="104" t="s">
        <v>978</v>
      </c>
      <c r="X192" s="104" t="s">
        <v>978</v>
      </c>
      <c r="Y192" s="104" t="s">
        <v>978</v>
      </c>
      <c r="Z192" s="104" t="s">
        <v>978</v>
      </c>
      <c r="AA192" s="104" t="s">
        <v>978</v>
      </c>
      <c r="AB192" s="104">
        <v>68263</v>
      </c>
      <c r="AC192" s="104">
        <f>AB192*(1+5.1%)</f>
        <v>71744.413</v>
      </c>
      <c r="AD192" s="104" t="s">
        <v>978</v>
      </c>
      <c r="AE192" s="104" t="s">
        <v>978</v>
      </c>
      <c r="AF192" s="104" t="s">
        <v>978</v>
      </c>
      <c r="AG192" s="104" t="s">
        <v>978</v>
      </c>
      <c r="AH192" s="104">
        <v>81446</v>
      </c>
      <c r="AI192" s="104">
        <f t="shared" si="97"/>
        <v>85599.745999999999</v>
      </c>
      <c r="AJ192" s="104" t="s">
        <v>978</v>
      </c>
      <c r="AK192" s="104" t="s">
        <v>978</v>
      </c>
      <c r="AL192" s="104">
        <f>+AVERAGE(K192,M192,O192,Q192,S192,U192,W192,Y192,AA192,AC192,AE192,AG192,AI192,AK192)</f>
        <v>78672.079499999993</v>
      </c>
      <c r="AM192" s="120">
        <v>66500</v>
      </c>
      <c r="AN192" s="103">
        <v>600600</v>
      </c>
      <c r="AO192" s="103" t="s">
        <v>974</v>
      </c>
      <c r="AP192" s="103">
        <v>3000</v>
      </c>
      <c r="AQ192" s="103">
        <v>200000</v>
      </c>
      <c r="AR192" s="103" t="s">
        <v>974</v>
      </c>
      <c r="AS192" s="103" t="s">
        <v>974</v>
      </c>
      <c r="AT192" s="103" t="s">
        <v>974</v>
      </c>
      <c r="AU192" s="103">
        <f>+MIN(AN192,AQ192,AR192,AS192,AT192)</f>
        <v>200000</v>
      </c>
      <c r="AV192" s="158" t="s">
        <v>1076</v>
      </c>
      <c r="AW192" s="156">
        <f>+AVERAGE(AL192,AU192,AM192)</f>
        <v>115057.35983333334</v>
      </c>
      <c r="AX192" s="121">
        <f t="shared" si="95"/>
        <v>115057</v>
      </c>
      <c r="AY192" s="163" t="s">
        <v>1074</v>
      </c>
      <c r="AZ192" s="160">
        <v>16</v>
      </c>
      <c r="BA192" s="138">
        <v>24</v>
      </c>
      <c r="BB192" s="138">
        <v>0</v>
      </c>
      <c r="BC192" s="139">
        <f t="shared" si="96"/>
        <v>40</v>
      </c>
      <c r="BD192" s="140">
        <f t="shared" si="69"/>
        <v>4602280</v>
      </c>
    </row>
    <row r="193" spans="1:56" s="125" customFormat="1" ht="168.75" customHeight="1" x14ac:dyDescent="0.2">
      <c r="A193" s="150">
        <v>17</v>
      </c>
      <c r="B193" s="148">
        <v>190</v>
      </c>
      <c r="C193" s="105">
        <v>14111800</v>
      </c>
      <c r="D193" s="106" t="s">
        <v>1032</v>
      </c>
      <c r="E193" s="105" t="s">
        <v>1036</v>
      </c>
      <c r="F193" s="105" t="s">
        <v>299</v>
      </c>
      <c r="G193" s="145">
        <f>4218*50</f>
        <v>210900</v>
      </c>
      <c r="H193" s="145" t="s">
        <v>978</v>
      </c>
      <c r="I193" s="145">
        <f>+AVERAGE(G193:H193)</f>
        <v>210900</v>
      </c>
      <c r="J193" s="104" t="s">
        <v>978</v>
      </c>
      <c r="K193" s="104" t="s">
        <v>978</v>
      </c>
      <c r="L193" s="104" t="s">
        <v>978</v>
      </c>
      <c r="M193" s="104" t="s">
        <v>978</v>
      </c>
      <c r="N193" s="104" t="s">
        <v>978</v>
      </c>
      <c r="O193" s="104" t="s">
        <v>978</v>
      </c>
      <c r="P193" s="104" t="s">
        <v>978</v>
      </c>
      <c r="Q193" s="104" t="s">
        <v>1012</v>
      </c>
      <c r="R193" s="104" t="s">
        <v>978</v>
      </c>
      <c r="S193" s="104" t="s">
        <v>978</v>
      </c>
      <c r="T193" s="104" t="s">
        <v>978</v>
      </c>
      <c r="U193" s="104" t="s">
        <v>978</v>
      </c>
      <c r="V193" s="104" t="s">
        <v>978</v>
      </c>
      <c r="W193" s="104" t="s">
        <v>978</v>
      </c>
      <c r="X193" s="104" t="s">
        <v>978</v>
      </c>
      <c r="Y193" s="104" t="s">
        <v>978</v>
      </c>
      <c r="Z193" s="104" t="s">
        <v>978</v>
      </c>
      <c r="AA193" s="104" t="s">
        <v>978</v>
      </c>
      <c r="AB193" s="104">
        <v>68263</v>
      </c>
      <c r="AC193" s="104">
        <f>AB193*(1+5.1%)</f>
        <v>71744.413</v>
      </c>
      <c r="AD193" s="104" t="s">
        <v>978</v>
      </c>
      <c r="AE193" s="104" t="s">
        <v>978</v>
      </c>
      <c r="AF193" s="104" t="s">
        <v>978</v>
      </c>
      <c r="AG193" s="104" t="s">
        <v>978</v>
      </c>
      <c r="AH193" s="104">
        <v>81446</v>
      </c>
      <c r="AI193" s="104">
        <f t="shared" si="97"/>
        <v>85599.745999999999</v>
      </c>
      <c r="AJ193" s="104" t="s">
        <v>978</v>
      </c>
      <c r="AK193" s="104" t="s">
        <v>978</v>
      </c>
      <c r="AL193" s="104">
        <f>+AVERAGE(K193,M193,O193,Q193,S193,U193,W193,Y193,AA193,AC193,AE193,AG193,AI193,AK193)</f>
        <v>78672.079499999993</v>
      </c>
      <c r="AM193" s="120">
        <v>66500</v>
      </c>
      <c r="AN193" s="103">
        <v>600600</v>
      </c>
      <c r="AO193" s="103" t="s">
        <v>974</v>
      </c>
      <c r="AP193" s="103">
        <v>3000</v>
      </c>
      <c r="AQ193" s="103">
        <v>200000</v>
      </c>
      <c r="AR193" s="103" t="s">
        <v>974</v>
      </c>
      <c r="AS193" s="103" t="s">
        <v>974</v>
      </c>
      <c r="AT193" s="103" t="s">
        <v>974</v>
      </c>
      <c r="AU193" s="103">
        <f>+MIN(AN193,AQ193,AR193,AS193,AT193)</f>
        <v>200000</v>
      </c>
      <c r="AV193" s="158" t="s">
        <v>1076</v>
      </c>
      <c r="AW193" s="156">
        <f>+AVERAGE(AL193,AU193,AM193)</f>
        <v>115057.35983333334</v>
      </c>
      <c r="AX193" s="121">
        <f t="shared" si="95"/>
        <v>115057</v>
      </c>
      <c r="AY193" s="163" t="s">
        <v>1074</v>
      </c>
      <c r="AZ193" s="160">
        <v>0</v>
      </c>
      <c r="BA193" s="138">
        <v>53</v>
      </c>
      <c r="BB193" s="138">
        <v>0</v>
      </c>
      <c r="BC193" s="139">
        <f t="shared" si="96"/>
        <v>53</v>
      </c>
      <c r="BD193" s="140">
        <f t="shared" si="69"/>
        <v>6098021</v>
      </c>
    </row>
    <row r="194" spans="1:56" s="125" customFormat="1" ht="168" customHeight="1" x14ac:dyDescent="0.2">
      <c r="A194" s="150">
        <v>17</v>
      </c>
      <c r="B194" s="148">
        <v>191</v>
      </c>
      <c r="C194" s="105">
        <v>14111800</v>
      </c>
      <c r="D194" s="111" t="s">
        <v>1031</v>
      </c>
      <c r="E194" s="146" t="s">
        <v>1056</v>
      </c>
      <c r="F194" s="111" t="s">
        <v>1057</v>
      </c>
      <c r="G194" s="145">
        <f>4218*20</f>
        <v>84360</v>
      </c>
      <c r="H194" s="145" t="s">
        <v>978</v>
      </c>
      <c r="I194" s="145">
        <f>+AVERAGE(G194:H194)</f>
        <v>84360</v>
      </c>
      <c r="J194" s="104" t="s">
        <v>978</v>
      </c>
      <c r="K194" s="104" t="s">
        <v>978</v>
      </c>
      <c r="L194" s="104" t="s">
        <v>978</v>
      </c>
      <c r="M194" s="104" t="s">
        <v>978</v>
      </c>
      <c r="N194" s="104" t="s">
        <v>978</v>
      </c>
      <c r="O194" s="104" t="s">
        <v>978</v>
      </c>
      <c r="P194" s="104" t="s">
        <v>978</v>
      </c>
      <c r="Q194" s="104" t="s">
        <v>1012</v>
      </c>
      <c r="R194" s="104" t="s">
        <v>978</v>
      </c>
      <c r="S194" s="104" t="s">
        <v>978</v>
      </c>
      <c r="T194" s="104" t="s">
        <v>978</v>
      </c>
      <c r="U194" s="104" t="s">
        <v>978</v>
      </c>
      <c r="V194" s="104" t="s">
        <v>978</v>
      </c>
      <c r="W194" s="104" t="s">
        <v>978</v>
      </c>
      <c r="X194" s="104" t="s">
        <v>978</v>
      </c>
      <c r="Y194" s="104" t="s">
        <v>978</v>
      </c>
      <c r="Z194" s="104" t="s">
        <v>978</v>
      </c>
      <c r="AA194" s="104" t="s">
        <v>978</v>
      </c>
      <c r="AB194" s="104">
        <v>68263</v>
      </c>
      <c r="AC194" s="104">
        <f>AB194*(1+5.1%)</f>
        <v>71744.413</v>
      </c>
      <c r="AD194" s="104" t="s">
        <v>978</v>
      </c>
      <c r="AE194" s="104" t="s">
        <v>978</v>
      </c>
      <c r="AF194" s="104" t="s">
        <v>978</v>
      </c>
      <c r="AG194" s="104" t="s">
        <v>978</v>
      </c>
      <c r="AH194" s="104" t="s">
        <v>978</v>
      </c>
      <c r="AI194" s="104" t="s">
        <v>978</v>
      </c>
      <c r="AJ194" s="104" t="s">
        <v>978</v>
      </c>
      <c r="AK194" s="104" t="s">
        <v>978</v>
      </c>
      <c r="AL194" s="104">
        <f>+AVERAGE(K194,M194,O194,Q194,S194,U194,W194,Y194,AA194,AC194,AE194,AG194,AI194,AK194)</f>
        <v>71744.413</v>
      </c>
      <c r="AM194" s="120">
        <v>66500</v>
      </c>
      <c r="AN194" s="103">
        <v>600600</v>
      </c>
      <c r="AO194" s="103" t="s">
        <v>974</v>
      </c>
      <c r="AP194" s="103" t="s">
        <v>974</v>
      </c>
      <c r="AQ194" s="103" t="s">
        <v>974</v>
      </c>
      <c r="AR194" s="103" t="s">
        <v>974</v>
      </c>
      <c r="AS194" s="103" t="s">
        <v>974</v>
      </c>
      <c r="AT194" s="103" t="s">
        <v>974</v>
      </c>
      <c r="AU194" s="103">
        <f>+MIN(AN194,AQ194)</f>
        <v>600600</v>
      </c>
      <c r="AV194" s="158" t="s">
        <v>1076</v>
      </c>
      <c r="AW194" s="156">
        <f>+AVERAGE(AL194,AU194,AM194)</f>
        <v>246281.47099999999</v>
      </c>
      <c r="AX194" s="121">
        <f t="shared" si="95"/>
        <v>246281</v>
      </c>
      <c r="AY194" s="163" t="s">
        <v>1074</v>
      </c>
      <c r="AZ194" s="160">
        <v>17</v>
      </c>
      <c r="BA194" s="138">
        <v>3</v>
      </c>
      <c r="BB194" s="138">
        <v>0</v>
      </c>
      <c r="BC194" s="139">
        <f t="shared" si="96"/>
        <v>20</v>
      </c>
      <c r="BD194" s="140">
        <f t="shared" si="69"/>
        <v>4925620</v>
      </c>
    </row>
    <row r="195" spans="1:56" s="125" customFormat="1" ht="36" customHeight="1" x14ac:dyDescent="0.2">
      <c r="A195" s="150">
        <v>17</v>
      </c>
      <c r="B195" s="148">
        <v>192</v>
      </c>
      <c r="C195" s="105">
        <v>14111800</v>
      </c>
      <c r="D195" s="106" t="s">
        <v>331</v>
      </c>
      <c r="E195" s="105" t="s">
        <v>895</v>
      </c>
      <c r="F195" s="107" t="s">
        <v>560</v>
      </c>
      <c r="G195" s="145" t="s">
        <v>978</v>
      </c>
      <c r="H195" s="145" t="s">
        <v>978</v>
      </c>
      <c r="I195" s="145" t="s">
        <v>978</v>
      </c>
      <c r="J195" s="104" t="s">
        <v>978</v>
      </c>
      <c r="K195" s="104" t="s">
        <v>978</v>
      </c>
      <c r="L195" s="104" t="s">
        <v>978</v>
      </c>
      <c r="M195" s="104" t="s">
        <v>978</v>
      </c>
      <c r="N195" s="104" t="s">
        <v>978</v>
      </c>
      <c r="O195" s="104" t="s">
        <v>978</v>
      </c>
      <c r="P195" s="104" t="s">
        <v>978</v>
      </c>
      <c r="Q195" s="104" t="s">
        <v>1012</v>
      </c>
      <c r="R195" s="104">
        <v>72213</v>
      </c>
      <c r="S195" s="104">
        <f t="shared" ref="S195:S203" si="98">R195*(1+5.2%)*(1+5.1%)</f>
        <v>79842.447875999991</v>
      </c>
      <c r="T195" s="104" t="s">
        <v>978</v>
      </c>
      <c r="U195" s="104" t="s">
        <v>978</v>
      </c>
      <c r="V195" s="104" t="s">
        <v>978</v>
      </c>
      <c r="W195" s="104" t="s">
        <v>978</v>
      </c>
      <c r="X195" s="104" t="s">
        <v>978</v>
      </c>
      <c r="Y195" s="104" t="s">
        <v>978</v>
      </c>
      <c r="Z195" s="104" t="s">
        <v>978</v>
      </c>
      <c r="AA195" s="104" t="s">
        <v>978</v>
      </c>
      <c r="AB195" s="104" t="s">
        <v>978</v>
      </c>
      <c r="AC195" s="104" t="s">
        <v>978</v>
      </c>
      <c r="AD195" s="104" t="s">
        <v>978</v>
      </c>
      <c r="AE195" s="104" t="s">
        <v>978</v>
      </c>
      <c r="AF195" s="104" t="s">
        <v>978</v>
      </c>
      <c r="AG195" s="104" t="s">
        <v>978</v>
      </c>
      <c r="AH195" s="104" t="s">
        <v>978</v>
      </c>
      <c r="AI195" s="104" t="s">
        <v>978</v>
      </c>
      <c r="AJ195" s="104">
        <v>41136</v>
      </c>
      <c r="AK195" s="104">
        <f t="shared" ref="AK195:AK204" si="99">AJ195*(1+5.1%)</f>
        <v>43233.935999999994</v>
      </c>
      <c r="AL195" s="104">
        <f t="shared" ref="AL195:AL204" si="100">+AVERAGE(K195,M195,O195,Q195,S195,U195,W195,Y195,AA195,AC195,AE195,AG195,AI195,AK195)</f>
        <v>61538.191937999989</v>
      </c>
      <c r="AM195" s="120" t="s">
        <v>978</v>
      </c>
      <c r="AN195" s="103">
        <v>108680</v>
      </c>
      <c r="AO195" s="103" t="s">
        <v>974</v>
      </c>
      <c r="AP195" s="103" t="s">
        <v>974</v>
      </c>
      <c r="AQ195" s="103">
        <v>71400</v>
      </c>
      <c r="AR195" s="103" t="s">
        <v>974</v>
      </c>
      <c r="AS195" s="103" t="s">
        <v>974</v>
      </c>
      <c r="AT195" s="103" t="s">
        <v>974</v>
      </c>
      <c r="AU195" s="103">
        <f t="shared" ref="AU195:AU235" si="101">+MIN(AN195:AT195)</f>
        <v>71400</v>
      </c>
      <c r="AV195" s="158"/>
      <c r="AW195" s="156">
        <f>+AVERAGE(AL195,AU195)</f>
        <v>66469.095968999987</v>
      </c>
      <c r="AX195" s="121">
        <f t="shared" ref="AX195:AX204" si="102">+ROUND(AW195,0)</f>
        <v>66469</v>
      </c>
      <c r="AY195" s="163" t="s">
        <v>1073</v>
      </c>
      <c r="AZ195" s="160">
        <v>10</v>
      </c>
      <c r="BA195" s="138">
        <v>44</v>
      </c>
      <c r="BB195" s="138">
        <v>6</v>
      </c>
      <c r="BC195" s="139">
        <f t="shared" si="96"/>
        <v>60</v>
      </c>
      <c r="BD195" s="140">
        <f t="shared" si="69"/>
        <v>3988140</v>
      </c>
    </row>
    <row r="196" spans="1:56" s="125" customFormat="1" ht="36.75" customHeight="1" x14ac:dyDescent="0.2">
      <c r="A196" s="150">
        <v>17</v>
      </c>
      <c r="B196" s="148">
        <v>193</v>
      </c>
      <c r="C196" s="105">
        <v>14111800</v>
      </c>
      <c r="D196" s="106" t="s">
        <v>332</v>
      </c>
      <c r="E196" s="105" t="s">
        <v>762</v>
      </c>
      <c r="F196" s="107" t="s">
        <v>561</v>
      </c>
      <c r="G196" s="145" t="s">
        <v>978</v>
      </c>
      <c r="H196" s="143" t="s">
        <v>978</v>
      </c>
      <c r="I196" s="145" t="s">
        <v>978</v>
      </c>
      <c r="J196" s="104" t="s">
        <v>978</v>
      </c>
      <c r="K196" s="104" t="s">
        <v>978</v>
      </c>
      <c r="L196" s="104" t="s">
        <v>978</v>
      </c>
      <c r="M196" s="104" t="s">
        <v>978</v>
      </c>
      <c r="N196" s="104" t="s">
        <v>978</v>
      </c>
      <c r="O196" s="104" t="s">
        <v>978</v>
      </c>
      <c r="P196" s="104" t="s">
        <v>978</v>
      </c>
      <c r="Q196" s="104" t="s">
        <v>1012</v>
      </c>
      <c r="R196" s="104">
        <v>7491</v>
      </c>
      <c r="S196" s="104">
        <f t="shared" si="98"/>
        <v>8282.4391319999995</v>
      </c>
      <c r="T196" s="104" t="s">
        <v>978</v>
      </c>
      <c r="U196" s="104" t="s">
        <v>978</v>
      </c>
      <c r="V196" s="104" t="s">
        <v>978</v>
      </c>
      <c r="W196" s="104" t="s">
        <v>978</v>
      </c>
      <c r="X196" s="104" t="s">
        <v>978</v>
      </c>
      <c r="Y196" s="104" t="s">
        <v>978</v>
      </c>
      <c r="Z196" s="104" t="s">
        <v>978</v>
      </c>
      <c r="AA196" s="104" t="s">
        <v>978</v>
      </c>
      <c r="AB196" s="104" t="s">
        <v>978</v>
      </c>
      <c r="AC196" s="104" t="s">
        <v>978</v>
      </c>
      <c r="AD196" s="104" t="s">
        <v>978</v>
      </c>
      <c r="AE196" s="104" t="s">
        <v>978</v>
      </c>
      <c r="AF196" s="104" t="s">
        <v>978</v>
      </c>
      <c r="AG196" s="104" t="s">
        <v>978</v>
      </c>
      <c r="AH196" s="104" t="s">
        <v>978</v>
      </c>
      <c r="AI196" s="104" t="s">
        <v>978</v>
      </c>
      <c r="AJ196" s="104" t="s">
        <v>978</v>
      </c>
      <c r="AK196" s="104" t="s">
        <v>978</v>
      </c>
      <c r="AL196" s="104">
        <f t="shared" si="100"/>
        <v>8282.4391319999995</v>
      </c>
      <c r="AM196" s="120" t="s">
        <v>978</v>
      </c>
      <c r="AN196" s="103">
        <v>15730</v>
      </c>
      <c r="AO196" s="103" t="s">
        <v>974</v>
      </c>
      <c r="AP196" s="103" t="s">
        <v>974</v>
      </c>
      <c r="AQ196" s="103">
        <v>17850</v>
      </c>
      <c r="AR196" s="103" t="s">
        <v>974</v>
      </c>
      <c r="AS196" s="103" t="s">
        <v>974</v>
      </c>
      <c r="AT196" s="103" t="s">
        <v>974</v>
      </c>
      <c r="AU196" s="103">
        <f t="shared" si="101"/>
        <v>15730</v>
      </c>
      <c r="AV196" s="158"/>
      <c r="AW196" s="156">
        <f>+AVERAGE(I196,AL196,AU196)</f>
        <v>12006.219566</v>
      </c>
      <c r="AX196" s="121">
        <f>+ROUND(AW196,0)</f>
        <v>12006</v>
      </c>
      <c r="AY196" s="163" t="s">
        <v>1085</v>
      </c>
      <c r="AZ196" s="160">
        <v>0</v>
      </c>
      <c r="BA196" s="138">
        <v>0</v>
      </c>
      <c r="BB196" s="138">
        <v>6</v>
      </c>
      <c r="BC196" s="139">
        <f>+BA196+BB196</f>
        <v>6</v>
      </c>
      <c r="BD196" s="140">
        <f t="shared" si="69"/>
        <v>72036</v>
      </c>
    </row>
    <row r="197" spans="1:56" s="125" customFormat="1" ht="48" customHeight="1" x14ac:dyDescent="0.2">
      <c r="A197" s="150">
        <v>17</v>
      </c>
      <c r="B197" s="148">
        <v>194</v>
      </c>
      <c r="C197" s="105">
        <v>14111800</v>
      </c>
      <c r="D197" s="106" t="s">
        <v>333</v>
      </c>
      <c r="E197" s="105" t="s">
        <v>716</v>
      </c>
      <c r="F197" s="107" t="s">
        <v>562</v>
      </c>
      <c r="G197" s="145" t="s">
        <v>978</v>
      </c>
      <c r="H197" s="145" t="s">
        <v>978</v>
      </c>
      <c r="I197" s="145" t="s">
        <v>978</v>
      </c>
      <c r="J197" s="104" t="s">
        <v>978</v>
      </c>
      <c r="K197" s="104" t="s">
        <v>978</v>
      </c>
      <c r="L197" s="104" t="s">
        <v>978</v>
      </c>
      <c r="M197" s="104" t="s">
        <v>978</v>
      </c>
      <c r="N197" s="104" t="s">
        <v>978</v>
      </c>
      <c r="O197" s="104" t="s">
        <v>978</v>
      </c>
      <c r="P197" s="104" t="s">
        <v>978</v>
      </c>
      <c r="Q197" s="104" t="s">
        <v>1012</v>
      </c>
      <c r="R197" s="104">
        <v>17175</v>
      </c>
      <c r="S197" s="104">
        <f t="shared" si="98"/>
        <v>18989.573100000001</v>
      </c>
      <c r="T197" s="104" t="s">
        <v>978</v>
      </c>
      <c r="U197" s="104" t="s">
        <v>978</v>
      </c>
      <c r="V197" s="104" t="s">
        <v>978</v>
      </c>
      <c r="W197" s="104" t="s">
        <v>978</v>
      </c>
      <c r="X197" s="104" t="s">
        <v>978</v>
      </c>
      <c r="Y197" s="104" t="s">
        <v>978</v>
      </c>
      <c r="Z197" s="104" t="s">
        <v>978</v>
      </c>
      <c r="AA197" s="104" t="s">
        <v>978</v>
      </c>
      <c r="AB197" s="104" t="s">
        <v>978</v>
      </c>
      <c r="AC197" s="104" t="s">
        <v>978</v>
      </c>
      <c r="AD197" s="104" t="s">
        <v>978</v>
      </c>
      <c r="AE197" s="104" t="s">
        <v>978</v>
      </c>
      <c r="AF197" s="104" t="s">
        <v>978</v>
      </c>
      <c r="AG197" s="104" t="s">
        <v>978</v>
      </c>
      <c r="AH197" s="104" t="s">
        <v>978</v>
      </c>
      <c r="AI197" s="104" t="s">
        <v>978</v>
      </c>
      <c r="AJ197" s="104">
        <v>19222</v>
      </c>
      <c r="AK197" s="104">
        <f t="shared" si="99"/>
        <v>20202.322</v>
      </c>
      <c r="AL197" s="104">
        <f t="shared" si="100"/>
        <v>19595.947550000001</v>
      </c>
      <c r="AM197" s="120" t="s">
        <v>978</v>
      </c>
      <c r="AN197" s="103">
        <v>57200</v>
      </c>
      <c r="AO197" s="103" t="s">
        <v>974</v>
      </c>
      <c r="AP197" s="103" t="s">
        <v>974</v>
      </c>
      <c r="AQ197" s="103">
        <v>36000</v>
      </c>
      <c r="AR197" s="103" t="s">
        <v>974</v>
      </c>
      <c r="AS197" s="103" t="s">
        <v>974</v>
      </c>
      <c r="AT197" s="103" t="s">
        <v>974</v>
      </c>
      <c r="AU197" s="103">
        <f t="shared" si="101"/>
        <v>36000</v>
      </c>
      <c r="AV197" s="158"/>
      <c r="AW197" s="156">
        <f>+AVERAGE(AL197,AU197)</f>
        <v>27797.973774999999</v>
      </c>
      <c r="AX197" s="121">
        <f t="shared" si="102"/>
        <v>27798</v>
      </c>
      <c r="AY197" s="163" t="s">
        <v>1073</v>
      </c>
      <c r="AZ197" s="161">
        <v>10</v>
      </c>
      <c r="BA197" s="138">
        <v>24</v>
      </c>
      <c r="BB197" s="138">
        <v>144</v>
      </c>
      <c r="BC197" s="139">
        <f t="shared" ref="BC197:BC238" si="103">+AZ197+BA197+BB197</f>
        <v>178</v>
      </c>
      <c r="BD197" s="140">
        <f t="shared" ref="BD197:BD260" si="104">+BC197*AX197</f>
        <v>4948044</v>
      </c>
    </row>
    <row r="198" spans="1:56" s="125" customFormat="1" ht="60.75" customHeight="1" x14ac:dyDescent="0.2">
      <c r="A198" s="150">
        <v>17</v>
      </c>
      <c r="B198" s="148">
        <v>195</v>
      </c>
      <c r="C198" s="105">
        <v>14111800</v>
      </c>
      <c r="D198" s="106" t="s">
        <v>334</v>
      </c>
      <c r="E198" s="105" t="s">
        <v>763</v>
      </c>
      <c r="F198" s="105" t="s">
        <v>445</v>
      </c>
      <c r="G198" s="145" t="s">
        <v>978</v>
      </c>
      <c r="H198" s="145" t="s">
        <v>978</v>
      </c>
      <c r="I198" s="145" t="s">
        <v>978</v>
      </c>
      <c r="J198" s="104" t="s">
        <v>978</v>
      </c>
      <c r="K198" s="104" t="s">
        <v>978</v>
      </c>
      <c r="L198" s="104" t="s">
        <v>978</v>
      </c>
      <c r="M198" s="104" t="s">
        <v>978</v>
      </c>
      <c r="N198" s="104" t="s">
        <v>978</v>
      </c>
      <c r="O198" s="104" t="s">
        <v>978</v>
      </c>
      <c r="P198" s="104" t="s">
        <v>978</v>
      </c>
      <c r="Q198" s="104" t="s">
        <v>1012</v>
      </c>
      <c r="R198" s="104">
        <v>37905</v>
      </c>
      <c r="S198" s="104">
        <f t="shared" si="98"/>
        <v>41909.73906</v>
      </c>
      <c r="T198" s="104" t="s">
        <v>978</v>
      </c>
      <c r="U198" s="104" t="s">
        <v>978</v>
      </c>
      <c r="V198" s="104" t="s">
        <v>978</v>
      </c>
      <c r="W198" s="104" t="s">
        <v>978</v>
      </c>
      <c r="X198" s="104" t="s">
        <v>978</v>
      </c>
      <c r="Y198" s="104" t="s">
        <v>978</v>
      </c>
      <c r="Z198" s="104" t="s">
        <v>978</v>
      </c>
      <c r="AA198" s="104" t="s">
        <v>978</v>
      </c>
      <c r="AB198" s="104" t="s">
        <v>978</v>
      </c>
      <c r="AC198" s="104" t="s">
        <v>978</v>
      </c>
      <c r="AD198" s="104" t="s">
        <v>978</v>
      </c>
      <c r="AE198" s="104" t="s">
        <v>978</v>
      </c>
      <c r="AF198" s="104" t="s">
        <v>978</v>
      </c>
      <c r="AG198" s="104" t="s">
        <v>978</v>
      </c>
      <c r="AH198" s="104" t="s">
        <v>978</v>
      </c>
      <c r="AI198" s="104" t="s">
        <v>978</v>
      </c>
      <c r="AJ198" s="104">
        <v>32569</v>
      </c>
      <c r="AK198" s="104">
        <f t="shared" si="99"/>
        <v>34230.019</v>
      </c>
      <c r="AL198" s="104">
        <f t="shared" si="100"/>
        <v>38069.879029999996</v>
      </c>
      <c r="AM198" s="120">
        <v>31779</v>
      </c>
      <c r="AN198" s="103">
        <v>57200</v>
      </c>
      <c r="AO198" s="103" t="s">
        <v>974</v>
      </c>
      <c r="AP198" s="103" t="s">
        <v>974</v>
      </c>
      <c r="AQ198" s="103">
        <v>38000</v>
      </c>
      <c r="AR198" s="103" t="s">
        <v>974</v>
      </c>
      <c r="AS198" s="103" t="s">
        <v>974</v>
      </c>
      <c r="AT198" s="103" t="s">
        <v>974</v>
      </c>
      <c r="AU198" s="103">
        <f t="shared" si="101"/>
        <v>38000</v>
      </c>
      <c r="AV198" s="158"/>
      <c r="AW198" s="156">
        <f>+AVERAGE(AM198,AU198)</f>
        <v>34889.5</v>
      </c>
      <c r="AX198" s="121">
        <f t="shared" si="102"/>
        <v>34890</v>
      </c>
      <c r="AY198" s="163" t="s">
        <v>1080</v>
      </c>
      <c r="AZ198" s="161">
        <v>7</v>
      </c>
      <c r="BA198" s="138">
        <v>0</v>
      </c>
      <c r="BB198" s="138">
        <v>0</v>
      </c>
      <c r="BC198" s="139">
        <f t="shared" si="103"/>
        <v>7</v>
      </c>
      <c r="BD198" s="140">
        <f t="shared" si="104"/>
        <v>244230</v>
      </c>
    </row>
    <row r="199" spans="1:56" s="125" customFormat="1" ht="60" customHeight="1" x14ac:dyDescent="0.2">
      <c r="A199" s="150">
        <v>17</v>
      </c>
      <c r="B199" s="148">
        <v>196</v>
      </c>
      <c r="C199" s="105">
        <v>14111800</v>
      </c>
      <c r="D199" s="106" t="s">
        <v>335</v>
      </c>
      <c r="E199" s="105" t="s">
        <v>764</v>
      </c>
      <c r="F199" s="105" t="s">
        <v>445</v>
      </c>
      <c r="G199" s="145" t="s">
        <v>978</v>
      </c>
      <c r="H199" s="145" t="s">
        <v>978</v>
      </c>
      <c r="I199" s="145" t="s">
        <v>978</v>
      </c>
      <c r="J199" s="104" t="s">
        <v>978</v>
      </c>
      <c r="K199" s="104" t="s">
        <v>978</v>
      </c>
      <c r="L199" s="104" t="s">
        <v>978</v>
      </c>
      <c r="M199" s="104" t="s">
        <v>978</v>
      </c>
      <c r="N199" s="104" t="s">
        <v>978</v>
      </c>
      <c r="O199" s="104" t="s">
        <v>978</v>
      </c>
      <c r="P199" s="104" t="s">
        <v>978</v>
      </c>
      <c r="Q199" s="104" t="s">
        <v>1012</v>
      </c>
      <c r="R199" s="104">
        <v>35883</v>
      </c>
      <c r="S199" s="104">
        <f t="shared" si="98"/>
        <v>39674.110716000003</v>
      </c>
      <c r="T199" s="104" t="s">
        <v>978</v>
      </c>
      <c r="U199" s="104" t="s">
        <v>978</v>
      </c>
      <c r="V199" s="104" t="s">
        <v>978</v>
      </c>
      <c r="W199" s="104" t="s">
        <v>978</v>
      </c>
      <c r="X199" s="104" t="s">
        <v>978</v>
      </c>
      <c r="Y199" s="104" t="s">
        <v>978</v>
      </c>
      <c r="Z199" s="104" t="s">
        <v>978</v>
      </c>
      <c r="AA199" s="104" t="s">
        <v>978</v>
      </c>
      <c r="AB199" s="104" t="s">
        <v>978</v>
      </c>
      <c r="AC199" s="104" t="s">
        <v>978</v>
      </c>
      <c r="AD199" s="104" t="s">
        <v>978</v>
      </c>
      <c r="AE199" s="104" t="s">
        <v>978</v>
      </c>
      <c r="AF199" s="104" t="s">
        <v>978</v>
      </c>
      <c r="AG199" s="104" t="s">
        <v>978</v>
      </c>
      <c r="AH199" s="104" t="s">
        <v>978</v>
      </c>
      <c r="AI199" s="104" t="s">
        <v>978</v>
      </c>
      <c r="AJ199" s="104">
        <v>32479</v>
      </c>
      <c r="AK199" s="104">
        <f t="shared" si="99"/>
        <v>34135.428999999996</v>
      </c>
      <c r="AL199" s="104">
        <f t="shared" si="100"/>
        <v>36904.769858</v>
      </c>
      <c r="AM199" s="120">
        <v>31779</v>
      </c>
      <c r="AN199" s="103">
        <v>57200</v>
      </c>
      <c r="AO199" s="103" t="s">
        <v>974</v>
      </c>
      <c r="AP199" s="103" t="s">
        <v>974</v>
      </c>
      <c r="AQ199" s="103">
        <v>38000</v>
      </c>
      <c r="AR199" s="103" t="s">
        <v>974</v>
      </c>
      <c r="AS199" s="103" t="s">
        <v>974</v>
      </c>
      <c r="AT199" s="103" t="s">
        <v>974</v>
      </c>
      <c r="AU199" s="103">
        <f t="shared" si="101"/>
        <v>38000</v>
      </c>
      <c r="AV199" s="158"/>
      <c r="AW199" s="156">
        <f>+AVERAGE(AM199,AU199,AL199)</f>
        <v>35561.256619333333</v>
      </c>
      <c r="AX199" s="121">
        <f t="shared" si="102"/>
        <v>35561</v>
      </c>
      <c r="AY199" s="163" t="s">
        <v>1075</v>
      </c>
      <c r="AZ199" s="161">
        <v>3</v>
      </c>
      <c r="BA199" s="138">
        <v>0</v>
      </c>
      <c r="BB199" s="138">
        <v>0</v>
      </c>
      <c r="BC199" s="139">
        <f t="shared" si="103"/>
        <v>3</v>
      </c>
      <c r="BD199" s="140">
        <f t="shared" si="104"/>
        <v>106683</v>
      </c>
    </row>
    <row r="200" spans="1:56" s="125" customFormat="1" ht="60.75" customHeight="1" x14ac:dyDescent="0.2">
      <c r="A200" s="150">
        <v>17</v>
      </c>
      <c r="B200" s="148">
        <v>197</v>
      </c>
      <c r="C200" s="105">
        <v>14111800</v>
      </c>
      <c r="D200" s="106" t="s">
        <v>336</v>
      </c>
      <c r="E200" s="105" t="s">
        <v>896</v>
      </c>
      <c r="F200" s="105" t="s">
        <v>445</v>
      </c>
      <c r="G200" s="145" t="s">
        <v>978</v>
      </c>
      <c r="H200" s="145" t="s">
        <v>978</v>
      </c>
      <c r="I200" s="145" t="s">
        <v>978</v>
      </c>
      <c r="J200" s="104" t="s">
        <v>978</v>
      </c>
      <c r="K200" s="104" t="s">
        <v>978</v>
      </c>
      <c r="L200" s="104" t="s">
        <v>978</v>
      </c>
      <c r="M200" s="104" t="s">
        <v>978</v>
      </c>
      <c r="N200" s="104" t="s">
        <v>978</v>
      </c>
      <c r="O200" s="104" t="s">
        <v>978</v>
      </c>
      <c r="P200" s="104" t="s">
        <v>978</v>
      </c>
      <c r="Q200" s="104" t="s">
        <v>1012</v>
      </c>
      <c r="R200" s="104">
        <v>35871</v>
      </c>
      <c r="S200" s="104">
        <f t="shared" si="98"/>
        <v>39660.842892000001</v>
      </c>
      <c r="T200" s="104" t="s">
        <v>978</v>
      </c>
      <c r="U200" s="104" t="s">
        <v>978</v>
      </c>
      <c r="V200" s="104" t="s">
        <v>978</v>
      </c>
      <c r="W200" s="104" t="s">
        <v>978</v>
      </c>
      <c r="X200" s="104" t="s">
        <v>978</v>
      </c>
      <c r="Y200" s="104" t="s">
        <v>978</v>
      </c>
      <c r="Z200" s="104" t="s">
        <v>978</v>
      </c>
      <c r="AA200" s="104" t="s">
        <v>978</v>
      </c>
      <c r="AB200" s="104" t="s">
        <v>978</v>
      </c>
      <c r="AC200" s="104" t="s">
        <v>978</v>
      </c>
      <c r="AD200" s="104" t="s">
        <v>978</v>
      </c>
      <c r="AE200" s="104" t="s">
        <v>978</v>
      </c>
      <c r="AF200" s="104" t="s">
        <v>978</v>
      </c>
      <c r="AG200" s="104" t="s">
        <v>978</v>
      </c>
      <c r="AH200" s="104" t="s">
        <v>978</v>
      </c>
      <c r="AI200" s="104" t="s">
        <v>978</v>
      </c>
      <c r="AJ200" s="104">
        <v>31724</v>
      </c>
      <c r="AK200" s="104">
        <f t="shared" si="99"/>
        <v>33341.923999999999</v>
      </c>
      <c r="AL200" s="104">
        <f t="shared" si="100"/>
        <v>36501.383446</v>
      </c>
      <c r="AM200" s="120">
        <v>31779</v>
      </c>
      <c r="AN200" s="103">
        <v>57200</v>
      </c>
      <c r="AO200" s="103" t="s">
        <v>974</v>
      </c>
      <c r="AP200" s="103" t="s">
        <v>974</v>
      </c>
      <c r="AQ200" s="103">
        <v>38000</v>
      </c>
      <c r="AR200" s="103" t="s">
        <v>974</v>
      </c>
      <c r="AS200" s="103" t="s">
        <v>974</v>
      </c>
      <c r="AT200" s="103" t="s">
        <v>974</v>
      </c>
      <c r="AU200" s="103">
        <f t="shared" si="101"/>
        <v>38000</v>
      </c>
      <c r="AV200" s="158"/>
      <c r="AW200" s="156">
        <f>+AVERAGE(AM200,AU200,AL200)</f>
        <v>35426.794481999998</v>
      </c>
      <c r="AX200" s="121">
        <f t="shared" si="102"/>
        <v>35427</v>
      </c>
      <c r="AY200" s="163" t="s">
        <v>1075</v>
      </c>
      <c r="AZ200" s="161">
        <v>10</v>
      </c>
      <c r="BA200" s="138">
        <v>0</v>
      </c>
      <c r="BB200" s="138">
        <v>0</v>
      </c>
      <c r="BC200" s="139">
        <f t="shared" si="103"/>
        <v>10</v>
      </c>
      <c r="BD200" s="140">
        <f t="shared" si="104"/>
        <v>354270</v>
      </c>
    </row>
    <row r="201" spans="1:56" s="125" customFormat="1" ht="60" customHeight="1" x14ac:dyDescent="0.2">
      <c r="A201" s="150">
        <v>17</v>
      </c>
      <c r="B201" s="148">
        <v>198</v>
      </c>
      <c r="C201" s="105">
        <v>14111800</v>
      </c>
      <c r="D201" s="106" t="s">
        <v>337</v>
      </c>
      <c r="E201" s="105" t="s">
        <v>765</v>
      </c>
      <c r="F201" s="105" t="s">
        <v>445</v>
      </c>
      <c r="G201" s="145" t="s">
        <v>978</v>
      </c>
      <c r="H201" s="145" t="s">
        <v>978</v>
      </c>
      <c r="I201" s="145" t="s">
        <v>978</v>
      </c>
      <c r="J201" s="104" t="s">
        <v>978</v>
      </c>
      <c r="K201" s="104" t="s">
        <v>978</v>
      </c>
      <c r="L201" s="104" t="s">
        <v>978</v>
      </c>
      <c r="M201" s="104" t="s">
        <v>978</v>
      </c>
      <c r="N201" s="104" t="s">
        <v>978</v>
      </c>
      <c r="O201" s="104" t="s">
        <v>978</v>
      </c>
      <c r="P201" s="104" t="s">
        <v>978</v>
      </c>
      <c r="Q201" s="104" t="s">
        <v>1012</v>
      </c>
      <c r="R201" s="104">
        <v>40474</v>
      </c>
      <c r="S201" s="104">
        <f t="shared" si="98"/>
        <v>44750.159048000001</v>
      </c>
      <c r="T201" s="104" t="s">
        <v>978</v>
      </c>
      <c r="U201" s="104" t="s">
        <v>978</v>
      </c>
      <c r="V201" s="104" t="s">
        <v>978</v>
      </c>
      <c r="W201" s="104" t="s">
        <v>978</v>
      </c>
      <c r="X201" s="104" t="s">
        <v>978</v>
      </c>
      <c r="Y201" s="104" t="s">
        <v>978</v>
      </c>
      <c r="Z201" s="104" t="s">
        <v>978</v>
      </c>
      <c r="AA201" s="104" t="s">
        <v>978</v>
      </c>
      <c r="AB201" s="104" t="s">
        <v>978</v>
      </c>
      <c r="AC201" s="104" t="s">
        <v>978</v>
      </c>
      <c r="AD201" s="104" t="s">
        <v>978</v>
      </c>
      <c r="AE201" s="104" t="s">
        <v>978</v>
      </c>
      <c r="AF201" s="104" t="s">
        <v>978</v>
      </c>
      <c r="AG201" s="104" t="s">
        <v>978</v>
      </c>
      <c r="AH201" s="104" t="s">
        <v>978</v>
      </c>
      <c r="AI201" s="104" t="s">
        <v>978</v>
      </c>
      <c r="AJ201" s="104">
        <v>29280</v>
      </c>
      <c r="AK201" s="104">
        <f t="shared" si="99"/>
        <v>30773.279999999999</v>
      </c>
      <c r="AL201" s="104">
        <f t="shared" si="100"/>
        <v>37761.719524</v>
      </c>
      <c r="AM201" s="120">
        <v>31779</v>
      </c>
      <c r="AN201" s="103">
        <v>57200</v>
      </c>
      <c r="AO201" s="103" t="s">
        <v>974</v>
      </c>
      <c r="AP201" s="103" t="s">
        <v>974</v>
      </c>
      <c r="AQ201" s="103">
        <v>38000</v>
      </c>
      <c r="AR201" s="103" t="s">
        <v>974</v>
      </c>
      <c r="AS201" s="103" t="s">
        <v>974</v>
      </c>
      <c r="AT201" s="103" t="s">
        <v>974</v>
      </c>
      <c r="AU201" s="103">
        <f t="shared" si="101"/>
        <v>38000</v>
      </c>
      <c r="AV201" s="158"/>
      <c r="AW201" s="156">
        <f>+AVERAGE(AM201,AU201,AL201)</f>
        <v>35846.906508</v>
      </c>
      <c r="AX201" s="121">
        <f t="shared" si="102"/>
        <v>35847</v>
      </c>
      <c r="AY201" s="163" t="s">
        <v>1075</v>
      </c>
      <c r="AZ201" s="161">
        <v>17</v>
      </c>
      <c r="BA201" s="138">
        <v>0</v>
      </c>
      <c r="BB201" s="138">
        <v>0</v>
      </c>
      <c r="BC201" s="139">
        <f t="shared" si="103"/>
        <v>17</v>
      </c>
      <c r="BD201" s="140">
        <f t="shared" si="104"/>
        <v>609399</v>
      </c>
    </row>
    <row r="202" spans="1:56" s="125" customFormat="1" ht="60.75" customHeight="1" x14ac:dyDescent="0.2">
      <c r="A202" s="150">
        <v>17</v>
      </c>
      <c r="B202" s="148">
        <v>199</v>
      </c>
      <c r="C202" s="105">
        <v>14111800</v>
      </c>
      <c r="D202" s="106" t="s">
        <v>338</v>
      </c>
      <c r="E202" s="105" t="s">
        <v>766</v>
      </c>
      <c r="F202" s="105" t="s">
        <v>445</v>
      </c>
      <c r="G202" s="145" t="s">
        <v>978</v>
      </c>
      <c r="H202" s="145" t="s">
        <v>978</v>
      </c>
      <c r="I202" s="145" t="s">
        <v>978</v>
      </c>
      <c r="J202" s="104" t="s">
        <v>978</v>
      </c>
      <c r="K202" s="104" t="s">
        <v>978</v>
      </c>
      <c r="L202" s="104" t="s">
        <v>978</v>
      </c>
      <c r="M202" s="104" t="s">
        <v>978</v>
      </c>
      <c r="N202" s="104" t="s">
        <v>978</v>
      </c>
      <c r="O202" s="104" t="s">
        <v>978</v>
      </c>
      <c r="P202" s="104" t="s">
        <v>978</v>
      </c>
      <c r="Q202" s="104" t="s">
        <v>1012</v>
      </c>
      <c r="R202" s="104">
        <v>37030</v>
      </c>
      <c r="S202" s="104">
        <f t="shared" si="98"/>
        <v>40942.293560000006</v>
      </c>
      <c r="T202" s="104" t="s">
        <v>978</v>
      </c>
      <c r="U202" s="104" t="s">
        <v>978</v>
      </c>
      <c r="V202" s="104" t="s">
        <v>978</v>
      </c>
      <c r="W202" s="104" t="s">
        <v>978</v>
      </c>
      <c r="X202" s="104" t="s">
        <v>978</v>
      </c>
      <c r="Y202" s="104" t="s">
        <v>978</v>
      </c>
      <c r="Z202" s="104" t="s">
        <v>978</v>
      </c>
      <c r="AA202" s="104" t="s">
        <v>978</v>
      </c>
      <c r="AB202" s="104" t="s">
        <v>978</v>
      </c>
      <c r="AC202" s="104" t="s">
        <v>978</v>
      </c>
      <c r="AD202" s="104" t="s">
        <v>978</v>
      </c>
      <c r="AE202" s="104" t="s">
        <v>978</v>
      </c>
      <c r="AF202" s="104" t="s">
        <v>978</v>
      </c>
      <c r="AG202" s="104" t="s">
        <v>978</v>
      </c>
      <c r="AH202" s="104" t="s">
        <v>978</v>
      </c>
      <c r="AI202" s="104" t="s">
        <v>978</v>
      </c>
      <c r="AJ202" s="104">
        <v>33171</v>
      </c>
      <c r="AK202" s="104">
        <f t="shared" si="99"/>
        <v>34862.720999999998</v>
      </c>
      <c r="AL202" s="104">
        <f t="shared" si="100"/>
        <v>37902.507280000005</v>
      </c>
      <c r="AM202" s="120">
        <v>31779</v>
      </c>
      <c r="AN202" s="103">
        <v>57200</v>
      </c>
      <c r="AO202" s="103" t="s">
        <v>974</v>
      </c>
      <c r="AP202" s="103" t="s">
        <v>974</v>
      </c>
      <c r="AQ202" s="103">
        <v>38000</v>
      </c>
      <c r="AR202" s="103" t="s">
        <v>974</v>
      </c>
      <c r="AS202" s="103" t="s">
        <v>974</v>
      </c>
      <c r="AT202" s="103" t="s">
        <v>974</v>
      </c>
      <c r="AU202" s="103">
        <f t="shared" si="101"/>
        <v>38000</v>
      </c>
      <c r="AV202" s="158"/>
      <c r="AW202" s="156">
        <f>+AVERAGE(AM202,AU202,AL202)</f>
        <v>35893.835760000002</v>
      </c>
      <c r="AX202" s="121">
        <f t="shared" si="102"/>
        <v>35894</v>
      </c>
      <c r="AY202" s="163" t="s">
        <v>1075</v>
      </c>
      <c r="AZ202" s="161">
        <v>7</v>
      </c>
      <c r="BA202" s="138">
        <v>0</v>
      </c>
      <c r="BB202" s="138">
        <v>0</v>
      </c>
      <c r="BC202" s="139">
        <f t="shared" si="103"/>
        <v>7</v>
      </c>
      <c r="BD202" s="140">
        <f t="shared" si="104"/>
        <v>251258</v>
      </c>
    </row>
    <row r="203" spans="1:56" s="125" customFormat="1" ht="60" customHeight="1" x14ac:dyDescent="0.2">
      <c r="A203" s="150">
        <v>17</v>
      </c>
      <c r="B203" s="148">
        <v>200</v>
      </c>
      <c r="C203" s="105">
        <v>14111800</v>
      </c>
      <c r="D203" s="106" t="s">
        <v>339</v>
      </c>
      <c r="E203" s="105" t="s">
        <v>767</v>
      </c>
      <c r="F203" s="105" t="s">
        <v>445</v>
      </c>
      <c r="G203" s="145" t="s">
        <v>978</v>
      </c>
      <c r="H203" s="145" t="s">
        <v>978</v>
      </c>
      <c r="I203" s="145" t="s">
        <v>978</v>
      </c>
      <c r="J203" s="104" t="s">
        <v>978</v>
      </c>
      <c r="K203" s="104" t="s">
        <v>978</v>
      </c>
      <c r="L203" s="104" t="s">
        <v>978</v>
      </c>
      <c r="M203" s="104" t="s">
        <v>978</v>
      </c>
      <c r="N203" s="104" t="s">
        <v>978</v>
      </c>
      <c r="O203" s="104" t="s">
        <v>978</v>
      </c>
      <c r="P203" s="104" t="s">
        <v>978</v>
      </c>
      <c r="Q203" s="104" t="s">
        <v>1012</v>
      </c>
      <c r="R203" s="104">
        <v>37887</v>
      </c>
      <c r="S203" s="104">
        <f t="shared" si="98"/>
        <v>41889.837324</v>
      </c>
      <c r="T203" s="104" t="s">
        <v>978</v>
      </c>
      <c r="U203" s="104" t="s">
        <v>978</v>
      </c>
      <c r="V203" s="104" t="s">
        <v>978</v>
      </c>
      <c r="W203" s="104" t="s">
        <v>978</v>
      </c>
      <c r="X203" s="104" t="s">
        <v>978</v>
      </c>
      <c r="Y203" s="104" t="s">
        <v>978</v>
      </c>
      <c r="Z203" s="104" t="s">
        <v>978</v>
      </c>
      <c r="AA203" s="104" t="s">
        <v>978</v>
      </c>
      <c r="AB203" s="104" t="s">
        <v>978</v>
      </c>
      <c r="AC203" s="104" t="s">
        <v>978</v>
      </c>
      <c r="AD203" s="104" t="s">
        <v>978</v>
      </c>
      <c r="AE203" s="104" t="s">
        <v>978</v>
      </c>
      <c r="AF203" s="104" t="s">
        <v>978</v>
      </c>
      <c r="AG203" s="104" t="s">
        <v>978</v>
      </c>
      <c r="AH203" s="104" t="s">
        <v>978</v>
      </c>
      <c r="AI203" s="104" t="s">
        <v>978</v>
      </c>
      <c r="AJ203" s="104">
        <v>33687</v>
      </c>
      <c r="AK203" s="104">
        <f t="shared" si="99"/>
        <v>35405.036999999997</v>
      </c>
      <c r="AL203" s="104">
        <f t="shared" si="100"/>
        <v>38647.437162000002</v>
      </c>
      <c r="AM203" s="120">
        <v>31779</v>
      </c>
      <c r="AN203" s="103">
        <v>57200</v>
      </c>
      <c r="AO203" s="103" t="s">
        <v>974</v>
      </c>
      <c r="AP203" s="103" t="s">
        <v>974</v>
      </c>
      <c r="AQ203" s="103">
        <v>38000</v>
      </c>
      <c r="AR203" s="103" t="s">
        <v>974</v>
      </c>
      <c r="AS203" s="103" t="s">
        <v>974</v>
      </c>
      <c r="AT203" s="103" t="s">
        <v>974</v>
      </c>
      <c r="AU203" s="103">
        <f t="shared" si="101"/>
        <v>38000</v>
      </c>
      <c r="AV203" s="158"/>
      <c r="AW203" s="156">
        <f>+AVERAGE(AM203,AU203)</f>
        <v>34889.5</v>
      </c>
      <c r="AX203" s="121">
        <f t="shared" si="102"/>
        <v>34890</v>
      </c>
      <c r="AY203" s="163" t="s">
        <v>1080</v>
      </c>
      <c r="AZ203" s="161">
        <v>2</v>
      </c>
      <c r="BA203" s="138">
        <v>0</v>
      </c>
      <c r="BB203" s="138">
        <v>0</v>
      </c>
      <c r="BC203" s="139">
        <f t="shared" si="103"/>
        <v>2</v>
      </c>
      <c r="BD203" s="140">
        <f t="shared" si="104"/>
        <v>69780</v>
      </c>
    </row>
    <row r="204" spans="1:56" s="125" customFormat="1" ht="60.75" customHeight="1" x14ac:dyDescent="0.2">
      <c r="A204" s="150">
        <v>17</v>
      </c>
      <c r="B204" s="148">
        <v>201</v>
      </c>
      <c r="C204" s="105">
        <v>14111800</v>
      </c>
      <c r="D204" s="147" t="s">
        <v>340</v>
      </c>
      <c r="E204" s="111" t="s">
        <v>768</v>
      </c>
      <c r="F204" s="111" t="s">
        <v>1058</v>
      </c>
      <c r="G204" s="145" t="s">
        <v>978</v>
      </c>
      <c r="H204" s="145" t="s">
        <v>978</v>
      </c>
      <c r="I204" s="145" t="s">
        <v>978</v>
      </c>
      <c r="J204" s="104" t="s">
        <v>978</v>
      </c>
      <c r="K204" s="104" t="s">
        <v>978</v>
      </c>
      <c r="L204" s="104" t="s">
        <v>978</v>
      </c>
      <c r="M204" s="104" t="s">
        <v>978</v>
      </c>
      <c r="N204" s="104" t="s">
        <v>978</v>
      </c>
      <c r="O204" s="104" t="s">
        <v>978</v>
      </c>
      <c r="P204" s="104" t="s">
        <v>978</v>
      </c>
      <c r="Q204" s="104" t="s">
        <v>1012</v>
      </c>
      <c r="R204" s="104" t="s">
        <v>978</v>
      </c>
      <c r="S204" s="104" t="s">
        <v>978</v>
      </c>
      <c r="T204" s="104" t="s">
        <v>978</v>
      </c>
      <c r="U204" s="104" t="s">
        <v>978</v>
      </c>
      <c r="V204" s="104" t="s">
        <v>978</v>
      </c>
      <c r="W204" s="104" t="s">
        <v>978</v>
      </c>
      <c r="X204" s="104" t="s">
        <v>978</v>
      </c>
      <c r="Y204" s="104" t="s">
        <v>978</v>
      </c>
      <c r="Z204" s="104" t="s">
        <v>978</v>
      </c>
      <c r="AA204" s="104" t="s">
        <v>978</v>
      </c>
      <c r="AB204" s="104" t="s">
        <v>978</v>
      </c>
      <c r="AC204" s="104" t="s">
        <v>978</v>
      </c>
      <c r="AD204" s="104" t="s">
        <v>978</v>
      </c>
      <c r="AE204" s="104" t="s">
        <v>978</v>
      </c>
      <c r="AF204" s="104" t="s">
        <v>978</v>
      </c>
      <c r="AG204" s="104" t="s">
        <v>978</v>
      </c>
      <c r="AH204" s="104" t="s">
        <v>978</v>
      </c>
      <c r="AI204" s="104" t="s">
        <v>978</v>
      </c>
      <c r="AJ204" s="104">
        <v>27231</v>
      </c>
      <c r="AK204" s="104">
        <f t="shared" si="99"/>
        <v>28619.780999999999</v>
      </c>
      <c r="AL204" s="104">
        <f t="shared" si="100"/>
        <v>28619.780999999999</v>
      </c>
      <c r="AM204" s="120" t="s">
        <v>978</v>
      </c>
      <c r="AN204" s="103">
        <v>78000</v>
      </c>
      <c r="AO204" s="103" t="s">
        <v>974</v>
      </c>
      <c r="AP204" s="103" t="s">
        <v>974</v>
      </c>
      <c r="AQ204" s="103" t="s">
        <v>974</v>
      </c>
      <c r="AR204" s="103" t="s">
        <v>974</v>
      </c>
      <c r="AS204" s="103" t="s">
        <v>974</v>
      </c>
      <c r="AT204" s="103" t="s">
        <v>974</v>
      </c>
      <c r="AU204" s="103">
        <f t="shared" si="101"/>
        <v>78000</v>
      </c>
      <c r="AV204" s="158"/>
      <c r="AW204" s="156">
        <f>+AVERAGE(AL204,AU204)</f>
        <v>53309.890500000001</v>
      </c>
      <c r="AX204" s="121">
        <f t="shared" si="102"/>
        <v>53310</v>
      </c>
      <c r="AY204" s="163" t="s">
        <v>1073</v>
      </c>
      <c r="AZ204" s="160">
        <v>5</v>
      </c>
      <c r="BA204" s="138">
        <v>7</v>
      </c>
      <c r="BB204" s="138">
        <v>24</v>
      </c>
      <c r="BC204" s="139">
        <f t="shared" si="103"/>
        <v>36</v>
      </c>
      <c r="BD204" s="140">
        <f t="shared" si="104"/>
        <v>1919160</v>
      </c>
    </row>
    <row r="205" spans="1:56" s="125" customFormat="1" ht="36.75" customHeight="1" x14ac:dyDescent="0.2">
      <c r="A205" s="150">
        <v>17</v>
      </c>
      <c r="B205" s="148">
        <v>202</v>
      </c>
      <c r="C205" s="105">
        <v>42151624</v>
      </c>
      <c r="D205" s="106" t="s">
        <v>341</v>
      </c>
      <c r="E205" s="105" t="s">
        <v>897</v>
      </c>
      <c r="F205" s="105" t="s">
        <v>286</v>
      </c>
      <c r="G205" s="145" t="s">
        <v>978</v>
      </c>
      <c r="H205" s="145" t="s">
        <v>978</v>
      </c>
      <c r="I205" s="145" t="s">
        <v>978</v>
      </c>
      <c r="J205" s="104" t="s">
        <v>978</v>
      </c>
      <c r="K205" s="104" t="s">
        <v>978</v>
      </c>
      <c r="L205" s="104" t="s">
        <v>978</v>
      </c>
      <c r="M205" s="104" t="s">
        <v>978</v>
      </c>
      <c r="N205" s="104" t="s">
        <v>978</v>
      </c>
      <c r="O205" s="104" t="s">
        <v>978</v>
      </c>
      <c r="P205" s="104" t="s">
        <v>978</v>
      </c>
      <c r="Q205" s="104" t="s">
        <v>1012</v>
      </c>
      <c r="R205" s="104">
        <f>36564/24</f>
        <v>1523.5</v>
      </c>
      <c r="S205" s="104">
        <f t="shared" ref="S205:S229" si="105">R205*(1+5.2%)*(1+5.1%)</f>
        <v>1684.4608219999998</v>
      </c>
      <c r="T205" s="104" t="s">
        <v>978</v>
      </c>
      <c r="U205" s="104" t="s">
        <v>978</v>
      </c>
      <c r="V205" s="104" t="s">
        <v>978</v>
      </c>
      <c r="W205" s="104" t="s">
        <v>978</v>
      </c>
      <c r="X205" s="104" t="s">
        <v>978</v>
      </c>
      <c r="Y205" s="104" t="s">
        <v>978</v>
      </c>
      <c r="Z205" s="104" t="s">
        <v>978</v>
      </c>
      <c r="AA205" s="104" t="s">
        <v>978</v>
      </c>
      <c r="AB205" s="104" t="s">
        <v>978</v>
      </c>
      <c r="AC205" s="104" t="s">
        <v>978</v>
      </c>
      <c r="AD205" s="104" t="s">
        <v>978</v>
      </c>
      <c r="AE205" s="104" t="s">
        <v>978</v>
      </c>
      <c r="AF205" s="104" t="s">
        <v>978</v>
      </c>
      <c r="AG205" s="104" t="s">
        <v>978</v>
      </c>
      <c r="AH205" s="104" t="s">
        <v>978</v>
      </c>
      <c r="AI205" s="104" t="s">
        <v>978</v>
      </c>
      <c r="AJ205" s="104">
        <f>30049</f>
        <v>30049</v>
      </c>
      <c r="AK205" s="104">
        <f t="shared" ref="AK205:AK230" si="106">AJ205*(1+5.1%)</f>
        <v>31581.499</v>
      </c>
      <c r="AL205" s="104">
        <f t="shared" ref="AL205:AL230" si="107">+AVERAGE(K205,M205,O205,Q205,S205,U205,W205,Y205,AA205,AC205,AE205,AG205,AI205,AK205)</f>
        <v>16632.979910999999</v>
      </c>
      <c r="AM205" s="120" t="s">
        <v>978</v>
      </c>
      <c r="AN205" s="103">
        <f>893750/24</f>
        <v>37239.583333333336</v>
      </c>
      <c r="AO205" s="103" t="s">
        <v>974</v>
      </c>
      <c r="AP205" s="103" t="s">
        <v>974</v>
      </c>
      <c r="AQ205" s="103">
        <f>809200/24</f>
        <v>33716.666666666664</v>
      </c>
      <c r="AR205" s="103" t="s">
        <v>974</v>
      </c>
      <c r="AS205" s="103" t="s">
        <v>974</v>
      </c>
      <c r="AT205" s="103" t="s">
        <v>974</v>
      </c>
      <c r="AU205" s="103">
        <f t="shared" si="101"/>
        <v>33716.666666666664</v>
      </c>
      <c r="AV205" s="158"/>
      <c r="AW205" s="156">
        <f>+AVERAGE(AL205,AU205)</f>
        <v>25174.82328883333</v>
      </c>
      <c r="AX205" s="121">
        <f t="shared" ref="AX205:AX230" si="108">+ROUND(AW205,0)</f>
        <v>25175</v>
      </c>
      <c r="AY205" s="163" t="s">
        <v>1073</v>
      </c>
      <c r="AZ205" s="160">
        <v>100</v>
      </c>
      <c r="BA205" s="138">
        <v>0</v>
      </c>
      <c r="BB205" s="138">
        <v>60</v>
      </c>
      <c r="BC205" s="139">
        <f t="shared" si="103"/>
        <v>160</v>
      </c>
      <c r="BD205" s="140">
        <f t="shared" si="104"/>
        <v>4028000</v>
      </c>
    </row>
    <row r="206" spans="1:56" s="125" customFormat="1" ht="60" customHeight="1" x14ac:dyDescent="0.2">
      <c r="A206" s="150">
        <v>17</v>
      </c>
      <c r="B206" s="148">
        <v>203</v>
      </c>
      <c r="C206" s="105">
        <v>14111800</v>
      </c>
      <c r="D206" s="106" t="s">
        <v>342</v>
      </c>
      <c r="E206" s="105" t="s">
        <v>898</v>
      </c>
      <c r="F206" s="105" t="s">
        <v>439</v>
      </c>
      <c r="G206" s="145" t="s">
        <v>978</v>
      </c>
      <c r="H206" s="145" t="s">
        <v>978</v>
      </c>
      <c r="I206" s="145" t="s">
        <v>978</v>
      </c>
      <c r="J206" s="104" t="s">
        <v>978</v>
      </c>
      <c r="K206" s="104" t="s">
        <v>978</v>
      </c>
      <c r="L206" s="104" t="s">
        <v>978</v>
      </c>
      <c r="M206" s="104" t="s">
        <v>978</v>
      </c>
      <c r="N206" s="104" t="s">
        <v>978</v>
      </c>
      <c r="O206" s="104" t="s">
        <v>978</v>
      </c>
      <c r="P206" s="104" t="s">
        <v>978</v>
      </c>
      <c r="Q206" s="104" t="s">
        <v>1012</v>
      </c>
      <c r="R206" s="104">
        <v>164787</v>
      </c>
      <c r="S206" s="104">
        <f t="shared" si="105"/>
        <v>182197.07612399998</v>
      </c>
      <c r="T206" s="104" t="s">
        <v>978</v>
      </c>
      <c r="U206" s="104" t="s">
        <v>978</v>
      </c>
      <c r="V206" s="104" t="s">
        <v>978</v>
      </c>
      <c r="W206" s="104" t="s">
        <v>978</v>
      </c>
      <c r="X206" s="104" t="s">
        <v>978</v>
      </c>
      <c r="Y206" s="104" t="s">
        <v>978</v>
      </c>
      <c r="Z206" s="104" t="s">
        <v>978</v>
      </c>
      <c r="AA206" s="104" t="s">
        <v>978</v>
      </c>
      <c r="AB206" s="104" t="s">
        <v>978</v>
      </c>
      <c r="AC206" s="104" t="s">
        <v>978</v>
      </c>
      <c r="AD206" s="104" t="s">
        <v>978</v>
      </c>
      <c r="AE206" s="104" t="s">
        <v>978</v>
      </c>
      <c r="AF206" s="104" t="s">
        <v>978</v>
      </c>
      <c r="AG206" s="104" t="s">
        <v>978</v>
      </c>
      <c r="AH206" s="104" t="s">
        <v>978</v>
      </c>
      <c r="AI206" s="104" t="s">
        <v>978</v>
      </c>
      <c r="AJ206" s="104">
        <v>38400</v>
      </c>
      <c r="AK206" s="104">
        <f t="shared" si="106"/>
        <v>40358.399999999994</v>
      </c>
      <c r="AL206" s="104">
        <f t="shared" si="107"/>
        <v>111277.73806199999</v>
      </c>
      <c r="AM206" s="120">
        <v>33601</v>
      </c>
      <c r="AN206" s="103">
        <v>38610</v>
      </c>
      <c r="AO206" s="103" t="s">
        <v>974</v>
      </c>
      <c r="AP206" s="103" t="s">
        <v>974</v>
      </c>
      <c r="AQ206" s="103">
        <v>61880</v>
      </c>
      <c r="AR206" s="103" t="s">
        <v>974</v>
      </c>
      <c r="AS206" s="103" t="s">
        <v>974</v>
      </c>
      <c r="AT206" s="103" t="s">
        <v>974</v>
      </c>
      <c r="AU206" s="103">
        <f t="shared" si="101"/>
        <v>38610</v>
      </c>
      <c r="AV206" s="158"/>
      <c r="AW206" s="156">
        <f t="shared" ref="AW206:AW214" si="109">+AVERAGE(AM206,AU206)</f>
        <v>36105.5</v>
      </c>
      <c r="AX206" s="121">
        <f t="shared" si="108"/>
        <v>36106</v>
      </c>
      <c r="AY206" s="163" t="s">
        <v>1080</v>
      </c>
      <c r="AZ206" s="161">
        <v>3</v>
      </c>
      <c r="BA206" s="138">
        <v>31</v>
      </c>
      <c r="BB206" s="138">
        <v>24</v>
      </c>
      <c r="BC206" s="139">
        <f t="shared" si="103"/>
        <v>58</v>
      </c>
      <c r="BD206" s="140">
        <f t="shared" si="104"/>
        <v>2094148</v>
      </c>
    </row>
    <row r="207" spans="1:56" s="125" customFormat="1" ht="60.75" customHeight="1" x14ac:dyDescent="0.2">
      <c r="A207" s="150">
        <v>17</v>
      </c>
      <c r="B207" s="148">
        <v>204</v>
      </c>
      <c r="C207" s="105">
        <v>14111800</v>
      </c>
      <c r="D207" s="106" t="s">
        <v>343</v>
      </c>
      <c r="E207" s="105" t="s">
        <v>899</v>
      </c>
      <c r="F207" s="105" t="s">
        <v>439</v>
      </c>
      <c r="G207" s="145" t="s">
        <v>978</v>
      </c>
      <c r="H207" s="145" t="s">
        <v>978</v>
      </c>
      <c r="I207" s="145" t="s">
        <v>978</v>
      </c>
      <c r="J207" s="104" t="s">
        <v>978</v>
      </c>
      <c r="K207" s="104" t="s">
        <v>978</v>
      </c>
      <c r="L207" s="104" t="s">
        <v>978</v>
      </c>
      <c r="M207" s="104" t="s">
        <v>978</v>
      </c>
      <c r="N207" s="104" t="s">
        <v>978</v>
      </c>
      <c r="O207" s="104" t="s">
        <v>978</v>
      </c>
      <c r="P207" s="104" t="s">
        <v>978</v>
      </c>
      <c r="Q207" s="104" t="s">
        <v>1012</v>
      </c>
      <c r="R207" s="104">
        <v>50321</v>
      </c>
      <c r="S207" s="104">
        <f t="shared" si="105"/>
        <v>55637.514292</v>
      </c>
      <c r="T207" s="104" t="s">
        <v>978</v>
      </c>
      <c r="U207" s="104" t="s">
        <v>978</v>
      </c>
      <c r="V207" s="104" t="s">
        <v>978</v>
      </c>
      <c r="W207" s="104" t="s">
        <v>978</v>
      </c>
      <c r="X207" s="104" t="s">
        <v>978</v>
      </c>
      <c r="Y207" s="104" t="s">
        <v>978</v>
      </c>
      <c r="Z207" s="104" t="s">
        <v>978</v>
      </c>
      <c r="AA207" s="104" t="s">
        <v>978</v>
      </c>
      <c r="AB207" s="104" t="s">
        <v>978</v>
      </c>
      <c r="AC207" s="104" t="s">
        <v>978</v>
      </c>
      <c r="AD207" s="104" t="s">
        <v>978</v>
      </c>
      <c r="AE207" s="104" t="s">
        <v>978</v>
      </c>
      <c r="AF207" s="104" t="s">
        <v>978</v>
      </c>
      <c r="AG207" s="104" t="s">
        <v>978</v>
      </c>
      <c r="AH207" s="104" t="s">
        <v>978</v>
      </c>
      <c r="AI207" s="104" t="s">
        <v>978</v>
      </c>
      <c r="AJ207" s="104">
        <v>37536</v>
      </c>
      <c r="AK207" s="104">
        <f t="shared" si="106"/>
        <v>39450.335999999996</v>
      </c>
      <c r="AL207" s="104">
        <f t="shared" si="107"/>
        <v>47543.925145999994</v>
      </c>
      <c r="AM207" s="120">
        <v>33601</v>
      </c>
      <c r="AN207" s="103">
        <v>38610</v>
      </c>
      <c r="AO207" s="103" t="s">
        <v>974</v>
      </c>
      <c r="AP207" s="103" t="s">
        <v>974</v>
      </c>
      <c r="AQ207" s="103">
        <v>61880</v>
      </c>
      <c r="AR207" s="103" t="s">
        <v>974</v>
      </c>
      <c r="AS207" s="103" t="s">
        <v>974</v>
      </c>
      <c r="AT207" s="103" t="s">
        <v>974</v>
      </c>
      <c r="AU207" s="103">
        <f t="shared" si="101"/>
        <v>38610</v>
      </c>
      <c r="AV207" s="158"/>
      <c r="AW207" s="156">
        <f t="shared" si="109"/>
        <v>36105.5</v>
      </c>
      <c r="AX207" s="121">
        <f t="shared" si="108"/>
        <v>36106</v>
      </c>
      <c r="AY207" s="163" t="s">
        <v>1080</v>
      </c>
      <c r="AZ207" s="161">
        <v>5</v>
      </c>
      <c r="BA207" s="138">
        <v>31</v>
      </c>
      <c r="BB207" s="138">
        <v>24</v>
      </c>
      <c r="BC207" s="139">
        <f t="shared" si="103"/>
        <v>60</v>
      </c>
      <c r="BD207" s="140">
        <f t="shared" si="104"/>
        <v>2166360</v>
      </c>
    </row>
    <row r="208" spans="1:56" s="125" customFormat="1" ht="72" customHeight="1" x14ac:dyDescent="0.2">
      <c r="A208" s="150">
        <v>17</v>
      </c>
      <c r="B208" s="148">
        <v>205</v>
      </c>
      <c r="C208" s="105">
        <v>14111800</v>
      </c>
      <c r="D208" s="106" t="s">
        <v>344</v>
      </c>
      <c r="E208" s="105" t="s">
        <v>900</v>
      </c>
      <c r="F208" s="105" t="s">
        <v>439</v>
      </c>
      <c r="G208" s="145" t="s">
        <v>978</v>
      </c>
      <c r="H208" s="145" t="s">
        <v>978</v>
      </c>
      <c r="I208" s="145" t="s">
        <v>978</v>
      </c>
      <c r="J208" s="104" t="s">
        <v>978</v>
      </c>
      <c r="K208" s="104" t="s">
        <v>978</v>
      </c>
      <c r="L208" s="104" t="s">
        <v>978</v>
      </c>
      <c r="M208" s="104" t="s">
        <v>978</v>
      </c>
      <c r="N208" s="104" t="s">
        <v>978</v>
      </c>
      <c r="O208" s="104" t="s">
        <v>978</v>
      </c>
      <c r="P208" s="104" t="s">
        <v>978</v>
      </c>
      <c r="Q208" s="104" t="s">
        <v>1012</v>
      </c>
      <c r="R208" s="104">
        <v>50170</v>
      </c>
      <c r="S208" s="104">
        <f t="shared" si="105"/>
        <v>55470.560839999998</v>
      </c>
      <c r="T208" s="104" t="s">
        <v>978</v>
      </c>
      <c r="U208" s="104" t="s">
        <v>978</v>
      </c>
      <c r="V208" s="104" t="s">
        <v>978</v>
      </c>
      <c r="W208" s="104" t="s">
        <v>978</v>
      </c>
      <c r="X208" s="104" t="s">
        <v>978</v>
      </c>
      <c r="Y208" s="104" t="s">
        <v>978</v>
      </c>
      <c r="Z208" s="104" t="s">
        <v>978</v>
      </c>
      <c r="AA208" s="104" t="s">
        <v>978</v>
      </c>
      <c r="AB208" s="104" t="s">
        <v>978</v>
      </c>
      <c r="AC208" s="104" t="s">
        <v>978</v>
      </c>
      <c r="AD208" s="104" t="s">
        <v>978</v>
      </c>
      <c r="AE208" s="104" t="s">
        <v>978</v>
      </c>
      <c r="AF208" s="104" t="s">
        <v>978</v>
      </c>
      <c r="AG208" s="104" t="s">
        <v>978</v>
      </c>
      <c r="AH208" s="104" t="s">
        <v>978</v>
      </c>
      <c r="AI208" s="104" t="s">
        <v>978</v>
      </c>
      <c r="AJ208" s="104">
        <v>37536</v>
      </c>
      <c r="AK208" s="104">
        <f t="shared" si="106"/>
        <v>39450.335999999996</v>
      </c>
      <c r="AL208" s="104">
        <f t="shared" si="107"/>
        <v>47460.448420000001</v>
      </c>
      <c r="AM208" s="120">
        <v>33601</v>
      </c>
      <c r="AN208" s="103">
        <v>38610</v>
      </c>
      <c r="AO208" s="103" t="s">
        <v>974</v>
      </c>
      <c r="AP208" s="103" t="s">
        <v>974</v>
      </c>
      <c r="AQ208" s="103">
        <v>61880</v>
      </c>
      <c r="AR208" s="103" t="s">
        <v>974</v>
      </c>
      <c r="AS208" s="103" t="s">
        <v>974</v>
      </c>
      <c r="AT208" s="103" t="s">
        <v>974</v>
      </c>
      <c r="AU208" s="103">
        <f t="shared" si="101"/>
        <v>38610</v>
      </c>
      <c r="AV208" s="158"/>
      <c r="AW208" s="156">
        <f t="shared" si="109"/>
        <v>36105.5</v>
      </c>
      <c r="AX208" s="121">
        <f t="shared" si="108"/>
        <v>36106</v>
      </c>
      <c r="AY208" s="163" t="s">
        <v>1080</v>
      </c>
      <c r="AZ208" s="161">
        <v>5</v>
      </c>
      <c r="BA208" s="138">
        <v>30</v>
      </c>
      <c r="BB208" s="138">
        <v>24</v>
      </c>
      <c r="BC208" s="139">
        <f t="shared" si="103"/>
        <v>59</v>
      </c>
      <c r="BD208" s="140">
        <f t="shared" si="104"/>
        <v>2130254</v>
      </c>
    </row>
    <row r="209" spans="1:56" s="125" customFormat="1" ht="60.75" customHeight="1" x14ac:dyDescent="0.2">
      <c r="A209" s="150">
        <v>17</v>
      </c>
      <c r="B209" s="148">
        <v>206</v>
      </c>
      <c r="C209" s="105">
        <v>14111800</v>
      </c>
      <c r="D209" s="106" t="s">
        <v>684</v>
      </c>
      <c r="E209" s="105" t="s">
        <v>901</v>
      </c>
      <c r="F209" s="105" t="s">
        <v>439</v>
      </c>
      <c r="G209" s="145" t="s">
        <v>978</v>
      </c>
      <c r="H209" s="145" t="s">
        <v>978</v>
      </c>
      <c r="I209" s="145" t="s">
        <v>978</v>
      </c>
      <c r="J209" s="104" t="s">
        <v>978</v>
      </c>
      <c r="K209" s="104" t="s">
        <v>978</v>
      </c>
      <c r="L209" s="104" t="s">
        <v>978</v>
      </c>
      <c r="M209" s="104" t="s">
        <v>978</v>
      </c>
      <c r="N209" s="104" t="s">
        <v>978</v>
      </c>
      <c r="O209" s="104" t="s">
        <v>978</v>
      </c>
      <c r="P209" s="104" t="s">
        <v>978</v>
      </c>
      <c r="Q209" s="104" t="s">
        <v>1012</v>
      </c>
      <c r="R209" s="104">
        <v>49951</v>
      </c>
      <c r="S209" s="104">
        <f t="shared" si="105"/>
        <v>55228.423051999998</v>
      </c>
      <c r="T209" s="104" t="s">
        <v>978</v>
      </c>
      <c r="U209" s="104" t="s">
        <v>978</v>
      </c>
      <c r="V209" s="104" t="s">
        <v>978</v>
      </c>
      <c r="W209" s="104" t="s">
        <v>978</v>
      </c>
      <c r="X209" s="104" t="s">
        <v>978</v>
      </c>
      <c r="Y209" s="104" t="s">
        <v>978</v>
      </c>
      <c r="Z209" s="104" t="s">
        <v>978</v>
      </c>
      <c r="AA209" s="104" t="s">
        <v>978</v>
      </c>
      <c r="AB209" s="104" t="s">
        <v>978</v>
      </c>
      <c r="AC209" s="104" t="s">
        <v>978</v>
      </c>
      <c r="AD209" s="104" t="s">
        <v>978</v>
      </c>
      <c r="AE209" s="104" t="s">
        <v>978</v>
      </c>
      <c r="AF209" s="104" t="s">
        <v>978</v>
      </c>
      <c r="AG209" s="104" t="s">
        <v>978</v>
      </c>
      <c r="AH209" s="104" t="s">
        <v>978</v>
      </c>
      <c r="AI209" s="104" t="s">
        <v>978</v>
      </c>
      <c r="AJ209" s="104">
        <v>38400</v>
      </c>
      <c r="AK209" s="104">
        <f t="shared" si="106"/>
        <v>40358.399999999994</v>
      </c>
      <c r="AL209" s="104">
        <f t="shared" si="107"/>
        <v>47793.411525999996</v>
      </c>
      <c r="AM209" s="120">
        <v>33601</v>
      </c>
      <c r="AN209" s="103">
        <v>38610</v>
      </c>
      <c r="AO209" s="103" t="s">
        <v>974</v>
      </c>
      <c r="AP209" s="103" t="s">
        <v>974</v>
      </c>
      <c r="AQ209" s="103">
        <v>65450</v>
      </c>
      <c r="AR209" s="103" t="s">
        <v>974</v>
      </c>
      <c r="AS209" s="103" t="s">
        <v>974</v>
      </c>
      <c r="AT209" s="103" t="s">
        <v>974</v>
      </c>
      <c r="AU209" s="103">
        <f t="shared" si="101"/>
        <v>38610</v>
      </c>
      <c r="AV209" s="158"/>
      <c r="AW209" s="156">
        <f t="shared" si="109"/>
        <v>36105.5</v>
      </c>
      <c r="AX209" s="121">
        <f t="shared" si="108"/>
        <v>36106</v>
      </c>
      <c r="AY209" s="163" t="s">
        <v>1080</v>
      </c>
      <c r="AZ209" s="161">
        <v>8</v>
      </c>
      <c r="BA209" s="138">
        <v>21</v>
      </c>
      <c r="BB209" s="138">
        <v>144</v>
      </c>
      <c r="BC209" s="139">
        <f t="shared" si="103"/>
        <v>173</v>
      </c>
      <c r="BD209" s="140">
        <f t="shared" si="104"/>
        <v>6246338</v>
      </c>
    </row>
    <row r="210" spans="1:56" s="125" customFormat="1" ht="60" customHeight="1" x14ac:dyDescent="0.2">
      <c r="A210" s="150">
        <v>17</v>
      </c>
      <c r="B210" s="148">
        <v>207</v>
      </c>
      <c r="C210" s="105">
        <v>14111800</v>
      </c>
      <c r="D210" s="106" t="s">
        <v>345</v>
      </c>
      <c r="E210" s="105" t="s">
        <v>902</v>
      </c>
      <c r="F210" s="105" t="s">
        <v>439</v>
      </c>
      <c r="G210" s="145" t="s">
        <v>978</v>
      </c>
      <c r="H210" s="145" t="s">
        <v>978</v>
      </c>
      <c r="I210" s="145" t="s">
        <v>978</v>
      </c>
      <c r="J210" s="104" t="s">
        <v>978</v>
      </c>
      <c r="K210" s="104" t="s">
        <v>978</v>
      </c>
      <c r="L210" s="104" t="s">
        <v>978</v>
      </c>
      <c r="M210" s="104" t="s">
        <v>978</v>
      </c>
      <c r="N210" s="104" t="s">
        <v>978</v>
      </c>
      <c r="O210" s="104" t="s">
        <v>978</v>
      </c>
      <c r="P210" s="104" t="s">
        <v>978</v>
      </c>
      <c r="Q210" s="104" t="s">
        <v>1012</v>
      </c>
      <c r="R210" s="104">
        <v>55749</v>
      </c>
      <c r="S210" s="104">
        <f t="shared" si="105"/>
        <v>61638.993348000004</v>
      </c>
      <c r="T210" s="104" t="s">
        <v>978</v>
      </c>
      <c r="U210" s="104" t="s">
        <v>978</v>
      </c>
      <c r="V210" s="104" t="s">
        <v>978</v>
      </c>
      <c r="W210" s="104" t="s">
        <v>978</v>
      </c>
      <c r="X210" s="104" t="s">
        <v>978</v>
      </c>
      <c r="Y210" s="104" t="s">
        <v>978</v>
      </c>
      <c r="Z210" s="104" t="s">
        <v>978</v>
      </c>
      <c r="AA210" s="104" t="s">
        <v>978</v>
      </c>
      <c r="AB210" s="104" t="s">
        <v>978</v>
      </c>
      <c r="AC210" s="104" t="s">
        <v>978</v>
      </c>
      <c r="AD210" s="104" t="s">
        <v>978</v>
      </c>
      <c r="AE210" s="104" t="s">
        <v>978</v>
      </c>
      <c r="AF210" s="104" t="s">
        <v>978</v>
      </c>
      <c r="AG210" s="104" t="s">
        <v>978</v>
      </c>
      <c r="AH210" s="104" t="s">
        <v>978</v>
      </c>
      <c r="AI210" s="104" t="s">
        <v>978</v>
      </c>
      <c r="AJ210" s="104">
        <v>38400</v>
      </c>
      <c r="AK210" s="104">
        <f t="shared" si="106"/>
        <v>40358.399999999994</v>
      </c>
      <c r="AL210" s="104">
        <f t="shared" si="107"/>
        <v>50998.696673999999</v>
      </c>
      <c r="AM210" s="120">
        <v>33601</v>
      </c>
      <c r="AN210" s="103">
        <v>38610</v>
      </c>
      <c r="AO210" s="103" t="s">
        <v>974</v>
      </c>
      <c r="AP210" s="103" t="s">
        <v>974</v>
      </c>
      <c r="AQ210" s="103">
        <v>65450</v>
      </c>
      <c r="AR210" s="103" t="s">
        <v>974</v>
      </c>
      <c r="AS210" s="103" t="s">
        <v>974</v>
      </c>
      <c r="AT210" s="103" t="s">
        <v>974</v>
      </c>
      <c r="AU210" s="103">
        <f t="shared" si="101"/>
        <v>38610</v>
      </c>
      <c r="AV210" s="158"/>
      <c r="AW210" s="156">
        <f t="shared" si="109"/>
        <v>36105.5</v>
      </c>
      <c r="AX210" s="121">
        <f t="shared" si="108"/>
        <v>36106</v>
      </c>
      <c r="AY210" s="163" t="s">
        <v>1080</v>
      </c>
      <c r="AZ210" s="161">
        <v>8</v>
      </c>
      <c r="BA210" s="138">
        <v>48</v>
      </c>
      <c r="BB210" s="138">
        <v>144</v>
      </c>
      <c r="BC210" s="139">
        <f t="shared" si="103"/>
        <v>200</v>
      </c>
      <c r="BD210" s="140">
        <f t="shared" si="104"/>
        <v>7221200</v>
      </c>
    </row>
    <row r="211" spans="1:56" s="125" customFormat="1" ht="60.75" customHeight="1" x14ac:dyDescent="0.2">
      <c r="A211" s="150">
        <v>17</v>
      </c>
      <c r="B211" s="148">
        <v>208</v>
      </c>
      <c r="C211" s="105">
        <v>14111800</v>
      </c>
      <c r="D211" s="106" t="s">
        <v>346</v>
      </c>
      <c r="E211" s="105" t="s">
        <v>903</v>
      </c>
      <c r="F211" s="105" t="s">
        <v>439</v>
      </c>
      <c r="G211" s="145" t="s">
        <v>978</v>
      </c>
      <c r="H211" s="145" t="s">
        <v>978</v>
      </c>
      <c r="I211" s="145" t="s">
        <v>978</v>
      </c>
      <c r="J211" s="104" t="s">
        <v>978</v>
      </c>
      <c r="K211" s="104" t="s">
        <v>978</v>
      </c>
      <c r="L211" s="104" t="s">
        <v>978</v>
      </c>
      <c r="M211" s="104" t="s">
        <v>978</v>
      </c>
      <c r="N211" s="104" t="s">
        <v>978</v>
      </c>
      <c r="O211" s="104" t="s">
        <v>978</v>
      </c>
      <c r="P211" s="104" t="s">
        <v>978</v>
      </c>
      <c r="Q211" s="104" t="s">
        <v>1012</v>
      </c>
      <c r="R211" s="104">
        <v>50803</v>
      </c>
      <c r="S211" s="104">
        <f t="shared" si="105"/>
        <v>56170.438556000001</v>
      </c>
      <c r="T211" s="104" t="s">
        <v>978</v>
      </c>
      <c r="U211" s="104" t="s">
        <v>978</v>
      </c>
      <c r="V211" s="104" t="s">
        <v>978</v>
      </c>
      <c r="W211" s="104" t="s">
        <v>978</v>
      </c>
      <c r="X211" s="104" t="s">
        <v>978</v>
      </c>
      <c r="Y211" s="104" t="s">
        <v>978</v>
      </c>
      <c r="Z211" s="104" t="s">
        <v>978</v>
      </c>
      <c r="AA211" s="104" t="s">
        <v>978</v>
      </c>
      <c r="AB211" s="104" t="s">
        <v>978</v>
      </c>
      <c r="AC211" s="104" t="s">
        <v>978</v>
      </c>
      <c r="AD211" s="104" t="s">
        <v>978</v>
      </c>
      <c r="AE211" s="104" t="s">
        <v>978</v>
      </c>
      <c r="AF211" s="104" t="s">
        <v>978</v>
      </c>
      <c r="AG211" s="104" t="s">
        <v>978</v>
      </c>
      <c r="AH211" s="104" t="s">
        <v>978</v>
      </c>
      <c r="AI211" s="104" t="s">
        <v>978</v>
      </c>
      <c r="AJ211" s="104">
        <v>38400</v>
      </c>
      <c r="AK211" s="104">
        <f t="shared" si="106"/>
        <v>40358.399999999994</v>
      </c>
      <c r="AL211" s="104">
        <f t="shared" si="107"/>
        <v>48264.419278000001</v>
      </c>
      <c r="AM211" s="120">
        <v>33601</v>
      </c>
      <c r="AN211" s="103">
        <v>38610</v>
      </c>
      <c r="AO211" s="103" t="s">
        <v>974</v>
      </c>
      <c r="AP211" s="103" t="s">
        <v>974</v>
      </c>
      <c r="AQ211" s="103">
        <v>65450</v>
      </c>
      <c r="AR211" s="103" t="s">
        <v>974</v>
      </c>
      <c r="AS211" s="103" t="s">
        <v>974</v>
      </c>
      <c r="AT211" s="103" t="s">
        <v>974</v>
      </c>
      <c r="AU211" s="103">
        <f t="shared" si="101"/>
        <v>38610</v>
      </c>
      <c r="AV211" s="158"/>
      <c r="AW211" s="156">
        <f t="shared" si="109"/>
        <v>36105.5</v>
      </c>
      <c r="AX211" s="121">
        <f t="shared" si="108"/>
        <v>36106</v>
      </c>
      <c r="AY211" s="163" t="s">
        <v>1080</v>
      </c>
      <c r="AZ211" s="161">
        <v>8</v>
      </c>
      <c r="BA211" s="138">
        <v>0</v>
      </c>
      <c r="BB211" s="138">
        <v>144</v>
      </c>
      <c r="BC211" s="139">
        <f t="shared" si="103"/>
        <v>152</v>
      </c>
      <c r="BD211" s="140">
        <f t="shared" si="104"/>
        <v>5488112</v>
      </c>
    </row>
    <row r="212" spans="1:56" s="125" customFormat="1" ht="60" customHeight="1" x14ac:dyDescent="0.2">
      <c r="A212" s="150">
        <v>17</v>
      </c>
      <c r="B212" s="148">
        <v>209</v>
      </c>
      <c r="C212" s="105">
        <v>14111800</v>
      </c>
      <c r="D212" s="106" t="s">
        <v>347</v>
      </c>
      <c r="E212" s="105" t="s">
        <v>904</v>
      </c>
      <c r="F212" s="105" t="s">
        <v>439</v>
      </c>
      <c r="G212" s="145" t="s">
        <v>978</v>
      </c>
      <c r="H212" s="145" t="s">
        <v>978</v>
      </c>
      <c r="I212" s="145" t="s">
        <v>978</v>
      </c>
      <c r="J212" s="104" t="s">
        <v>978</v>
      </c>
      <c r="K212" s="104" t="s">
        <v>978</v>
      </c>
      <c r="L212" s="104" t="s">
        <v>978</v>
      </c>
      <c r="M212" s="104" t="s">
        <v>978</v>
      </c>
      <c r="N212" s="104" t="s">
        <v>978</v>
      </c>
      <c r="O212" s="104" t="s">
        <v>978</v>
      </c>
      <c r="P212" s="104" t="s">
        <v>978</v>
      </c>
      <c r="Q212" s="104" t="s">
        <v>1012</v>
      </c>
      <c r="R212" s="104">
        <v>50803</v>
      </c>
      <c r="S212" s="104">
        <f t="shared" si="105"/>
        <v>56170.438556000001</v>
      </c>
      <c r="T212" s="104" t="s">
        <v>978</v>
      </c>
      <c r="U212" s="104" t="s">
        <v>978</v>
      </c>
      <c r="V212" s="104" t="s">
        <v>978</v>
      </c>
      <c r="W212" s="104" t="s">
        <v>978</v>
      </c>
      <c r="X212" s="104" t="s">
        <v>978</v>
      </c>
      <c r="Y212" s="104" t="s">
        <v>978</v>
      </c>
      <c r="Z212" s="104" t="s">
        <v>978</v>
      </c>
      <c r="AA212" s="104" t="s">
        <v>978</v>
      </c>
      <c r="AB212" s="104" t="s">
        <v>978</v>
      </c>
      <c r="AC212" s="104" t="s">
        <v>978</v>
      </c>
      <c r="AD212" s="104" t="s">
        <v>978</v>
      </c>
      <c r="AE212" s="104" t="s">
        <v>978</v>
      </c>
      <c r="AF212" s="104" t="s">
        <v>978</v>
      </c>
      <c r="AG212" s="104" t="s">
        <v>978</v>
      </c>
      <c r="AH212" s="104" t="s">
        <v>978</v>
      </c>
      <c r="AI212" s="104" t="s">
        <v>978</v>
      </c>
      <c r="AJ212" s="104">
        <v>38400</v>
      </c>
      <c r="AK212" s="104">
        <f t="shared" si="106"/>
        <v>40358.399999999994</v>
      </c>
      <c r="AL212" s="104">
        <f t="shared" si="107"/>
        <v>48264.419278000001</v>
      </c>
      <c r="AM212" s="120">
        <v>33601</v>
      </c>
      <c r="AN212" s="103">
        <v>38610</v>
      </c>
      <c r="AO212" s="103" t="s">
        <v>974</v>
      </c>
      <c r="AP212" s="103" t="s">
        <v>974</v>
      </c>
      <c r="AQ212" s="103">
        <v>65450</v>
      </c>
      <c r="AR212" s="103" t="s">
        <v>974</v>
      </c>
      <c r="AS212" s="103" t="s">
        <v>974</v>
      </c>
      <c r="AT212" s="103" t="s">
        <v>974</v>
      </c>
      <c r="AU212" s="103">
        <f t="shared" si="101"/>
        <v>38610</v>
      </c>
      <c r="AV212" s="158"/>
      <c r="AW212" s="156">
        <f t="shared" si="109"/>
        <v>36105.5</v>
      </c>
      <c r="AX212" s="121">
        <f t="shared" si="108"/>
        <v>36106</v>
      </c>
      <c r="AY212" s="163" t="s">
        <v>1080</v>
      </c>
      <c r="AZ212" s="161">
        <v>8</v>
      </c>
      <c r="BA212" s="138">
        <v>0</v>
      </c>
      <c r="BB212" s="138">
        <v>144</v>
      </c>
      <c r="BC212" s="139">
        <f t="shared" si="103"/>
        <v>152</v>
      </c>
      <c r="BD212" s="140">
        <f t="shared" si="104"/>
        <v>5488112</v>
      </c>
    </row>
    <row r="213" spans="1:56" s="125" customFormat="1" ht="60.75" customHeight="1" x14ac:dyDescent="0.2">
      <c r="A213" s="150">
        <v>17</v>
      </c>
      <c r="B213" s="148">
        <v>210</v>
      </c>
      <c r="C213" s="105">
        <v>14111800</v>
      </c>
      <c r="D213" s="106" t="s">
        <v>348</v>
      </c>
      <c r="E213" s="105" t="s">
        <v>905</v>
      </c>
      <c r="F213" s="105" t="s">
        <v>439</v>
      </c>
      <c r="G213" s="145" t="s">
        <v>978</v>
      </c>
      <c r="H213" s="145" t="s">
        <v>978</v>
      </c>
      <c r="I213" s="145" t="s">
        <v>978</v>
      </c>
      <c r="J213" s="104" t="s">
        <v>978</v>
      </c>
      <c r="K213" s="104" t="s">
        <v>978</v>
      </c>
      <c r="L213" s="104" t="s">
        <v>978</v>
      </c>
      <c r="M213" s="104" t="s">
        <v>978</v>
      </c>
      <c r="N213" s="104" t="s">
        <v>978</v>
      </c>
      <c r="O213" s="104" t="s">
        <v>978</v>
      </c>
      <c r="P213" s="104" t="s">
        <v>978</v>
      </c>
      <c r="Q213" s="104" t="s">
        <v>1012</v>
      </c>
      <c r="R213" s="104">
        <v>56201</v>
      </c>
      <c r="S213" s="104">
        <f t="shared" si="105"/>
        <v>62138.748052000003</v>
      </c>
      <c r="T213" s="104" t="s">
        <v>978</v>
      </c>
      <c r="U213" s="104" t="s">
        <v>978</v>
      </c>
      <c r="V213" s="104" t="s">
        <v>978</v>
      </c>
      <c r="W213" s="104" t="s">
        <v>978</v>
      </c>
      <c r="X213" s="104" t="s">
        <v>978</v>
      </c>
      <c r="Y213" s="104" t="s">
        <v>978</v>
      </c>
      <c r="Z213" s="104" t="s">
        <v>978</v>
      </c>
      <c r="AA213" s="104" t="s">
        <v>978</v>
      </c>
      <c r="AB213" s="104" t="s">
        <v>978</v>
      </c>
      <c r="AC213" s="104" t="s">
        <v>978</v>
      </c>
      <c r="AD213" s="104" t="s">
        <v>978</v>
      </c>
      <c r="AE213" s="104" t="s">
        <v>978</v>
      </c>
      <c r="AF213" s="104" t="s">
        <v>978</v>
      </c>
      <c r="AG213" s="104" t="s">
        <v>978</v>
      </c>
      <c r="AH213" s="104" t="s">
        <v>978</v>
      </c>
      <c r="AI213" s="104" t="s">
        <v>978</v>
      </c>
      <c r="AJ213" s="104">
        <v>37631</v>
      </c>
      <c r="AK213" s="104">
        <f t="shared" si="106"/>
        <v>39550.180999999997</v>
      </c>
      <c r="AL213" s="104">
        <f t="shared" si="107"/>
        <v>50844.464525999996</v>
      </c>
      <c r="AM213" s="120">
        <v>33601</v>
      </c>
      <c r="AN213" s="103">
        <v>38610</v>
      </c>
      <c r="AO213" s="103" t="s">
        <v>974</v>
      </c>
      <c r="AP213" s="103" t="s">
        <v>974</v>
      </c>
      <c r="AQ213" s="103">
        <v>65450</v>
      </c>
      <c r="AR213" s="103" t="s">
        <v>974</v>
      </c>
      <c r="AS213" s="103" t="s">
        <v>974</v>
      </c>
      <c r="AT213" s="103" t="s">
        <v>974</v>
      </c>
      <c r="AU213" s="103">
        <f t="shared" si="101"/>
        <v>38610</v>
      </c>
      <c r="AV213" s="158"/>
      <c r="AW213" s="156">
        <f t="shared" si="109"/>
        <v>36105.5</v>
      </c>
      <c r="AX213" s="121">
        <f t="shared" si="108"/>
        <v>36106</v>
      </c>
      <c r="AY213" s="163" t="s">
        <v>1080</v>
      </c>
      <c r="AZ213" s="161">
        <v>10</v>
      </c>
      <c r="BA213" s="138">
        <v>0</v>
      </c>
      <c r="BB213" s="138">
        <v>144</v>
      </c>
      <c r="BC213" s="139">
        <f t="shared" si="103"/>
        <v>154</v>
      </c>
      <c r="BD213" s="140">
        <f t="shared" si="104"/>
        <v>5560324</v>
      </c>
    </row>
    <row r="214" spans="1:56" s="125" customFormat="1" ht="60" customHeight="1" x14ac:dyDescent="0.2">
      <c r="A214" s="150">
        <v>17</v>
      </c>
      <c r="B214" s="148">
        <v>211</v>
      </c>
      <c r="C214" s="105">
        <v>14111800</v>
      </c>
      <c r="D214" s="106" t="s">
        <v>349</v>
      </c>
      <c r="E214" s="105" t="s">
        <v>906</v>
      </c>
      <c r="F214" s="105" t="s">
        <v>439</v>
      </c>
      <c r="G214" s="145" t="s">
        <v>978</v>
      </c>
      <c r="H214" s="145" t="s">
        <v>978</v>
      </c>
      <c r="I214" s="145" t="s">
        <v>978</v>
      </c>
      <c r="J214" s="104" t="s">
        <v>978</v>
      </c>
      <c r="K214" s="104" t="s">
        <v>978</v>
      </c>
      <c r="L214" s="104" t="s">
        <v>978</v>
      </c>
      <c r="M214" s="104" t="s">
        <v>978</v>
      </c>
      <c r="N214" s="104" t="s">
        <v>978</v>
      </c>
      <c r="O214" s="104" t="s">
        <v>978</v>
      </c>
      <c r="P214" s="104" t="s">
        <v>978</v>
      </c>
      <c r="Q214" s="104" t="s">
        <v>1012</v>
      </c>
      <c r="R214" s="104">
        <v>56201</v>
      </c>
      <c r="S214" s="104">
        <f t="shared" si="105"/>
        <v>62138.748052000003</v>
      </c>
      <c r="T214" s="104" t="s">
        <v>978</v>
      </c>
      <c r="U214" s="104" t="s">
        <v>978</v>
      </c>
      <c r="V214" s="104" t="s">
        <v>978</v>
      </c>
      <c r="W214" s="104" t="s">
        <v>978</v>
      </c>
      <c r="X214" s="104" t="s">
        <v>978</v>
      </c>
      <c r="Y214" s="104" t="s">
        <v>978</v>
      </c>
      <c r="Z214" s="104" t="s">
        <v>978</v>
      </c>
      <c r="AA214" s="104" t="s">
        <v>978</v>
      </c>
      <c r="AB214" s="104" t="s">
        <v>978</v>
      </c>
      <c r="AC214" s="104" t="s">
        <v>978</v>
      </c>
      <c r="AD214" s="104" t="s">
        <v>978</v>
      </c>
      <c r="AE214" s="104" t="s">
        <v>978</v>
      </c>
      <c r="AF214" s="104" t="s">
        <v>978</v>
      </c>
      <c r="AG214" s="104" t="s">
        <v>978</v>
      </c>
      <c r="AH214" s="104" t="s">
        <v>978</v>
      </c>
      <c r="AI214" s="104" t="s">
        <v>978</v>
      </c>
      <c r="AJ214" s="104">
        <v>37536</v>
      </c>
      <c r="AK214" s="104">
        <f t="shared" si="106"/>
        <v>39450.335999999996</v>
      </c>
      <c r="AL214" s="104">
        <f t="shared" si="107"/>
        <v>50794.542025999996</v>
      </c>
      <c r="AM214" s="120">
        <v>33601</v>
      </c>
      <c r="AN214" s="103">
        <v>38610</v>
      </c>
      <c r="AO214" s="103" t="s">
        <v>974</v>
      </c>
      <c r="AP214" s="103" t="s">
        <v>974</v>
      </c>
      <c r="AQ214" s="103">
        <v>65450</v>
      </c>
      <c r="AR214" s="103" t="s">
        <v>974</v>
      </c>
      <c r="AS214" s="103" t="s">
        <v>974</v>
      </c>
      <c r="AT214" s="103" t="s">
        <v>974</v>
      </c>
      <c r="AU214" s="103">
        <f t="shared" si="101"/>
        <v>38610</v>
      </c>
      <c r="AV214" s="158"/>
      <c r="AW214" s="156">
        <f t="shared" si="109"/>
        <v>36105.5</v>
      </c>
      <c r="AX214" s="121">
        <f t="shared" si="108"/>
        <v>36106</v>
      </c>
      <c r="AY214" s="163" t="s">
        <v>1080</v>
      </c>
      <c r="AZ214" s="161">
        <v>10</v>
      </c>
      <c r="BA214" s="138">
        <v>0</v>
      </c>
      <c r="BB214" s="138">
        <v>144</v>
      </c>
      <c r="BC214" s="139">
        <f t="shared" si="103"/>
        <v>154</v>
      </c>
      <c r="BD214" s="140">
        <f t="shared" si="104"/>
        <v>5560324</v>
      </c>
    </row>
    <row r="215" spans="1:56" s="125" customFormat="1" ht="60.75" customHeight="1" x14ac:dyDescent="0.2">
      <c r="A215" s="150">
        <v>17</v>
      </c>
      <c r="B215" s="148">
        <v>212</v>
      </c>
      <c r="C215" s="105">
        <v>14111800</v>
      </c>
      <c r="D215" s="106" t="s">
        <v>350</v>
      </c>
      <c r="E215" s="105" t="s">
        <v>907</v>
      </c>
      <c r="F215" s="105" t="s">
        <v>439</v>
      </c>
      <c r="G215" s="145" t="s">
        <v>978</v>
      </c>
      <c r="H215" s="145" t="s">
        <v>978</v>
      </c>
      <c r="I215" s="145" t="s">
        <v>978</v>
      </c>
      <c r="J215" s="104" t="s">
        <v>978</v>
      </c>
      <c r="K215" s="104" t="s">
        <v>978</v>
      </c>
      <c r="L215" s="104" t="s">
        <v>978</v>
      </c>
      <c r="M215" s="104" t="s">
        <v>978</v>
      </c>
      <c r="N215" s="104" t="s">
        <v>978</v>
      </c>
      <c r="O215" s="104" t="s">
        <v>978</v>
      </c>
      <c r="P215" s="104" t="s">
        <v>978</v>
      </c>
      <c r="Q215" s="104" t="s">
        <v>1012</v>
      </c>
      <c r="R215" s="104" t="s">
        <v>978</v>
      </c>
      <c r="S215" s="104" t="s">
        <v>978</v>
      </c>
      <c r="T215" s="104" t="s">
        <v>978</v>
      </c>
      <c r="U215" s="104" t="s">
        <v>978</v>
      </c>
      <c r="V215" s="104" t="s">
        <v>978</v>
      </c>
      <c r="W215" s="104" t="s">
        <v>978</v>
      </c>
      <c r="X215" s="104" t="s">
        <v>978</v>
      </c>
      <c r="Y215" s="104" t="s">
        <v>978</v>
      </c>
      <c r="Z215" s="104" t="s">
        <v>978</v>
      </c>
      <c r="AA215" s="104" t="s">
        <v>978</v>
      </c>
      <c r="AB215" s="104" t="s">
        <v>978</v>
      </c>
      <c r="AC215" s="104" t="s">
        <v>978</v>
      </c>
      <c r="AD215" s="104" t="s">
        <v>978</v>
      </c>
      <c r="AE215" s="104" t="s">
        <v>978</v>
      </c>
      <c r="AF215" s="104" t="s">
        <v>978</v>
      </c>
      <c r="AG215" s="104" t="s">
        <v>978</v>
      </c>
      <c r="AH215" s="104" t="s">
        <v>978</v>
      </c>
      <c r="AI215" s="104" t="s">
        <v>978</v>
      </c>
      <c r="AJ215" s="104">
        <v>38400</v>
      </c>
      <c r="AK215" s="104">
        <f t="shared" si="106"/>
        <v>40358.399999999994</v>
      </c>
      <c r="AL215" s="104">
        <f t="shared" si="107"/>
        <v>40358.399999999994</v>
      </c>
      <c r="AM215" s="120">
        <v>33601</v>
      </c>
      <c r="AN215" s="103">
        <v>47190</v>
      </c>
      <c r="AO215" s="103" t="s">
        <v>974</v>
      </c>
      <c r="AP215" s="103" t="s">
        <v>974</v>
      </c>
      <c r="AQ215" s="103">
        <v>77350</v>
      </c>
      <c r="AR215" s="103" t="s">
        <v>974</v>
      </c>
      <c r="AS215" s="103" t="s">
        <v>974</v>
      </c>
      <c r="AT215" s="103" t="s">
        <v>974</v>
      </c>
      <c r="AU215" s="103">
        <f t="shared" si="101"/>
        <v>47190</v>
      </c>
      <c r="AV215" s="158"/>
      <c r="AW215" s="156">
        <f>+AVERAGE(AL215,AU215,AM215)</f>
        <v>40383.133333333331</v>
      </c>
      <c r="AX215" s="121">
        <f t="shared" si="108"/>
        <v>40383</v>
      </c>
      <c r="AY215" s="163" t="s">
        <v>1085</v>
      </c>
      <c r="AZ215" s="161">
        <v>2</v>
      </c>
      <c r="BA215" s="138">
        <v>0</v>
      </c>
      <c r="BB215" s="138">
        <v>6</v>
      </c>
      <c r="BC215" s="139">
        <f t="shared" si="103"/>
        <v>8</v>
      </c>
      <c r="BD215" s="140">
        <f t="shared" si="104"/>
        <v>323064</v>
      </c>
    </row>
    <row r="216" spans="1:56" s="125" customFormat="1" ht="60" customHeight="1" x14ac:dyDescent="0.2">
      <c r="A216" s="150">
        <v>17</v>
      </c>
      <c r="B216" s="148">
        <v>213</v>
      </c>
      <c r="C216" s="105">
        <v>14111800</v>
      </c>
      <c r="D216" s="106" t="s">
        <v>351</v>
      </c>
      <c r="E216" s="105" t="s">
        <v>908</v>
      </c>
      <c r="F216" s="105" t="s">
        <v>439</v>
      </c>
      <c r="G216" s="145" t="s">
        <v>978</v>
      </c>
      <c r="H216" s="145" t="s">
        <v>978</v>
      </c>
      <c r="I216" s="145" t="s">
        <v>978</v>
      </c>
      <c r="J216" s="104" t="s">
        <v>978</v>
      </c>
      <c r="K216" s="104" t="s">
        <v>978</v>
      </c>
      <c r="L216" s="104" t="s">
        <v>978</v>
      </c>
      <c r="M216" s="104" t="s">
        <v>978</v>
      </c>
      <c r="N216" s="104" t="s">
        <v>978</v>
      </c>
      <c r="O216" s="104" t="s">
        <v>978</v>
      </c>
      <c r="P216" s="104" t="s">
        <v>978</v>
      </c>
      <c r="Q216" s="104" t="s">
        <v>1012</v>
      </c>
      <c r="R216" s="104" t="s">
        <v>978</v>
      </c>
      <c r="S216" s="104" t="s">
        <v>978</v>
      </c>
      <c r="T216" s="104" t="s">
        <v>978</v>
      </c>
      <c r="U216" s="104" t="s">
        <v>978</v>
      </c>
      <c r="V216" s="104" t="s">
        <v>978</v>
      </c>
      <c r="W216" s="104" t="s">
        <v>978</v>
      </c>
      <c r="X216" s="104" t="s">
        <v>978</v>
      </c>
      <c r="Y216" s="104" t="s">
        <v>978</v>
      </c>
      <c r="Z216" s="104" t="s">
        <v>978</v>
      </c>
      <c r="AA216" s="104" t="s">
        <v>978</v>
      </c>
      <c r="AB216" s="104" t="s">
        <v>978</v>
      </c>
      <c r="AC216" s="104" t="s">
        <v>978</v>
      </c>
      <c r="AD216" s="104" t="s">
        <v>978</v>
      </c>
      <c r="AE216" s="104" t="s">
        <v>978</v>
      </c>
      <c r="AF216" s="104" t="s">
        <v>978</v>
      </c>
      <c r="AG216" s="104" t="s">
        <v>978</v>
      </c>
      <c r="AH216" s="104" t="s">
        <v>978</v>
      </c>
      <c r="AI216" s="104" t="s">
        <v>978</v>
      </c>
      <c r="AJ216" s="104">
        <v>38400</v>
      </c>
      <c r="AK216" s="104">
        <f t="shared" si="106"/>
        <v>40358.399999999994</v>
      </c>
      <c r="AL216" s="104">
        <f t="shared" si="107"/>
        <v>40358.399999999994</v>
      </c>
      <c r="AM216" s="120">
        <v>33601</v>
      </c>
      <c r="AN216" s="103">
        <v>47190</v>
      </c>
      <c r="AO216" s="103" t="s">
        <v>974</v>
      </c>
      <c r="AP216" s="103" t="s">
        <v>974</v>
      </c>
      <c r="AQ216" s="103">
        <v>77350</v>
      </c>
      <c r="AR216" s="103" t="s">
        <v>974</v>
      </c>
      <c r="AS216" s="103" t="s">
        <v>974</v>
      </c>
      <c r="AT216" s="103" t="s">
        <v>974</v>
      </c>
      <c r="AU216" s="103">
        <f t="shared" si="101"/>
        <v>47190</v>
      </c>
      <c r="AV216" s="158"/>
      <c r="AW216" s="156">
        <f>+AVERAGE(AL216,AU216,AM216)</f>
        <v>40383.133333333331</v>
      </c>
      <c r="AX216" s="121">
        <f t="shared" si="108"/>
        <v>40383</v>
      </c>
      <c r="AY216" s="163" t="s">
        <v>1085</v>
      </c>
      <c r="AZ216" s="161">
        <v>2</v>
      </c>
      <c r="BA216" s="138">
        <v>0</v>
      </c>
      <c r="BB216" s="138">
        <v>0</v>
      </c>
      <c r="BC216" s="139">
        <f t="shared" si="103"/>
        <v>2</v>
      </c>
      <c r="BD216" s="140">
        <f t="shared" si="104"/>
        <v>80766</v>
      </c>
    </row>
    <row r="217" spans="1:56" s="125" customFormat="1" ht="60.75" customHeight="1" x14ac:dyDescent="0.2">
      <c r="A217" s="150">
        <v>17</v>
      </c>
      <c r="B217" s="148">
        <v>214</v>
      </c>
      <c r="C217" s="105">
        <v>14111800</v>
      </c>
      <c r="D217" s="106" t="s">
        <v>352</v>
      </c>
      <c r="E217" s="105" t="s">
        <v>909</v>
      </c>
      <c r="F217" s="105" t="s">
        <v>439</v>
      </c>
      <c r="G217" s="145" t="s">
        <v>978</v>
      </c>
      <c r="H217" s="145" t="s">
        <v>978</v>
      </c>
      <c r="I217" s="145" t="s">
        <v>978</v>
      </c>
      <c r="J217" s="104" t="s">
        <v>978</v>
      </c>
      <c r="K217" s="104" t="s">
        <v>978</v>
      </c>
      <c r="L217" s="104" t="s">
        <v>978</v>
      </c>
      <c r="M217" s="104" t="s">
        <v>978</v>
      </c>
      <c r="N217" s="104" t="s">
        <v>978</v>
      </c>
      <c r="O217" s="104" t="s">
        <v>978</v>
      </c>
      <c r="P217" s="104" t="s">
        <v>978</v>
      </c>
      <c r="Q217" s="104" t="s">
        <v>1012</v>
      </c>
      <c r="R217" s="104" t="s">
        <v>978</v>
      </c>
      <c r="S217" s="104" t="s">
        <v>978</v>
      </c>
      <c r="T217" s="104" t="s">
        <v>978</v>
      </c>
      <c r="U217" s="104" t="s">
        <v>978</v>
      </c>
      <c r="V217" s="104" t="s">
        <v>978</v>
      </c>
      <c r="W217" s="104" t="s">
        <v>978</v>
      </c>
      <c r="X217" s="104" t="s">
        <v>978</v>
      </c>
      <c r="Y217" s="104" t="s">
        <v>978</v>
      </c>
      <c r="Z217" s="104" t="s">
        <v>978</v>
      </c>
      <c r="AA217" s="104" t="s">
        <v>978</v>
      </c>
      <c r="AB217" s="104" t="s">
        <v>978</v>
      </c>
      <c r="AC217" s="104" t="s">
        <v>978</v>
      </c>
      <c r="AD217" s="104" t="s">
        <v>978</v>
      </c>
      <c r="AE217" s="104" t="s">
        <v>978</v>
      </c>
      <c r="AF217" s="104" t="s">
        <v>978</v>
      </c>
      <c r="AG217" s="104" t="s">
        <v>978</v>
      </c>
      <c r="AH217" s="104" t="s">
        <v>978</v>
      </c>
      <c r="AI217" s="104" t="s">
        <v>978</v>
      </c>
      <c r="AJ217" s="104">
        <v>38400</v>
      </c>
      <c r="AK217" s="104">
        <f t="shared" si="106"/>
        <v>40358.399999999994</v>
      </c>
      <c r="AL217" s="104">
        <f t="shared" si="107"/>
        <v>40358.399999999994</v>
      </c>
      <c r="AM217" s="120">
        <v>33601</v>
      </c>
      <c r="AN217" s="103">
        <v>47190</v>
      </c>
      <c r="AO217" s="103" t="s">
        <v>974</v>
      </c>
      <c r="AP217" s="103" t="s">
        <v>974</v>
      </c>
      <c r="AQ217" s="103">
        <v>77350</v>
      </c>
      <c r="AR217" s="103" t="s">
        <v>974</v>
      </c>
      <c r="AS217" s="103" t="s">
        <v>974</v>
      </c>
      <c r="AT217" s="103" t="s">
        <v>974</v>
      </c>
      <c r="AU217" s="103">
        <f t="shared" si="101"/>
        <v>47190</v>
      </c>
      <c r="AV217" s="158"/>
      <c r="AW217" s="156">
        <f>+AVERAGE(AL217,AU217,AM217)</f>
        <v>40383.133333333331</v>
      </c>
      <c r="AX217" s="121">
        <f t="shared" si="108"/>
        <v>40383</v>
      </c>
      <c r="AY217" s="163" t="s">
        <v>1085</v>
      </c>
      <c r="AZ217" s="161">
        <v>2</v>
      </c>
      <c r="BA217" s="138">
        <v>0</v>
      </c>
      <c r="BB217" s="138">
        <v>0</v>
      </c>
      <c r="BC217" s="139">
        <f t="shared" si="103"/>
        <v>2</v>
      </c>
      <c r="BD217" s="140">
        <f t="shared" si="104"/>
        <v>80766</v>
      </c>
    </row>
    <row r="218" spans="1:56" s="125" customFormat="1" ht="60" customHeight="1" x14ac:dyDescent="0.2">
      <c r="A218" s="150">
        <v>17</v>
      </c>
      <c r="B218" s="148">
        <v>215</v>
      </c>
      <c r="C218" s="105">
        <v>14111800</v>
      </c>
      <c r="D218" s="106" t="s">
        <v>353</v>
      </c>
      <c r="E218" s="105" t="s">
        <v>910</v>
      </c>
      <c r="F218" s="105" t="s">
        <v>439</v>
      </c>
      <c r="G218" s="145" t="s">
        <v>978</v>
      </c>
      <c r="H218" s="145" t="s">
        <v>978</v>
      </c>
      <c r="I218" s="145" t="s">
        <v>978</v>
      </c>
      <c r="J218" s="104" t="s">
        <v>978</v>
      </c>
      <c r="K218" s="104" t="s">
        <v>978</v>
      </c>
      <c r="L218" s="104" t="s">
        <v>978</v>
      </c>
      <c r="M218" s="104" t="s">
        <v>978</v>
      </c>
      <c r="N218" s="104" t="s">
        <v>978</v>
      </c>
      <c r="O218" s="104" t="s">
        <v>978</v>
      </c>
      <c r="P218" s="104" t="s">
        <v>978</v>
      </c>
      <c r="Q218" s="104" t="s">
        <v>1012</v>
      </c>
      <c r="R218" s="104" t="s">
        <v>978</v>
      </c>
      <c r="S218" s="104" t="s">
        <v>978</v>
      </c>
      <c r="T218" s="104" t="s">
        <v>978</v>
      </c>
      <c r="U218" s="104" t="s">
        <v>978</v>
      </c>
      <c r="V218" s="104" t="s">
        <v>978</v>
      </c>
      <c r="W218" s="104" t="s">
        <v>978</v>
      </c>
      <c r="X218" s="104" t="s">
        <v>978</v>
      </c>
      <c r="Y218" s="104" t="s">
        <v>978</v>
      </c>
      <c r="Z218" s="104" t="s">
        <v>978</v>
      </c>
      <c r="AA218" s="104" t="s">
        <v>978</v>
      </c>
      <c r="AB218" s="104" t="s">
        <v>978</v>
      </c>
      <c r="AC218" s="104" t="s">
        <v>978</v>
      </c>
      <c r="AD218" s="104" t="s">
        <v>978</v>
      </c>
      <c r="AE218" s="104" t="s">
        <v>978</v>
      </c>
      <c r="AF218" s="104" t="s">
        <v>978</v>
      </c>
      <c r="AG218" s="104" t="s">
        <v>978</v>
      </c>
      <c r="AH218" s="104" t="s">
        <v>978</v>
      </c>
      <c r="AI218" s="104" t="s">
        <v>978</v>
      </c>
      <c r="AJ218" s="104">
        <v>38400</v>
      </c>
      <c r="AK218" s="104">
        <f t="shared" si="106"/>
        <v>40358.399999999994</v>
      </c>
      <c r="AL218" s="104">
        <f t="shared" si="107"/>
        <v>40358.399999999994</v>
      </c>
      <c r="AM218" s="120">
        <v>33601</v>
      </c>
      <c r="AN218" s="103">
        <v>47190</v>
      </c>
      <c r="AO218" s="103" t="s">
        <v>974</v>
      </c>
      <c r="AP218" s="103" t="s">
        <v>974</v>
      </c>
      <c r="AQ218" s="103">
        <v>77350</v>
      </c>
      <c r="AR218" s="103" t="s">
        <v>974</v>
      </c>
      <c r="AS218" s="103" t="s">
        <v>974</v>
      </c>
      <c r="AT218" s="103" t="s">
        <v>974</v>
      </c>
      <c r="AU218" s="103">
        <f t="shared" si="101"/>
        <v>47190</v>
      </c>
      <c r="AV218" s="158"/>
      <c r="AW218" s="156">
        <f>+AVERAGE(AL218,AU218,AM218)</f>
        <v>40383.133333333331</v>
      </c>
      <c r="AX218" s="121">
        <f t="shared" si="108"/>
        <v>40383</v>
      </c>
      <c r="AY218" s="163" t="s">
        <v>1085</v>
      </c>
      <c r="AZ218" s="161">
        <v>2</v>
      </c>
      <c r="BA218" s="138">
        <v>0</v>
      </c>
      <c r="BB218" s="138">
        <v>0</v>
      </c>
      <c r="BC218" s="139">
        <f t="shared" si="103"/>
        <v>2</v>
      </c>
      <c r="BD218" s="140">
        <f t="shared" si="104"/>
        <v>80766</v>
      </c>
    </row>
    <row r="219" spans="1:56" s="125" customFormat="1" ht="60.75" customHeight="1" x14ac:dyDescent="0.2">
      <c r="A219" s="150">
        <v>17</v>
      </c>
      <c r="B219" s="148">
        <v>216</v>
      </c>
      <c r="C219" s="105">
        <v>14111800</v>
      </c>
      <c r="D219" s="106" t="s">
        <v>911</v>
      </c>
      <c r="E219" s="105" t="s">
        <v>912</v>
      </c>
      <c r="F219" s="105" t="s">
        <v>439</v>
      </c>
      <c r="G219" s="145" t="s">
        <v>978</v>
      </c>
      <c r="H219" s="145" t="s">
        <v>978</v>
      </c>
      <c r="I219" s="145" t="s">
        <v>978</v>
      </c>
      <c r="J219" s="104" t="s">
        <v>978</v>
      </c>
      <c r="K219" s="104" t="s">
        <v>978</v>
      </c>
      <c r="L219" s="104" t="s">
        <v>978</v>
      </c>
      <c r="M219" s="104" t="s">
        <v>978</v>
      </c>
      <c r="N219" s="104" t="s">
        <v>978</v>
      </c>
      <c r="O219" s="104" t="s">
        <v>978</v>
      </c>
      <c r="P219" s="104" t="s">
        <v>978</v>
      </c>
      <c r="Q219" s="104" t="s">
        <v>1012</v>
      </c>
      <c r="R219" s="104" t="s">
        <v>978</v>
      </c>
      <c r="S219" s="104" t="s">
        <v>978</v>
      </c>
      <c r="T219" s="104" t="s">
        <v>978</v>
      </c>
      <c r="U219" s="104" t="s">
        <v>978</v>
      </c>
      <c r="V219" s="104" t="s">
        <v>978</v>
      </c>
      <c r="W219" s="104" t="s">
        <v>978</v>
      </c>
      <c r="X219" s="104" t="s">
        <v>978</v>
      </c>
      <c r="Y219" s="104" t="s">
        <v>978</v>
      </c>
      <c r="Z219" s="104" t="s">
        <v>978</v>
      </c>
      <c r="AA219" s="104" t="s">
        <v>978</v>
      </c>
      <c r="AB219" s="104" t="s">
        <v>978</v>
      </c>
      <c r="AC219" s="104" t="s">
        <v>978</v>
      </c>
      <c r="AD219" s="104" t="s">
        <v>978</v>
      </c>
      <c r="AE219" s="104" t="s">
        <v>978</v>
      </c>
      <c r="AF219" s="104" t="s">
        <v>978</v>
      </c>
      <c r="AG219" s="104" t="s">
        <v>978</v>
      </c>
      <c r="AH219" s="104" t="s">
        <v>978</v>
      </c>
      <c r="AI219" s="104" t="s">
        <v>978</v>
      </c>
      <c r="AJ219" s="104">
        <v>38400</v>
      </c>
      <c r="AK219" s="104">
        <f t="shared" si="106"/>
        <v>40358.399999999994</v>
      </c>
      <c r="AL219" s="104">
        <f t="shared" si="107"/>
        <v>40358.399999999994</v>
      </c>
      <c r="AM219" s="120">
        <v>33601</v>
      </c>
      <c r="AN219" s="103">
        <v>47190</v>
      </c>
      <c r="AO219" s="103" t="s">
        <v>974</v>
      </c>
      <c r="AP219" s="103" t="s">
        <v>974</v>
      </c>
      <c r="AQ219" s="103">
        <v>77350</v>
      </c>
      <c r="AR219" s="103" t="s">
        <v>974</v>
      </c>
      <c r="AS219" s="103" t="s">
        <v>974</v>
      </c>
      <c r="AT219" s="103" t="s">
        <v>974</v>
      </c>
      <c r="AU219" s="103">
        <f t="shared" si="101"/>
        <v>47190</v>
      </c>
      <c r="AV219" s="158"/>
      <c r="AW219" s="156">
        <f>+AVERAGE(AL219,AU219,AM219)</f>
        <v>40383.133333333331</v>
      </c>
      <c r="AX219" s="121">
        <f t="shared" si="108"/>
        <v>40383</v>
      </c>
      <c r="AY219" s="163" t="s">
        <v>1085</v>
      </c>
      <c r="AZ219" s="161">
        <v>2</v>
      </c>
      <c r="BA219" s="138">
        <v>0</v>
      </c>
      <c r="BB219" s="138">
        <v>0</v>
      </c>
      <c r="BC219" s="139">
        <f t="shared" si="103"/>
        <v>2</v>
      </c>
      <c r="BD219" s="140">
        <f t="shared" si="104"/>
        <v>80766</v>
      </c>
    </row>
    <row r="220" spans="1:56" s="125" customFormat="1" ht="60" customHeight="1" x14ac:dyDescent="0.2">
      <c r="A220" s="150">
        <v>17</v>
      </c>
      <c r="B220" s="148">
        <v>217</v>
      </c>
      <c r="C220" s="105">
        <v>14111800</v>
      </c>
      <c r="D220" s="106" t="s">
        <v>354</v>
      </c>
      <c r="E220" s="105" t="s">
        <v>913</v>
      </c>
      <c r="F220" s="105" t="s">
        <v>439</v>
      </c>
      <c r="G220" s="145" t="s">
        <v>978</v>
      </c>
      <c r="H220" s="145" t="s">
        <v>978</v>
      </c>
      <c r="I220" s="145" t="s">
        <v>978</v>
      </c>
      <c r="J220" s="104" t="s">
        <v>978</v>
      </c>
      <c r="K220" s="104" t="s">
        <v>978</v>
      </c>
      <c r="L220" s="104" t="s">
        <v>978</v>
      </c>
      <c r="M220" s="104" t="s">
        <v>978</v>
      </c>
      <c r="N220" s="104" t="s">
        <v>978</v>
      </c>
      <c r="O220" s="104" t="s">
        <v>978</v>
      </c>
      <c r="P220" s="104" t="s">
        <v>978</v>
      </c>
      <c r="Q220" s="104" t="s">
        <v>1012</v>
      </c>
      <c r="R220" s="104" t="s">
        <v>978</v>
      </c>
      <c r="S220" s="104" t="s">
        <v>978</v>
      </c>
      <c r="T220" s="104" t="s">
        <v>978</v>
      </c>
      <c r="U220" s="104" t="s">
        <v>978</v>
      </c>
      <c r="V220" s="104" t="s">
        <v>978</v>
      </c>
      <c r="W220" s="104" t="s">
        <v>978</v>
      </c>
      <c r="X220" s="104" t="s">
        <v>978</v>
      </c>
      <c r="Y220" s="104" t="s">
        <v>978</v>
      </c>
      <c r="Z220" s="104" t="s">
        <v>978</v>
      </c>
      <c r="AA220" s="104" t="s">
        <v>978</v>
      </c>
      <c r="AB220" s="104" t="s">
        <v>978</v>
      </c>
      <c r="AC220" s="104" t="s">
        <v>978</v>
      </c>
      <c r="AD220" s="104" t="s">
        <v>978</v>
      </c>
      <c r="AE220" s="104" t="s">
        <v>978</v>
      </c>
      <c r="AF220" s="104" t="s">
        <v>978</v>
      </c>
      <c r="AG220" s="104" t="s">
        <v>978</v>
      </c>
      <c r="AH220" s="104" t="s">
        <v>978</v>
      </c>
      <c r="AI220" s="104" t="s">
        <v>978</v>
      </c>
      <c r="AJ220" s="104">
        <v>38400</v>
      </c>
      <c r="AK220" s="104">
        <f t="shared" si="106"/>
        <v>40358.399999999994</v>
      </c>
      <c r="AL220" s="104">
        <f t="shared" si="107"/>
        <v>40358.399999999994</v>
      </c>
      <c r="AM220" s="120" t="s">
        <v>978</v>
      </c>
      <c r="AN220" s="103">
        <v>47190</v>
      </c>
      <c r="AO220" s="103" t="s">
        <v>974</v>
      </c>
      <c r="AP220" s="103" t="s">
        <v>974</v>
      </c>
      <c r="AQ220" s="103">
        <v>77350</v>
      </c>
      <c r="AR220" s="103" t="s">
        <v>974</v>
      </c>
      <c r="AS220" s="103" t="s">
        <v>974</v>
      </c>
      <c r="AT220" s="103" t="s">
        <v>974</v>
      </c>
      <c r="AU220" s="103">
        <f t="shared" si="101"/>
        <v>47190</v>
      </c>
      <c r="AV220" s="158"/>
      <c r="AW220" s="156">
        <f t="shared" ref="AW220:AW227" si="110">+AVERAGE(AL220,AU220)</f>
        <v>43774.2</v>
      </c>
      <c r="AX220" s="121">
        <f t="shared" si="108"/>
        <v>43774</v>
      </c>
      <c r="AY220" s="163" t="s">
        <v>1073</v>
      </c>
      <c r="AZ220" s="161">
        <v>2</v>
      </c>
      <c r="BA220" s="138">
        <v>0</v>
      </c>
      <c r="BB220" s="138">
        <v>0</v>
      </c>
      <c r="BC220" s="139">
        <f t="shared" si="103"/>
        <v>2</v>
      </c>
      <c r="BD220" s="140">
        <f t="shared" si="104"/>
        <v>87548</v>
      </c>
    </row>
    <row r="221" spans="1:56" s="125" customFormat="1" ht="60.75" customHeight="1" x14ac:dyDescent="0.2">
      <c r="A221" s="150">
        <v>17</v>
      </c>
      <c r="B221" s="148">
        <v>218</v>
      </c>
      <c r="C221" s="105">
        <v>14111800</v>
      </c>
      <c r="D221" s="106" t="s">
        <v>355</v>
      </c>
      <c r="E221" s="105" t="s">
        <v>914</v>
      </c>
      <c r="F221" s="105" t="s">
        <v>439</v>
      </c>
      <c r="G221" s="145" t="s">
        <v>978</v>
      </c>
      <c r="H221" s="145" t="s">
        <v>978</v>
      </c>
      <c r="I221" s="145" t="s">
        <v>978</v>
      </c>
      <c r="J221" s="104" t="s">
        <v>978</v>
      </c>
      <c r="K221" s="104" t="s">
        <v>978</v>
      </c>
      <c r="L221" s="104" t="s">
        <v>978</v>
      </c>
      <c r="M221" s="104" t="s">
        <v>978</v>
      </c>
      <c r="N221" s="104" t="s">
        <v>978</v>
      </c>
      <c r="O221" s="104" t="s">
        <v>978</v>
      </c>
      <c r="P221" s="104" t="s">
        <v>978</v>
      </c>
      <c r="Q221" s="104" t="s">
        <v>1012</v>
      </c>
      <c r="R221" s="104" t="s">
        <v>978</v>
      </c>
      <c r="S221" s="104" t="s">
        <v>978</v>
      </c>
      <c r="T221" s="104" t="s">
        <v>978</v>
      </c>
      <c r="U221" s="104" t="s">
        <v>978</v>
      </c>
      <c r="V221" s="104" t="s">
        <v>978</v>
      </c>
      <c r="W221" s="104" t="s">
        <v>978</v>
      </c>
      <c r="X221" s="104" t="s">
        <v>978</v>
      </c>
      <c r="Y221" s="104" t="s">
        <v>978</v>
      </c>
      <c r="Z221" s="104" t="s">
        <v>978</v>
      </c>
      <c r="AA221" s="104" t="s">
        <v>978</v>
      </c>
      <c r="AB221" s="104" t="s">
        <v>978</v>
      </c>
      <c r="AC221" s="104" t="s">
        <v>978</v>
      </c>
      <c r="AD221" s="104" t="s">
        <v>978</v>
      </c>
      <c r="AE221" s="104" t="s">
        <v>978</v>
      </c>
      <c r="AF221" s="104" t="s">
        <v>978</v>
      </c>
      <c r="AG221" s="104" t="s">
        <v>978</v>
      </c>
      <c r="AH221" s="104" t="s">
        <v>978</v>
      </c>
      <c r="AI221" s="104" t="s">
        <v>978</v>
      </c>
      <c r="AJ221" s="104" t="s">
        <v>978</v>
      </c>
      <c r="AK221" s="104" t="s">
        <v>978</v>
      </c>
      <c r="AL221" s="104" t="s">
        <v>978</v>
      </c>
      <c r="AM221" s="120" t="s">
        <v>978</v>
      </c>
      <c r="AN221" s="103">
        <v>38610</v>
      </c>
      <c r="AO221" s="103" t="s">
        <v>974</v>
      </c>
      <c r="AP221" s="103" t="s">
        <v>974</v>
      </c>
      <c r="AQ221" s="103">
        <v>77350</v>
      </c>
      <c r="AR221" s="103" t="s">
        <v>974</v>
      </c>
      <c r="AS221" s="103" t="s">
        <v>974</v>
      </c>
      <c r="AT221" s="103" t="s">
        <v>974</v>
      </c>
      <c r="AU221" s="103">
        <f t="shared" si="101"/>
        <v>38610</v>
      </c>
      <c r="AV221" s="158"/>
      <c r="AW221" s="156">
        <f t="shared" si="110"/>
        <v>38610</v>
      </c>
      <c r="AX221" s="121">
        <f t="shared" si="108"/>
        <v>38610</v>
      </c>
      <c r="AY221" s="163" t="s">
        <v>1073</v>
      </c>
      <c r="AZ221" s="161">
        <v>1</v>
      </c>
      <c r="BA221" s="138">
        <v>0</v>
      </c>
      <c r="BB221" s="138">
        <v>0</v>
      </c>
      <c r="BC221" s="139">
        <f t="shared" si="103"/>
        <v>1</v>
      </c>
      <c r="BD221" s="140">
        <f t="shared" si="104"/>
        <v>38610</v>
      </c>
    </row>
    <row r="222" spans="1:56" s="125" customFormat="1" ht="60" customHeight="1" x14ac:dyDescent="0.2">
      <c r="A222" s="150">
        <v>17</v>
      </c>
      <c r="B222" s="148">
        <v>219</v>
      </c>
      <c r="C222" s="105">
        <v>14111800</v>
      </c>
      <c r="D222" s="106" t="s">
        <v>356</v>
      </c>
      <c r="E222" s="105" t="s">
        <v>915</v>
      </c>
      <c r="F222" s="105" t="s">
        <v>439</v>
      </c>
      <c r="G222" s="145" t="s">
        <v>978</v>
      </c>
      <c r="H222" s="145" t="s">
        <v>978</v>
      </c>
      <c r="I222" s="145" t="s">
        <v>978</v>
      </c>
      <c r="J222" s="104" t="s">
        <v>978</v>
      </c>
      <c r="K222" s="104" t="s">
        <v>978</v>
      </c>
      <c r="L222" s="104" t="s">
        <v>978</v>
      </c>
      <c r="M222" s="104" t="s">
        <v>978</v>
      </c>
      <c r="N222" s="104" t="s">
        <v>978</v>
      </c>
      <c r="O222" s="104" t="s">
        <v>978</v>
      </c>
      <c r="P222" s="104" t="s">
        <v>978</v>
      </c>
      <c r="Q222" s="104" t="s">
        <v>1012</v>
      </c>
      <c r="R222" s="104" t="s">
        <v>978</v>
      </c>
      <c r="S222" s="104" t="s">
        <v>978</v>
      </c>
      <c r="T222" s="104" t="s">
        <v>978</v>
      </c>
      <c r="U222" s="104" t="s">
        <v>978</v>
      </c>
      <c r="V222" s="104" t="s">
        <v>978</v>
      </c>
      <c r="W222" s="104" t="s">
        <v>978</v>
      </c>
      <c r="X222" s="104" t="s">
        <v>978</v>
      </c>
      <c r="Y222" s="104" t="s">
        <v>978</v>
      </c>
      <c r="Z222" s="104" t="s">
        <v>978</v>
      </c>
      <c r="AA222" s="104" t="s">
        <v>978</v>
      </c>
      <c r="AB222" s="104" t="s">
        <v>978</v>
      </c>
      <c r="AC222" s="104" t="s">
        <v>978</v>
      </c>
      <c r="AD222" s="104" t="s">
        <v>978</v>
      </c>
      <c r="AE222" s="104" t="s">
        <v>978</v>
      </c>
      <c r="AF222" s="104" t="s">
        <v>978</v>
      </c>
      <c r="AG222" s="104" t="s">
        <v>978</v>
      </c>
      <c r="AH222" s="104" t="s">
        <v>978</v>
      </c>
      <c r="AI222" s="104" t="s">
        <v>978</v>
      </c>
      <c r="AJ222" s="104" t="s">
        <v>978</v>
      </c>
      <c r="AK222" s="104" t="s">
        <v>978</v>
      </c>
      <c r="AL222" s="104" t="s">
        <v>978</v>
      </c>
      <c r="AM222" s="120" t="s">
        <v>978</v>
      </c>
      <c r="AN222" s="103">
        <v>38610</v>
      </c>
      <c r="AO222" s="103" t="s">
        <v>974</v>
      </c>
      <c r="AP222" s="103" t="s">
        <v>974</v>
      </c>
      <c r="AQ222" s="103">
        <v>77350</v>
      </c>
      <c r="AR222" s="103" t="s">
        <v>974</v>
      </c>
      <c r="AS222" s="103" t="s">
        <v>974</v>
      </c>
      <c r="AT222" s="103" t="s">
        <v>974</v>
      </c>
      <c r="AU222" s="103">
        <f t="shared" si="101"/>
        <v>38610</v>
      </c>
      <c r="AV222" s="158"/>
      <c r="AW222" s="156">
        <f t="shared" si="110"/>
        <v>38610</v>
      </c>
      <c r="AX222" s="121">
        <f t="shared" si="108"/>
        <v>38610</v>
      </c>
      <c r="AY222" s="163" t="s">
        <v>1073</v>
      </c>
      <c r="AZ222" s="161">
        <v>1</v>
      </c>
      <c r="BA222" s="138">
        <v>0</v>
      </c>
      <c r="BB222" s="138">
        <v>0</v>
      </c>
      <c r="BC222" s="139">
        <f t="shared" si="103"/>
        <v>1</v>
      </c>
      <c r="BD222" s="140">
        <f t="shared" si="104"/>
        <v>38610</v>
      </c>
    </row>
    <row r="223" spans="1:56" s="125" customFormat="1" ht="60.75" customHeight="1" x14ac:dyDescent="0.2">
      <c r="A223" s="150">
        <v>17</v>
      </c>
      <c r="B223" s="148">
        <v>220</v>
      </c>
      <c r="C223" s="105">
        <v>14111800</v>
      </c>
      <c r="D223" s="106" t="s">
        <v>357</v>
      </c>
      <c r="E223" s="105" t="s">
        <v>916</v>
      </c>
      <c r="F223" s="105" t="s">
        <v>439</v>
      </c>
      <c r="G223" s="145" t="s">
        <v>978</v>
      </c>
      <c r="H223" s="145" t="s">
        <v>978</v>
      </c>
      <c r="I223" s="145" t="s">
        <v>978</v>
      </c>
      <c r="J223" s="104" t="s">
        <v>978</v>
      </c>
      <c r="K223" s="104" t="s">
        <v>978</v>
      </c>
      <c r="L223" s="104" t="s">
        <v>978</v>
      </c>
      <c r="M223" s="104" t="s">
        <v>978</v>
      </c>
      <c r="N223" s="104" t="s">
        <v>978</v>
      </c>
      <c r="O223" s="104" t="s">
        <v>978</v>
      </c>
      <c r="P223" s="104" t="s">
        <v>978</v>
      </c>
      <c r="Q223" s="104" t="s">
        <v>1012</v>
      </c>
      <c r="R223" s="104" t="s">
        <v>978</v>
      </c>
      <c r="S223" s="104" t="s">
        <v>978</v>
      </c>
      <c r="T223" s="104" t="s">
        <v>978</v>
      </c>
      <c r="U223" s="104" t="s">
        <v>978</v>
      </c>
      <c r="V223" s="104" t="s">
        <v>978</v>
      </c>
      <c r="W223" s="104" t="s">
        <v>978</v>
      </c>
      <c r="X223" s="104" t="s">
        <v>978</v>
      </c>
      <c r="Y223" s="104" t="s">
        <v>978</v>
      </c>
      <c r="Z223" s="104" t="s">
        <v>978</v>
      </c>
      <c r="AA223" s="104" t="s">
        <v>978</v>
      </c>
      <c r="AB223" s="104" t="s">
        <v>978</v>
      </c>
      <c r="AC223" s="104" t="s">
        <v>978</v>
      </c>
      <c r="AD223" s="104" t="s">
        <v>978</v>
      </c>
      <c r="AE223" s="104" t="s">
        <v>978</v>
      </c>
      <c r="AF223" s="104" t="s">
        <v>978</v>
      </c>
      <c r="AG223" s="104" t="s">
        <v>978</v>
      </c>
      <c r="AH223" s="104" t="s">
        <v>978</v>
      </c>
      <c r="AI223" s="104" t="s">
        <v>978</v>
      </c>
      <c r="AJ223" s="104" t="s">
        <v>978</v>
      </c>
      <c r="AK223" s="104" t="s">
        <v>978</v>
      </c>
      <c r="AL223" s="104" t="s">
        <v>978</v>
      </c>
      <c r="AM223" s="120" t="s">
        <v>978</v>
      </c>
      <c r="AN223" s="103">
        <v>38610</v>
      </c>
      <c r="AO223" s="103" t="s">
        <v>974</v>
      </c>
      <c r="AP223" s="103" t="s">
        <v>974</v>
      </c>
      <c r="AQ223" s="103">
        <v>77350</v>
      </c>
      <c r="AR223" s="103" t="s">
        <v>974</v>
      </c>
      <c r="AS223" s="103" t="s">
        <v>974</v>
      </c>
      <c r="AT223" s="103" t="s">
        <v>974</v>
      </c>
      <c r="AU223" s="103">
        <f t="shared" si="101"/>
        <v>38610</v>
      </c>
      <c r="AV223" s="158"/>
      <c r="AW223" s="156">
        <f t="shared" si="110"/>
        <v>38610</v>
      </c>
      <c r="AX223" s="121">
        <f t="shared" si="108"/>
        <v>38610</v>
      </c>
      <c r="AY223" s="163" t="s">
        <v>1073</v>
      </c>
      <c r="AZ223" s="161">
        <v>1</v>
      </c>
      <c r="BA223" s="138">
        <v>0</v>
      </c>
      <c r="BB223" s="138">
        <v>0</v>
      </c>
      <c r="BC223" s="139">
        <f t="shared" si="103"/>
        <v>1</v>
      </c>
      <c r="BD223" s="140">
        <f t="shared" si="104"/>
        <v>38610</v>
      </c>
    </row>
    <row r="224" spans="1:56" s="125" customFormat="1" ht="60" customHeight="1" x14ac:dyDescent="0.2">
      <c r="A224" s="150">
        <v>17</v>
      </c>
      <c r="B224" s="148">
        <v>221</v>
      </c>
      <c r="C224" s="105">
        <v>14111800</v>
      </c>
      <c r="D224" s="106" t="s">
        <v>358</v>
      </c>
      <c r="E224" s="105" t="s">
        <v>917</v>
      </c>
      <c r="F224" s="105" t="s">
        <v>439</v>
      </c>
      <c r="G224" s="145" t="s">
        <v>978</v>
      </c>
      <c r="H224" s="145" t="s">
        <v>978</v>
      </c>
      <c r="I224" s="145" t="s">
        <v>978</v>
      </c>
      <c r="J224" s="104" t="s">
        <v>978</v>
      </c>
      <c r="K224" s="104" t="s">
        <v>978</v>
      </c>
      <c r="L224" s="104" t="s">
        <v>978</v>
      </c>
      <c r="M224" s="104" t="s">
        <v>978</v>
      </c>
      <c r="N224" s="104" t="s">
        <v>978</v>
      </c>
      <c r="O224" s="104" t="s">
        <v>978</v>
      </c>
      <c r="P224" s="104" t="s">
        <v>978</v>
      </c>
      <c r="Q224" s="104" t="s">
        <v>1012</v>
      </c>
      <c r="R224" s="104" t="s">
        <v>978</v>
      </c>
      <c r="S224" s="104" t="s">
        <v>978</v>
      </c>
      <c r="T224" s="104" t="s">
        <v>978</v>
      </c>
      <c r="U224" s="104" t="s">
        <v>978</v>
      </c>
      <c r="V224" s="104" t="s">
        <v>978</v>
      </c>
      <c r="W224" s="104" t="s">
        <v>978</v>
      </c>
      <c r="X224" s="104" t="s">
        <v>978</v>
      </c>
      <c r="Y224" s="104" t="s">
        <v>978</v>
      </c>
      <c r="Z224" s="104" t="s">
        <v>978</v>
      </c>
      <c r="AA224" s="104" t="s">
        <v>978</v>
      </c>
      <c r="AB224" s="104" t="s">
        <v>978</v>
      </c>
      <c r="AC224" s="104" t="s">
        <v>978</v>
      </c>
      <c r="AD224" s="104" t="s">
        <v>978</v>
      </c>
      <c r="AE224" s="104" t="s">
        <v>978</v>
      </c>
      <c r="AF224" s="104" t="s">
        <v>978</v>
      </c>
      <c r="AG224" s="104" t="s">
        <v>978</v>
      </c>
      <c r="AH224" s="104" t="s">
        <v>978</v>
      </c>
      <c r="AI224" s="104" t="s">
        <v>978</v>
      </c>
      <c r="AJ224" s="104">
        <v>38400</v>
      </c>
      <c r="AK224" s="104">
        <f t="shared" si="106"/>
        <v>40358.399999999994</v>
      </c>
      <c r="AL224" s="104">
        <f t="shared" si="107"/>
        <v>40358.399999999994</v>
      </c>
      <c r="AM224" s="120" t="s">
        <v>978</v>
      </c>
      <c r="AN224" s="103">
        <v>47190</v>
      </c>
      <c r="AO224" s="103" t="s">
        <v>974</v>
      </c>
      <c r="AP224" s="103" t="s">
        <v>974</v>
      </c>
      <c r="AQ224" s="103">
        <v>77350</v>
      </c>
      <c r="AR224" s="103" t="s">
        <v>974</v>
      </c>
      <c r="AS224" s="103" t="s">
        <v>974</v>
      </c>
      <c r="AT224" s="103" t="s">
        <v>974</v>
      </c>
      <c r="AU224" s="103">
        <f t="shared" si="101"/>
        <v>47190</v>
      </c>
      <c r="AV224" s="158"/>
      <c r="AW224" s="156">
        <f t="shared" si="110"/>
        <v>43774.2</v>
      </c>
      <c r="AX224" s="121">
        <f t="shared" si="108"/>
        <v>43774</v>
      </c>
      <c r="AY224" s="163" t="s">
        <v>1073</v>
      </c>
      <c r="AZ224" s="161">
        <v>1</v>
      </c>
      <c r="BA224" s="138">
        <v>0</v>
      </c>
      <c r="BB224" s="138">
        <v>0</v>
      </c>
      <c r="BC224" s="139">
        <f t="shared" si="103"/>
        <v>1</v>
      </c>
      <c r="BD224" s="140">
        <f t="shared" si="104"/>
        <v>43774</v>
      </c>
    </row>
    <row r="225" spans="1:56" s="125" customFormat="1" ht="60.75" customHeight="1" x14ac:dyDescent="0.2">
      <c r="A225" s="150">
        <v>17</v>
      </c>
      <c r="B225" s="148">
        <v>222</v>
      </c>
      <c r="C225" s="105">
        <v>14111800</v>
      </c>
      <c r="D225" s="106" t="s">
        <v>359</v>
      </c>
      <c r="E225" s="105" t="s">
        <v>918</v>
      </c>
      <c r="F225" s="105" t="s">
        <v>439</v>
      </c>
      <c r="G225" s="145" t="s">
        <v>978</v>
      </c>
      <c r="H225" s="145" t="s">
        <v>978</v>
      </c>
      <c r="I225" s="145" t="s">
        <v>978</v>
      </c>
      <c r="J225" s="104" t="s">
        <v>978</v>
      </c>
      <c r="K225" s="104" t="s">
        <v>978</v>
      </c>
      <c r="L225" s="104" t="s">
        <v>978</v>
      </c>
      <c r="M225" s="104" t="s">
        <v>978</v>
      </c>
      <c r="N225" s="104" t="s">
        <v>978</v>
      </c>
      <c r="O225" s="104" t="s">
        <v>978</v>
      </c>
      <c r="P225" s="104" t="s">
        <v>978</v>
      </c>
      <c r="Q225" s="104" t="s">
        <v>1012</v>
      </c>
      <c r="R225" s="104" t="s">
        <v>978</v>
      </c>
      <c r="S225" s="104" t="s">
        <v>978</v>
      </c>
      <c r="T225" s="104" t="s">
        <v>978</v>
      </c>
      <c r="U225" s="104" t="s">
        <v>978</v>
      </c>
      <c r="V225" s="104" t="s">
        <v>978</v>
      </c>
      <c r="W225" s="104" t="s">
        <v>978</v>
      </c>
      <c r="X225" s="104" t="s">
        <v>978</v>
      </c>
      <c r="Y225" s="104" t="s">
        <v>978</v>
      </c>
      <c r="Z225" s="104" t="s">
        <v>978</v>
      </c>
      <c r="AA225" s="104" t="s">
        <v>978</v>
      </c>
      <c r="AB225" s="104" t="s">
        <v>978</v>
      </c>
      <c r="AC225" s="104" t="s">
        <v>978</v>
      </c>
      <c r="AD225" s="104" t="s">
        <v>978</v>
      </c>
      <c r="AE225" s="104" t="s">
        <v>978</v>
      </c>
      <c r="AF225" s="104" t="s">
        <v>978</v>
      </c>
      <c r="AG225" s="104" t="s">
        <v>978</v>
      </c>
      <c r="AH225" s="104" t="s">
        <v>978</v>
      </c>
      <c r="AI225" s="104" t="s">
        <v>978</v>
      </c>
      <c r="AJ225" s="104" t="s">
        <v>978</v>
      </c>
      <c r="AK225" s="104" t="s">
        <v>978</v>
      </c>
      <c r="AL225" s="104" t="s">
        <v>978</v>
      </c>
      <c r="AM225" s="120" t="s">
        <v>978</v>
      </c>
      <c r="AN225" s="103">
        <v>47190</v>
      </c>
      <c r="AO225" s="103" t="s">
        <v>974</v>
      </c>
      <c r="AP225" s="103" t="s">
        <v>974</v>
      </c>
      <c r="AQ225" s="103">
        <v>77350</v>
      </c>
      <c r="AR225" s="103" t="s">
        <v>974</v>
      </c>
      <c r="AS225" s="103" t="s">
        <v>974</v>
      </c>
      <c r="AT225" s="103" t="s">
        <v>974</v>
      </c>
      <c r="AU225" s="103">
        <f t="shared" si="101"/>
        <v>47190</v>
      </c>
      <c r="AV225" s="158"/>
      <c r="AW225" s="156">
        <f t="shared" si="110"/>
        <v>47190</v>
      </c>
      <c r="AX225" s="121">
        <f t="shared" si="108"/>
        <v>47190</v>
      </c>
      <c r="AY225" s="163" t="s">
        <v>1073</v>
      </c>
      <c r="AZ225" s="161">
        <v>1</v>
      </c>
      <c r="BA225" s="138">
        <v>0</v>
      </c>
      <c r="BB225" s="138">
        <v>0</v>
      </c>
      <c r="BC225" s="139">
        <f t="shared" si="103"/>
        <v>1</v>
      </c>
      <c r="BD225" s="140">
        <f t="shared" si="104"/>
        <v>47190</v>
      </c>
    </row>
    <row r="226" spans="1:56" s="125" customFormat="1" ht="60" customHeight="1" x14ac:dyDescent="0.2">
      <c r="A226" s="150">
        <v>17</v>
      </c>
      <c r="B226" s="148">
        <v>223</v>
      </c>
      <c r="C226" s="105">
        <v>14111800</v>
      </c>
      <c r="D226" s="106" t="s">
        <v>360</v>
      </c>
      <c r="E226" s="105" t="s">
        <v>919</v>
      </c>
      <c r="F226" s="105" t="s">
        <v>439</v>
      </c>
      <c r="G226" s="145" t="s">
        <v>978</v>
      </c>
      <c r="H226" s="145" t="s">
        <v>978</v>
      </c>
      <c r="I226" s="145" t="s">
        <v>978</v>
      </c>
      <c r="J226" s="104" t="s">
        <v>978</v>
      </c>
      <c r="K226" s="104" t="s">
        <v>978</v>
      </c>
      <c r="L226" s="104" t="s">
        <v>978</v>
      </c>
      <c r="M226" s="104" t="s">
        <v>978</v>
      </c>
      <c r="N226" s="104" t="s">
        <v>978</v>
      </c>
      <c r="O226" s="104" t="s">
        <v>978</v>
      </c>
      <c r="P226" s="104" t="s">
        <v>978</v>
      </c>
      <c r="Q226" s="104" t="s">
        <v>1012</v>
      </c>
      <c r="R226" s="104" t="s">
        <v>978</v>
      </c>
      <c r="S226" s="104" t="s">
        <v>978</v>
      </c>
      <c r="T226" s="104" t="s">
        <v>978</v>
      </c>
      <c r="U226" s="104" t="s">
        <v>978</v>
      </c>
      <c r="V226" s="104" t="s">
        <v>978</v>
      </c>
      <c r="W226" s="104" t="s">
        <v>978</v>
      </c>
      <c r="X226" s="104" t="s">
        <v>978</v>
      </c>
      <c r="Y226" s="104" t="s">
        <v>978</v>
      </c>
      <c r="Z226" s="104" t="s">
        <v>978</v>
      </c>
      <c r="AA226" s="104" t="s">
        <v>978</v>
      </c>
      <c r="AB226" s="104" t="s">
        <v>978</v>
      </c>
      <c r="AC226" s="104" t="s">
        <v>978</v>
      </c>
      <c r="AD226" s="104" t="s">
        <v>978</v>
      </c>
      <c r="AE226" s="104" t="s">
        <v>978</v>
      </c>
      <c r="AF226" s="104" t="s">
        <v>978</v>
      </c>
      <c r="AG226" s="104" t="s">
        <v>978</v>
      </c>
      <c r="AH226" s="104" t="s">
        <v>978</v>
      </c>
      <c r="AI226" s="104" t="s">
        <v>978</v>
      </c>
      <c r="AJ226" s="104" t="s">
        <v>978</v>
      </c>
      <c r="AK226" s="104" t="s">
        <v>978</v>
      </c>
      <c r="AL226" s="104" t="s">
        <v>978</v>
      </c>
      <c r="AM226" s="120" t="s">
        <v>978</v>
      </c>
      <c r="AN226" s="103">
        <v>47190</v>
      </c>
      <c r="AO226" s="103" t="s">
        <v>974</v>
      </c>
      <c r="AP226" s="103" t="s">
        <v>974</v>
      </c>
      <c r="AQ226" s="103">
        <v>77350</v>
      </c>
      <c r="AR226" s="103" t="s">
        <v>974</v>
      </c>
      <c r="AS226" s="103" t="s">
        <v>974</v>
      </c>
      <c r="AT226" s="103" t="s">
        <v>974</v>
      </c>
      <c r="AU226" s="103">
        <f t="shared" si="101"/>
        <v>47190</v>
      </c>
      <c r="AV226" s="158"/>
      <c r="AW226" s="156">
        <f t="shared" si="110"/>
        <v>47190</v>
      </c>
      <c r="AX226" s="121">
        <f t="shared" si="108"/>
        <v>47190</v>
      </c>
      <c r="AY226" s="163" t="s">
        <v>1073</v>
      </c>
      <c r="AZ226" s="161">
        <v>1</v>
      </c>
      <c r="BA226" s="138">
        <v>0</v>
      </c>
      <c r="BB226" s="138">
        <v>0</v>
      </c>
      <c r="BC226" s="139">
        <f t="shared" si="103"/>
        <v>1</v>
      </c>
      <c r="BD226" s="140">
        <f t="shared" si="104"/>
        <v>47190</v>
      </c>
    </row>
    <row r="227" spans="1:56" s="125" customFormat="1" ht="60.75" customHeight="1" x14ac:dyDescent="0.2">
      <c r="A227" s="150">
        <v>17</v>
      </c>
      <c r="B227" s="148">
        <v>224</v>
      </c>
      <c r="C227" s="105">
        <v>14111800</v>
      </c>
      <c r="D227" s="106" t="s">
        <v>361</v>
      </c>
      <c r="E227" s="105" t="s">
        <v>920</v>
      </c>
      <c r="F227" s="105" t="s">
        <v>439</v>
      </c>
      <c r="G227" s="145" t="s">
        <v>978</v>
      </c>
      <c r="H227" s="145" t="s">
        <v>978</v>
      </c>
      <c r="I227" s="145" t="s">
        <v>978</v>
      </c>
      <c r="J227" s="104" t="s">
        <v>978</v>
      </c>
      <c r="K227" s="104" t="s">
        <v>978</v>
      </c>
      <c r="L227" s="104" t="s">
        <v>978</v>
      </c>
      <c r="M227" s="104" t="s">
        <v>978</v>
      </c>
      <c r="N227" s="104" t="s">
        <v>978</v>
      </c>
      <c r="O227" s="104" t="s">
        <v>978</v>
      </c>
      <c r="P227" s="104" t="s">
        <v>978</v>
      </c>
      <c r="Q227" s="104" t="s">
        <v>1012</v>
      </c>
      <c r="R227" s="104" t="s">
        <v>978</v>
      </c>
      <c r="S227" s="104" t="s">
        <v>978</v>
      </c>
      <c r="T227" s="104" t="s">
        <v>978</v>
      </c>
      <c r="U227" s="104" t="s">
        <v>978</v>
      </c>
      <c r="V227" s="104" t="s">
        <v>978</v>
      </c>
      <c r="W227" s="104" t="s">
        <v>978</v>
      </c>
      <c r="X227" s="104" t="s">
        <v>978</v>
      </c>
      <c r="Y227" s="104" t="s">
        <v>978</v>
      </c>
      <c r="Z227" s="104" t="s">
        <v>978</v>
      </c>
      <c r="AA227" s="104" t="s">
        <v>978</v>
      </c>
      <c r="AB227" s="104" t="s">
        <v>978</v>
      </c>
      <c r="AC227" s="104" t="s">
        <v>978</v>
      </c>
      <c r="AD227" s="104" t="s">
        <v>978</v>
      </c>
      <c r="AE227" s="104" t="s">
        <v>978</v>
      </c>
      <c r="AF227" s="104" t="s">
        <v>978</v>
      </c>
      <c r="AG227" s="104" t="s">
        <v>978</v>
      </c>
      <c r="AH227" s="104" t="s">
        <v>978</v>
      </c>
      <c r="AI227" s="104" t="s">
        <v>978</v>
      </c>
      <c r="AJ227" s="104" t="s">
        <v>978</v>
      </c>
      <c r="AK227" s="104" t="s">
        <v>978</v>
      </c>
      <c r="AL227" s="104" t="s">
        <v>978</v>
      </c>
      <c r="AM227" s="120" t="s">
        <v>978</v>
      </c>
      <c r="AN227" s="103">
        <v>47190</v>
      </c>
      <c r="AO227" s="103" t="s">
        <v>974</v>
      </c>
      <c r="AP227" s="103" t="s">
        <v>974</v>
      </c>
      <c r="AQ227" s="103">
        <v>77350</v>
      </c>
      <c r="AR227" s="103" t="s">
        <v>974</v>
      </c>
      <c r="AS227" s="103" t="s">
        <v>974</v>
      </c>
      <c r="AT227" s="103" t="s">
        <v>974</v>
      </c>
      <c r="AU227" s="103">
        <f t="shared" si="101"/>
        <v>47190</v>
      </c>
      <c r="AV227" s="158"/>
      <c r="AW227" s="156">
        <f t="shared" si="110"/>
        <v>47190</v>
      </c>
      <c r="AX227" s="121">
        <f t="shared" si="108"/>
        <v>47190</v>
      </c>
      <c r="AY227" s="163" t="s">
        <v>1073</v>
      </c>
      <c r="AZ227" s="161">
        <v>1</v>
      </c>
      <c r="BA227" s="138">
        <v>0</v>
      </c>
      <c r="BB227" s="138">
        <v>0</v>
      </c>
      <c r="BC227" s="139">
        <f t="shared" si="103"/>
        <v>1</v>
      </c>
      <c r="BD227" s="140">
        <f t="shared" si="104"/>
        <v>47190</v>
      </c>
    </row>
    <row r="228" spans="1:56" s="125" customFormat="1" ht="48" customHeight="1" x14ac:dyDescent="0.2">
      <c r="A228" s="150">
        <v>17</v>
      </c>
      <c r="B228" s="148">
        <v>225</v>
      </c>
      <c r="C228" s="105">
        <v>14111800</v>
      </c>
      <c r="D228" s="106" t="s">
        <v>362</v>
      </c>
      <c r="E228" s="105" t="s">
        <v>769</v>
      </c>
      <c r="F228" s="105" t="s">
        <v>463</v>
      </c>
      <c r="G228" s="145" t="s">
        <v>978</v>
      </c>
      <c r="H228" s="145" t="s">
        <v>978</v>
      </c>
      <c r="I228" s="145" t="s">
        <v>978</v>
      </c>
      <c r="J228" s="104" t="s">
        <v>978</v>
      </c>
      <c r="K228" s="104" t="s">
        <v>978</v>
      </c>
      <c r="L228" s="104" t="s">
        <v>978</v>
      </c>
      <c r="M228" s="104" t="s">
        <v>978</v>
      </c>
      <c r="N228" s="104" t="s">
        <v>978</v>
      </c>
      <c r="O228" s="104" t="s">
        <v>978</v>
      </c>
      <c r="P228" s="104" t="s">
        <v>978</v>
      </c>
      <c r="Q228" s="104" t="s">
        <v>1012</v>
      </c>
      <c r="R228" s="104">
        <v>49740</v>
      </c>
      <c r="S228" s="104">
        <f t="shared" si="105"/>
        <v>54995.13048</v>
      </c>
      <c r="T228" s="104" t="s">
        <v>978</v>
      </c>
      <c r="U228" s="104" t="s">
        <v>978</v>
      </c>
      <c r="V228" s="104" t="s">
        <v>978</v>
      </c>
      <c r="W228" s="104" t="s">
        <v>978</v>
      </c>
      <c r="X228" s="104" t="s">
        <v>978</v>
      </c>
      <c r="Y228" s="104" t="s">
        <v>978</v>
      </c>
      <c r="Z228" s="104" t="s">
        <v>978</v>
      </c>
      <c r="AA228" s="104" t="s">
        <v>978</v>
      </c>
      <c r="AB228" s="104" t="s">
        <v>978</v>
      </c>
      <c r="AC228" s="104" t="s">
        <v>978</v>
      </c>
      <c r="AD228" s="104" t="s">
        <v>978</v>
      </c>
      <c r="AE228" s="104" t="s">
        <v>978</v>
      </c>
      <c r="AF228" s="104" t="s">
        <v>978</v>
      </c>
      <c r="AG228" s="104" t="s">
        <v>978</v>
      </c>
      <c r="AH228" s="104" t="s">
        <v>978</v>
      </c>
      <c r="AI228" s="104" t="s">
        <v>978</v>
      </c>
      <c r="AJ228" s="104">
        <v>20497</v>
      </c>
      <c r="AK228" s="104">
        <f t="shared" si="106"/>
        <v>21542.346999999998</v>
      </c>
      <c r="AL228" s="104">
        <f t="shared" si="107"/>
        <v>38268.738740000001</v>
      </c>
      <c r="AM228" s="120" t="s">
        <v>978</v>
      </c>
      <c r="AN228" s="103">
        <v>57200</v>
      </c>
      <c r="AO228" s="103" t="s">
        <v>974</v>
      </c>
      <c r="AP228" s="103" t="s">
        <v>974</v>
      </c>
      <c r="AQ228" s="103">
        <v>38080</v>
      </c>
      <c r="AR228" s="103" t="s">
        <v>974</v>
      </c>
      <c r="AS228" s="103" t="s">
        <v>974</v>
      </c>
      <c r="AT228" s="103" t="s">
        <v>974</v>
      </c>
      <c r="AU228" s="103">
        <f t="shared" si="101"/>
        <v>38080</v>
      </c>
      <c r="AV228" s="158"/>
      <c r="AW228" s="156">
        <f>+AU228</f>
        <v>38080</v>
      </c>
      <c r="AX228" s="121">
        <f t="shared" si="108"/>
        <v>38080</v>
      </c>
      <c r="AY228" s="163" t="s">
        <v>1080</v>
      </c>
      <c r="AZ228" s="161">
        <v>5</v>
      </c>
      <c r="BA228" s="138">
        <v>0</v>
      </c>
      <c r="BB228" s="138">
        <v>0</v>
      </c>
      <c r="BC228" s="139">
        <f t="shared" si="103"/>
        <v>5</v>
      </c>
      <c r="BD228" s="140">
        <f t="shared" si="104"/>
        <v>190400</v>
      </c>
    </row>
    <row r="229" spans="1:56" s="125" customFormat="1" ht="24.75" customHeight="1" x14ac:dyDescent="0.2">
      <c r="A229" s="150">
        <v>17</v>
      </c>
      <c r="B229" s="148">
        <v>226</v>
      </c>
      <c r="C229" s="105">
        <v>14111800</v>
      </c>
      <c r="D229" s="106" t="s">
        <v>363</v>
      </c>
      <c r="E229" s="105" t="s">
        <v>770</v>
      </c>
      <c r="F229" s="107" t="s">
        <v>563</v>
      </c>
      <c r="G229" s="145" t="s">
        <v>978</v>
      </c>
      <c r="H229" s="145" t="s">
        <v>978</v>
      </c>
      <c r="I229" s="145" t="s">
        <v>978</v>
      </c>
      <c r="J229" s="104" t="s">
        <v>978</v>
      </c>
      <c r="K229" s="104" t="s">
        <v>978</v>
      </c>
      <c r="L229" s="104" t="s">
        <v>978</v>
      </c>
      <c r="M229" s="104" t="s">
        <v>978</v>
      </c>
      <c r="N229" s="104" t="s">
        <v>978</v>
      </c>
      <c r="O229" s="104" t="s">
        <v>978</v>
      </c>
      <c r="P229" s="104" t="s">
        <v>978</v>
      </c>
      <c r="Q229" s="104" t="s">
        <v>1012</v>
      </c>
      <c r="R229" s="104">
        <v>19872</v>
      </c>
      <c r="S229" s="104">
        <f t="shared" si="105"/>
        <v>21971.516543999998</v>
      </c>
      <c r="T229" s="104" t="s">
        <v>978</v>
      </c>
      <c r="U229" s="104" t="s">
        <v>978</v>
      </c>
      <c r="V229" s="104" t="s">
        <v>978</v>
      </c>
      <c r="W229" s="104" t="s">
        <v>978</v>
      </c>
      <c r="X229" s="104" t="s">
        <v>978</v>
      </c>
      <c r="Y229" s="104" t="s">
        <v>978</v>
      </c>
      <c r="Z229" s="104" t="s">
        <v>978</v>
      </c>
      <c r="AA229" s="104" t="s">
        <v>978</v>
      </c>
      <c r="AB229" s="104" t="s">
        <v>978</v>
      </c>
      <c r="AC229" s="104" t="s">
        <v>978</v>
      </c>
      <c r="AD229" s="104" t="s">
        <v>978</v>
      </c>
      <c r="AE229" s="104" t="s">
        <v>978</v>
      </c>
      <c r="AF229" s="104" t="s">
        <v>978</v>
      </c>
      <c r="AG229" s="104" t="s">
        <v>978</v>
      </c>
      <c r="AH229" s="104" t="s">
        <v>978</v>
      </c>
      <c r="AI229" s="104" t="s">
        <v>978</v>
      </c>
      <c r="AJ229" s="104">
        <v>26622</v>
      </c>
      <c r="AK229" s="104">
        <f t="shared" si="106"/>
        <v>27979.721999999998</v>
      </c>
      <c r="AL229" s="104">
        <f t="shared" si="107"/>
        <v>24975.619271999996</v>
      </c>
      <c r="AM229" s="120" t="s">
        <v>978</v>
      </c>
      <c r="AN229" s="103">
        <v>41470</v>
      </c>
      <c r="AO229" s="103" t="s">
        <v>974</v>
      </c>
      <c r="AP229" s="103" t="s">
        <v>974</v>
      </c>
      <c r="AQ229" s="103">
        <v>47600</v>
      </c>
      <c r="AR229" s="103" t="s">
        <v>974</v>
      </c>
      <c r="AS229" s="103" t="s">
        <v>974</v>
      </c>
      <c r="AT229" s="103" t="s">
        <v>974</v>
      </c>
      <c r="AU229" s="103">
        <f t="shared" si="101"/>
        <v>41470</v>
      </c>
      <c r="AV229" s="158"/>
      <c r="AW229" s="156">
        <f>+AVERAGE(AL229,AU229)</f>
        <v>33222.809635999998</v>
      </c>
      <c r="AX229" s="121">
        <f t="shared" si="108"/>
        <v>33223</v>
      </c>
      <c r="AY229" s="163" t="s">
        <v>1073</v>
      </c>
      <c r="AZ229" s="160">
        <v>2</v>
      </c>
      <c r="BA229" s="138">
        <v>0</v>
      </c>
      <c r="BB229" s="138">
        <v>0</v>
      </c>
      <c r="BC229" s="139">
        <f t="shared" si="103"/>
        <v>2</v>
      </c>
      <c r="BD229" s="140">
        <f t="shared" si="104"/>
        <v>66446</v>
      </c>
    </row>
    <row r="230" spans="1:56" s="125" customFormat="1" ht="72" customHeight="1" x14ac:dyDescent="0.2">
      <c r="A230" s="150">
        <v>17</v>
      </c>
      <c r="B230" s="148">
        <v>227</v>
      </c>
      <c r="C230" s="105">
        <v>14111800</v>
      </c>
      <c r="D230" s="106" t="s">
        <v>364</v>
      </c>
      <c r="E230" s="105" t="s">
        <v>921</v>
      </c>
      <c r="F230" s="107" t="s">
        <v>564</v>
      </c>
      <c r="G230" s="145" t="s">
        <v>978</v>
      </c>
      <c r="H230" s="145" t="s">
        <v>978</v>
      </c>
      <c r="I230" s="145" t="s">
        <v>978</v>
      </c>
      <c r="J230" s="104" t="s">
        <v>978</v>
      </c>
      <c r="K230" s="104" t="s">
        <v>978</v>
      </c>
      <c r="L230" s="104" t="s">
        <v>978</v>
      </c>
      <c r="M230" s="104" t="s">
        <v>978</v>
      </c>
      <c r="N230" s="104" t="s">
        <v>978</v>
      </c>
      <c r="O230" s="104" t="s">
        <v>978</v>
      </c>
      <c r="P230" s="104" t="s">
        <v>978</v>
      </c>
      <c r="Q230" s="104" t="s">
        <v>1012</v>
      </c>
      <c r="R230" s="104" t="s">
        <v>978</v>
      </c>
      <c r="S230" s="104" t="s">
        <v>978</v>
      </c>
      <c r="T230" s="104" t="s">
        <v>978</v>
      </c>
      <c r="U230" s="104" t="s">
        <v>978</v>
      </c>
      <c r="V230" s="104" t="s">
        <v>978</v>
      </c>
      <c r="W230" s="104" t="s">
        <v>978</v>
      </c>
      <c r="X230" s="104" t="s">
        <v>978</v>
      </c>
      <c r="Y230" s="104" t="s">
        <v>978</v>
      </c>
      <c r="Z230" s="104" t="s">
        <v>978</v>
      </c>
      <c r="AA230" s="104" t="s">
        <v>978</v>
      </c>
      <c r="AB230" s="104" t="s">
        <v>978</v>
      </c>
      <c r="AC230" s="104" t="s">
        <v>978</v>
      </c>
      <c r="AD230" s="104" t="s">
        <v>978</v>
      </c>
      <c r="AE230" s="104" t="s">
        <v>978</v>
      </c>
      <c r="AF230" s="104" t="s">
        <v>978</v>
      </c>
      <c r="AG230" s="104" t="s">
        <v>978</v>
      </c>
      <c r="AH230" s="104" t="s">
        <v>978</v>
      </c>
      <c r="AI230" s="104" t="s">
        <v>978</v>
      </c>
      <c r="AJ230" s="104">
        <v>12084</v>
      </c>
      <c r="AK230" s="104">
        <f t="shared" si="106"/>
        <v>12700.284</v>
      </c>
      <c r="AL230" s="104">
        <f t="shared" si="107"/>
        <v>12700.284</v>
      </c>
      <c r="AM230" s="120" t="s">
        <v>978</v>
      </c>
      <c r="AN230" s="103">
        <v>15730</v>
      </c>
      <c r="AO230" s="103" t="s">
        <v>974</v>
      </c>
      <c r="AP230" s="103" t="s">
        <v>974</v>
      </c>
      <c r="AQ230" s="103">
        <v>14280</v>
      </c>
      <c r="AR230" s="103" t="s">
        <v>974</v>
      </c>
      <c r="AS230" s="103" t="s">
        <v>974</v>
      </c>
      <c r="AT230" s="103" t="s">
        <v>974</v>
      </c>
      <c r="AU230" s="103">
        <f t="shared" si="101"/>
        <v>14280</v>
      </c>
      <c r="AV230" s="158"/>
      <c r="AW230" s="156">
        <f>+AVERAGE(AL230,AU230)</f>
        <v>13490.142</v>
      </c>
      <c r="AX230" s="121">
        <f t="shared" si="108"/>
        <v>13490</v>
      </c>
      <c r="AY230" s="163" t="s">
        <v>1073</v>
      </c>
      <c r="AZ230" s="160">
        <v>10</v>
      </c>
      <c r="BA230" s="138">
        <v>20</v>
      </c>
      <c r="BB230" s="138">
        <v>240</v>
      </c>
      <c r="BC230" s="139">
        <f t="shared" si="103"/>
        <v>270</v>
      </c>
      <c r="BD230" s="140">
        <f t="shared" si="104"/>
        <v>3642300</v>
      </c>
    </row>
    <row r="231" spans="1:56" s="125" customFormat="1" ht="24" customHeight="1" x14ac:dyDescent="0.2">
      <c r="A231" s="150">
        <v>17</v>
      </c>
      <c r="B231" s="148">
        <v>228</v>
      </c>
      <c r="C231" s="105">
        <v>14111800</v>
      </c>
      <c r="D231" s="106" t="s">
        <v>365</v>
      </c>
      <c r="E231" s="105" t="s">
        <v>771</v>
      </c>
      <c r="F231" s="105" t="s">
        <v>288</v>
      </c>
      <c r="G231" s="145" t="s">
        <v>978</v>
      </c>
      <c r="H231" s="145" t="s">
        <v>978</v>
      </c>
      <c r="I231" s="145" t="s">
        <v>978</v>
      </c>
      <c r="J231" s="104" t="s">
        <v>978</v>
      </c>
      <c r="K231" s="104" t="s">
        <v>978</v>
      </c>
      <c r="L231" s="104" t="s">
        <v>978</v>
      </c>
      <c r="M231" s="104" t="s">
        <v>978</v>
      </c>
      <c r="N231" s="104" t="s">
        <v>978</v>
      </c>
      <c r="O231" s="104" t="s">
        <v>978</v>
      </c>
      <c r="P231" s="104" t="s">
        <v>978</v>
      </c>
      <c r="Q231" s="104" t="s">
        <v>1012</v>
      </c>
      <c r="R231" s="104" t="s">
        <v>978</v>
      </c>
      <c r="S231" s="104" t="s">
        <v>978</v>
      </c>
      <c r="T231" s="104" t="s">
        <v>978</v>
      </c>
      <c r="U231" s="104" t="s">
        <v>978</v>
      </c>
      <c r="V231" s="104" t="s">
        <v>978</v>
      </c>
      <c r="W231" s="104" t="s">
        <v>978</v>
      </c>
      <c r="X231" s="104" t="s">
        <v>978</v>
      </c>
      <c r="Y231" s="104" t="s">
        <v>978</v>
      </c>
      <c r="Z231" s="104" t="s">
        <v>978</v>
      </c>
      <c r="AA231" s="104" t="s">
        <v>978</v>
      </c>
      <c r="AB231" s="104" t="s">
        <v>978</v>
      </c>
      <c r="AC231" s="104" t="s">
        <v>978</v>
      </c>
      <c r="AD231" s="104" t="s">
        <v>978</v>
      </c>
      <c r="AE231" s="104" t="s">
        <v>978</v>
      </c>
      <c r="AF231" s="104" t="s">
        <v>978</v>
      </c>
      <c r="AG231" s="104" t="s">
        <v>978</v>
      </c>
      <c r="AH231" s="104" t="s">
        <v>978</v>
      </c>
      <c r="AI231" s="104" t="s">
        <v>978</v>
      </c>
      <c r="AJ231" s="104" t="s">
        <v>978</v>
      </c>
      <c r="AK231" s="104" t="s">
        <v>978</v>
      </c>
      <c r="AL231" s="104" t="s">
        <v>978</v>
      </c>
      <c r="AM231" s="120" t="s">
        <v>978</v>
      </c>
      <c r="AN231" s="103">
        <v>38610</v>
      </c>
      <c r="AO231" s="103" t="s">
        <v>974</v>
      </c>
      <c r="AP231" s="103" t="s">
        <v>974</v>
      </c>
      <c r="AQ231" s="103">
        <v>38080</v>
      </c>
      <c r="AR231" s="103" t="s">
        <v>974</v>
      </c>
      <c r="AS231" s="103" t="s">
        <v>974</v>
      </c>
      <c r="AT231" s="103" t="s">
        <v>974</v>
      </c>
      <c r="AU231" s="103">
        <f t="shared" si="101"/>
        <v>38080</v>
      </c>
      <c r="AV231" s="158"/>
      <c r="AW231" s="156">
        <f>+AVERAGE(AL231,AU231)</f>
        <v>38080</v>
      </c>
      <c r="AX231" s="121">
        <f>+ROUND(AW231,0)</f>
        <v>38080</v>
      </c>
      <c r="AY231" s="163" t="s">
        <v>1073</v>
      </c>
      <c r="AZ231" s="160">
        <v>2</v>
      </c>
      <c r="BA231" s="138">
        <v>0</v>
      </c>
      <c r="BB231" s="138">
        <v>12</v>
      </c>
      <c r="BC231" s="139">
        <f t="shared" si="103"/>
        <v>14</v>
      </c>
      <c r="BD231" s="140">
        <f t="shared" si="104"/>
        <v>533120</v>
      </c>
    </row>
    <row r="232" spans="1:56" s="125" customFormat="1" ht="24.75" customHeight="1" x14ac:dyDescent="0.2">
      <c r="A232" s="150">
        <v>17</v>
      </c>
      <c r="B232" s="148">
        <v>229</v>
      </c>
      <c r="C232" s="105">
        <v>14111800</v>
      </c>
      <c r="D232" s="106" t="s">
        <v>366</v>
      </c>
      <c r="E232" s="105" t="s">
        <v>984</v>
      </c>
      <c r="F232" s="105" t="s">
        <v>450</v>
      </c>
      <c r="G232" s="145" t="s">
        <v>978</v>
      </c>
      <c r="H232" s="145" t="s">
        <v>978</v>
      </c>
      <c r="I232" s="145" t="s">
        <v>978</v>
      </c>
      <c r="J232" s="104" t="s">
        <v>978</v>
      </c>
      <c r="K232" s="104" t="s">
        <v>978</v>
      </c>
      <c r="L232" s="104" t="s">
        <v>978</v>
      </c>
      <c r="M232" s="104" t="s">
        <v>978</v>
      </c>
      <c r="N232" s="104" t="s">
        <v>978</v>
      </c>
      <c r="O232" s="104" t="s">
        <v>978</v>
      </c>
      <c r="P232" s="104" t="s">
        <v>978</v>
      </c>
      <c r="Q232" s="104" t="s">
        <v>1012</v>
      </c>
      <c r="R232" s="104">
        <v>18400</v>
      </c>
      <c r="S232" s="104">
        <f>R232*(1+5.2%)*(1+5.1%)</f>
        <v>20343.996799999997</v>
      </c>
      <c r="T232" s="104" t="s">
        <v>978</v>
      </c>
      <c r="U232" s="104" t="s">
        <v>978</v>
      </c>
      <c r="V232" s="104" t="s">
        <v>978</v>
      </c>
      <c r="W232" s="104" t="s">
        <v>978</v>
      </c>
      <c r="X232" s="104" t="s">
        <v>978</v>
      </c>
      <c r="Y232" s="104" t="s">
        <v>978</v>
      </c>
      <c r="Z232" s="104" t="s">
        <v>978</v>
      </c>
      <c r="AA232" s="104" t="s">
        <v>978</v>
      </c>
      <c r="AB232" s="104" t="s">
        <v>978</v>
      </c>
      <c r="AC232" s="104" t="s">
        <v>978</v>
      </c>
      <c r="AD232" s="104" t="s">
        <v>978</v>
      </c>
      <c r="AE232" s="104" t="s">
        <v>978</v>
      </c>
      <c r="AF232" s="104" t="s">
        <v>978</v>
      </c>
      <c r="AG232" s="104" t="s">
        <v>978</v>
      </c>
      <c r="AH232" s="104" t="s">
        <v>978</v>
      </c>
      <c r="AI232" s="104" t="s">
        <v>978</v>
      </c>
      <c r="AJ232" s="104">
        <v>13824</v>
      </c>
      <c r="AK232" s="104">
        <f>AJ232*(1+5.1%)</f>
        <v>14529.023999999999</v>
      </c>
      <c r="AL232" s="104">
        <f>+AVERAGE(K232,M232,O232,Q232,S232,U232,W232,Y232,AA232,AC232,AE232,AG232,AI232,AK232)</f>
        <v>17436.510399999999</v>
      </c>
      <c r="AM232" s="120">
        <v>17600</v>
      </c>
      <c r="AN232" s="103">
        <v>27170</v>
      </c>
      <c r="AO232" s="103" t="s">
        <v>974</v>
      </c>
      <c r="AP232" s="103" t="s">
        <v>974</v>
      </c>
      <c r="AQ232" s="103">
        <v>33320</v>
      </c>
      <c r="AR232" s="103" t="s">
        <v>974</v>
      </c>
      <c r="AS232" s="103" t="s">
        <v>974</v>
      </c>
      <c r="AT232" s="103" t="s">
        <v>974</v>
      </c>
      <c r="AU232" s="103">
        <f t="shared" si="101"/>
        <v>27170</v>
      </c>
      <c r="AV232" s="158"/>
      <c r="AW232" s="156">
        <f>+AVERAGE(AL232,AU232,AM232)</f>
        <v>20735.503466666665</v>
      </c>
      <c r="AX232" s="121">
        <f t="shared" ref="AX232" si="111">+ROUND(AW232,0)</f>
        <v>20736</v>
      </c>
      <c r="AY232" s="163" t="s">
        <v>1085</v>
      </c>
      <c r="AZ232" s="160">
        <v>0</v>
      </c>
      <c r="BA232" s="138">
        <v>144</v>
      </c>
      <c r="BB232" s="138">
        <v>0</v>
      </c>
      <c r="BC232" s="139">
        <f t="shared" si="103"/>
        <v>144</v>
      </c>
      <c r="BD232" s="140">
        <f t="shared" si="104"/>
        <v>2985984</v>
      </c>
    </row>
    <row r="233" spans="1:56" s="125" customFormat="1" ht="36" customHeight="1" x14ac:dyDescent="0.2">
      <c r="A233" s="150">
        <v>17</v>
      </c>
      <c r="B233" s="148">
        <v>230</v>
      </c>
      <c r="C233" s="105">
        <v>14111800</v>
      </c>
      <c r="D233" s="106" t="s">
        <v>367</v>
      </c>
      <c r="E233" s="105" t="s">
        <v>772</v>
      </c>
      <c r="F233" s="105" t="s">
        <v>451</v>
      </c>
      <c r="G233" s="145" t="s">
        <v>978</v>
      </c>
      <c r="H233" s="145" t="s">
        <v>978</v>
      </c>
      <c r="I233" s="145" t="s">
        <v>978</v>
      </c>
      <c r="J233" s="104" t="s">
        <v>978</v>
      </c>
      <c r="K233" s="104" t="s">
        <v>978</v>
      </c>
      <c r="L233" s="104" t="s">
        <v>978</v>
      </c>
      <c r="M233" s="104" t="s">
        <v>978</v>
      </c>
      <c r="N233" s="104" t="s">
        <v>978</v>
      </c>
      <c r="O233" s="104" t="s">
        <v>978</v>
      </c>
      <c r="P233" s="104" t="s">
        <v>978</v>
      </c>
      <c r="Q233" s="104" t="s">
        <v>1012</v>
      </c>
      <c r="R233" s="104">
        <v>126276</v>
      </c>
      <c r="S233" s="104">
        <f>R233*(1+5.2%)*(1+5.1%)</f>
        <v>139617.31195200002</v>
      </c>
      <c r="T233" s="104" t="s">
        <v>978</v>
      </c>
      <c r="U233" s="104" t="s">
        <v>978</v>
      </c>
      <c r="V233" s="104" t="s">
        <v>978</v>
      </c>
      <c r="W233" s="104" t="s">
        <v>978</v>
      </c>
      <c r="X233" s="104" t="s">
        <v>978</v>
      </c>
      <c r="Y233" s="104" t="s">
        <v>978</v>
      </c>
      <c r="Z233" s="104" t="s">
        <v>978</v>
      </c>
      <c r="AA233" s="104" t="s">
        <v>978</v>
      </c>
      <c r="AB233" s="104" t="s">
        <v>978</v>
      </c>
      <c r="AC233" s="104" t="s">
        <v>978</v>
      </c>
      <c r="AD233" s="104" t="s">
        <v>978</v>
      </c>
      <c r="AE233" s="104" t="s">
        <v>978</v>
      </c>
      <c r="AF233" s="104" t="s">
        <v>978</v>
      </c>
      <c r="AG233" s="104" t="s">
        <v>978</v>
      </c>
      <c r="AH233" s="104" t="s">
        <v>978</v>
      </c>
      <c r="AI233" s="104" t="s">
        <v>978</v>
      </c>
      <c r="AJ233" s="104">
        <v>127528</v>
      </c>
      <c r="AK233" s="104">
        <f>AJ233*(1+5.1%)</f>
        <v>134031.92799999999</v>
      </c>
      <c r="AL233" s="104">
        <f>+AVERAGE(K233,M233,O233,Q233,S233,U233,W233,Y233,AA233,AC233,AE233,AG233,AI233,AK233)</f>
        <v>136824.61997599999</v>
      </c>
      <c r="AM233" s="120" t="s">
        <v>978</v>
      </c>
      <c r="AN233" s="103">
        <v>185900</v>
      </c>
      <c r="AO233" s="103" t="s">
        <v>974</v>
      </c>
      <c r="AP233" s="103" t="s">
        <v>974</v>
      </c>
      <c r="AQ233" s="103">
        <v>215000</v>
      </c>
      <c r="AR233" s="103" t="s">
        <v>974</v>
      </c>
      <c r="AS233" s="103" t="s">
        <v>974</v>
      </c>
      <c r="AT233" s="103" t="s">
        <v>974</v>
      </c>
      <c r="AU233" s="103">
        <f t="shared" si="101"/>
        <v>185900</v>
      </c>
      <c r="AV233" s="158"/>
      <c r="AW233" s="156">
        <f>+AVERAGE(AL233,AU233)</f>
        <v>161362.30998799999</v>
      </c>
      <c r="AX233" s="121">
        <f>+ROUND(AW233,0)</f>
        <v>161362</v>
      </c>
      <c r="AY233" s="163" t="s">
        <v>1073</v>
      </c>
      <c r="AZ233" s="160">
        <v>3</v>
      </c>
      <c r="BA233" s="138">
        <v>14</v>
      </c>
      <c r="BB233" s="138">
        <v>6</v>
      </c>
      <c r="BC233" s="139">
        <f t="shared" si="103"/>
        <v>23</v>
      </c>
      <c r="BD233" s="140">
        <f t="shared" si="104"/>
        <v>3711326</v>
      </c>
    </row>
    <row r="234" spans="1:56" s="125" customFormat="1" ht="60" customHeight="1" x14ac:dyDescent="0.2">
      <c r="A234" s="150">
        <v>17</v>
      </c>
      <c r="B234" s="148">
        <v>231</v>
      </c>
      <c r="C234" s="105">
        <v>14111800</v>
      </c>
      <c r="D234" s="106" t="s">
        <v>368</v>
      </c>
      <c r="E234" s="105" t="s">
        <v>773</v>
      </c>
      <c r="F234" s="105" t="s">
        <v>441</v>
      </c>
      <c r="G234" s="145" t="s">
        <v>978</v>
      </c>
      <c r="H234" s="145" t="s">
        <v>978</v>
      </c>
      <c r="I234" s="145" t="s">
        <v>978</v>
      </c>
      <c r="J234" s="104" t="s">
        <v>978</v>
      </c>
      <c r="K234" s="104" t="s">
        <v>978</v>
      </c>
      <c r="L234" s="104" t="s">
        <v>978</v>
      </c>
      <c r="M234" s="104" t="s">
        <v>978</v>
      </c>
      <c r="N234" s="104" t="s">
        <v>978</v>
      </c>
      <c r="O234" s="104" t="s">
        <v>978</v>
      </c>
      <c r="P234" s="104" t="s">
        <v>978</v>
      </c>
      <c r="Q234" s="104" t="s">
        <v>1012</v>
      </c>
      <c r="R234" s="104" t="s">
        <v>978</v>
      </c>
      <c r="S234" s="104" t="s">
        <v>978</v>
      </c>
      <c r="T234" s="104" t="s">
        <v>978</v>
      </c>
      <c r="U234" s="104" t="s">
        <v>978</v>
      </c>
      <c r="V234" s="104" t="s">
        <v>978</v>
      </c>
      <c r="W234" s="104" t="s">
        <v>978</v>
      </c>
      <c r="X234" s="104" t="s">
        <v>978</v>
      </c>
      <c r="Y234" s="104" t="s">
        <v>978</v>
      </c>
      <c r="Z234" s="104" t="s">
        <v>978</v>
      </c>
      <c r="AA234" s="104" t="s">
        <v>978</v>
      </c>
      <c r="AB234" s="104" t="s">
        <v>978</v>
      </c>
      <c r="AC234" s="104" t="s">
        <v>978</v>
      </c>
      <c r="AD234" s="104" t="s">
        <v>978</v>
      </c>
      <c r="AE234" s="104" t="s">
        <v>978</v>
      </c>
      <c r="AF234" s="104" t="s">
        <v>978</v>
      </c>
      <c r="AG234" s="104" t="s">
        <v>978</v>
      </c>
      <c r="AH234" s="104" t="s">
        <v>978</v>
      </c>
      <c r="AI234" s="104" t="s">
        <v>978</v>
      </c>
      <c r="AJ234" s="104" t="s">
        <v>978</v>
      </c>
      <c r="AK234" s="104" t="s">
        <v>978</v>
      </c>
      <c r="AL234" s="104" t="s">
        <v>978</v>
      </c>
      <c r="AM234" s="120" t="s">
        <v>978</v>
      </c>
      <c r="AN234" s="103">
        <v>306020</v>
      </c>
      <c r="AO234" s="103" t="s">
        <v>974</v>
      </c>
      <c r="AP234" s="103" t="s">
        <v>974</v>
      </c>
      <c r="AQ234" s="103">
        <v>357000</v>
      </c>
      <c r="AR234" s="103" t="s">
        <v>974</v>
      </c>
      <c r="AS234" s="103" t="s">
        <v>974</v>
      </c>
      <c r="AT234" s="103" t="s">
        <v>974</v>
      </c>
      <c r="AU234" s="103">
        <f t="shared" si="101"/>
        <v>306020</v>
      </c>
      <c r="AV234" s="158"/>
      <c r="AW234" s="156">
        <f>+AVERAGE(AL234,AU234)</f>
        <v>306020</v>
      </c>
      <c r="AX234" s="121">
        <f>+ROUND(AW234,0)</f>
        <v>306020</v>
      </c>
      <c r="AY234" s="163" t="s">
        <v>1073</v>
      </c>
      <c r="AZ234" s="160">
        <v>1</v>
      </c>
      <c r="BA234" s="138">
        <v>0</v>
      </c>
      <c r="BB234" s="138">
        <v>0</v>
      </c>
      <c r="BC234" s="139">
        <f t="shared" si="103"/>
        <v>1</v>
      </c>
      <c r="BD234" s="140">
        <f t="shared" si="104"/>
        <v>306020</v>
      </c>
    </row>
    <row r="235" spans="1:56" s="125" customFormat="1" ht="24.75" customHeight="1" x14ac:dyDescent="0.2">
      <c r="A235" s="150">
        <v>17</v>
      </c>
      <c r="B235" s="148">
        <v>232</v>
      </c>
      <c r="C235" s="105">
        <v>42201800</v>
      </c>
      <c r="D235" s="106" t="s">
        <v>369</v>
      </c>
      <c r="E235" s="105" t="s">
        <v>369</v>
      </c>
      <c r="F235" s="105" t="s">
        <v>286</v>
      </c>
      <c r="G235" s="145" t="s">
        <v>978</v>
      </c>
      <c r="H235" s="145" t="s">
        <v>978</v>
      </c>
      <c r="I235" s="145" t="s">
        <v>978</v>
      </c>
      <c r="J235" s="104" t="s">
        <v>978</v>
      </c>
      <c r="K235" s="104" t="s">
        <v>978</v>
      </c>
      <c r="L235" s="104" t="s">
        <v>978</v>
      </c>
      <c r="M235" s="104" t="s">
        <v>978</v>
      </c>
      <c r="N235" s="104" t="s">
        <v>978</v>
      </c>
      <c r="O235" s="104" t="s">
        <v>978</v>
      </c>
      <c r="P235" s="104" t="s">
        <v>978</v>
      </c>
      <c r="Q235" s="104" t="s">
        <v>1012</v>
      </c>
      <c r="R235" s="104" t="s">
        <v>978</v>
      </c>
      <c r="S235" s="104" t="s">
        <v>978</v>
      </c>
      <c r="T235" s="104" t="s">
        <v>978</v>
      </c>
      <c r="U235" s="104" t="s">
        <v>978</v>
      </c>
      <c r="V235" s="104" t="s">
        <v>978</v>
      </c>
      <c r="W235" s="104" t="s">
        <v>978</v>
      </c>
      <c r="X235" s="104" t="s">
        <v>978</v>
      </c>
      <c r="Y235" s="104" t="s">
        <v>978</v>
      </c>
      <c r="Z235" s="104" t="s">
        <v>978</v>
      </c>
      <c r="AA235" s="104" t="s">
        <v>978</v>
      </c>
      <c r="AB235" s="104" t="s">
        <v>978</v>
      </c>
      <c r="AC235" s="104" t="s">
        <v>978</v>
      </c>
      <c r="AD235" s="104" t="s">
        <v>978</v>
      </c>
      <c r="AE235" s="104" t="s">
        <v>978</v>
      </c>
      <c r="AF235" s="104" t="s">
        <v>978</v>
      </c>
      <c r="AG235" s="104" t="s">
        <v>978</v>
      </c>
      <c r="AH235" s="104" t="s">
        <v>978</v>
      </c>
      <c r="AI235" s="104" t="s">
        <v>978</v>
      </c>
      <c r="AJ235" s="104" t="s">
        <v>978</v>
      </c>
      <c r="AK235" s="104" t="s">
        <v>978</v>
      </c>
      <c r="AL235" s="104" t="s">
        <v>978</v>
      </c>
      <c r="AM235" s="120">
        <v>348000</v>
      </c>
      <c r="AN235" s="103">
        <v>436150</v>
      </c>
      <c r="AO235" s="103" t="s">
        <v>974</v>
      </c>
      <c r="AP235" s="103" t="s">
        <v>974</v>
      </c>
      <c r="AQ235" s="103">
        <v>719950</v>
      </c>
      <c r="AR235" s="103" t="s">
        <v>974</v>
      </c>
      <c r="AS235" s="103" t="s">
        <v>974</v>
      </c>
      <c r="AT235" s="103" t="s">
        <v>974</v>
      </c>
      <c r="AU235" s="103">
        <f t="shared" si="101"/>
        <v>436150</v>
      </c>
      <c r="AV235" s="158"/>
      <c r="AW235" s="156">
        <f>+AVERAGE(AL235,AU235,AM235)</f>
        <v>392075</v>
      </c>
      <c r="AX235" s="121">
        <f>+ROUND(AW235,0)</f>
        <v>392075</v>
      </c>
      <c r="AY235" s="163" t="s">
        <v>1085</v>
      </c>
      <c r="AZ235" s="160">
        <v>300</v>
      </c>
      <c r="BA235" s="138">
        <v>0</v>
      </c>
      <c r="BB235" s="138">
        <v>0</v>
      </c>
      <c r="BC235" s="139">
        <f t="shared" si="103"/>
        <v>300</v>
      </c>
      <c r="BD235" s="140">
        <f t="shared" si="104"/>
        <v>117622500</v>
      </c>
    </row>
    <row r="236" spans="1:56" s="125" customFormat="1" ht="84" customHeight="1" x14ac:dyDescent="0.2">
      <c r="A236" s="150">
        <v>17</v>
      </c>
      <c r="B236" s="148">
        <v>233</v>
      </c>
      <c r="C236" s="116">
        <v>42292501</v>
      </c>
      <c r="D236" s="116" t="s">
        <v>370</v>
      </c>
      <c r="E236" s="105" t="s">
        <v>964</v>
      </c>
      <c r="F236" s="116" t="s">
        <v>288</v>
      </c>
      <c r="G236" s="145" t="s">
        <v>978</v>
      </c>
      <c r="H236" s="145" t="s">
        <v>978</v>
      </c>
      <c r="I236" s="145" t="s">
        <v>978</v>
      </c>
      <c r="J236" s="104" t="s">
        <v>978</v>
      </c>
      <c r="K236" s="104" t="s">
        <v>978</v>
      </c>
      <c r="L236" s="104" t="s">
        <v>978</v>
      </c>
      <c r="M236" s="104" t="s">
        <v>978</v>
      </c>
      <c r="N236" s="104" t="s">
        <v>978</v>
      </c>
      <c r="O236" s="104" t="s">
        <v>978</v>
      </c>
      <c r="P236" s="104">
        <v>53550</v>
      </c>
      <c r="Q236" s="104">
        <f>P236*(1+5.2%)*(1+5.1%)</f>
        <v>59207.664600000004</v>
      </c>
      <c r="R236" s="104" t="s">
        <v>978</v>
      </c>
      <c r="S236" s="104" t="s">
        <v>978</v>
      </c>
      <c r="T236" s="104" t="s">
        <v>978</v>
      </c>
      <c r="U236" s="104" t="s">
        <v>978</v>
      </c>
      <c r="V236" s="104" t="s">
        <v>978</v>
      </c>
      <c r="W236" s="104" t="s">
        <v>978</v>
      </c>
      <c r="X236" s="104" t="s">
        <v>978</v>
      </c>
      <c r="Y236" s="104" t="s">
        <v>978</v>
      </c>
      <c r="Z236" s="104" t="s">
        <v>978</v>
      </c>
      <c r="AA236" s="104" t="s">
        <v>978</v>
      </c>
      <c r="AB236" s="104" t="s">
        <v>978</v>
      </c>
      <c r="AC236" s="104" t="s">
        <v>978</v>
      </c>
      <c r="AD236" s="104" t="s">
        <v>978</v>
      </c>
      <c r="AE236" s="104" t="s">
        <v>978</v>
      </c>
      <c r="AF236" s="104" t="s">
        <v>978</v>
      </c>
      <c r="AG236" s="104" t="s">
        <v>978</v>
      </c>
      <c r="AH236" s="104" t="s">
        <v>978</v>
      </c>
      <c r="AI236" s="104" t="s">
        <v>978</v>
      </c>
      <c r="AJ236" s="104" t="s">
        <v>978</v>
      </c>
      <c r="AK236" s="104" t="s">
        <v>978</v>
      </c>
      <c r="AL236" s="104">
        <f>+AVERAGE(K236,M236,O236,Q236,S236,U236,W236,Y236,AA236,AC236,AE236,AG236,AI236,AK236)</f>
        <v>59207.664600000004</v>
      </c>
      <c r="AM236" s="120" t="s">
        <v>978</v>
      </c>
      <c r="AN236" s="103">
        <v>147290</v>
      </c>
      <c r="AO236" s="103" t="s">
        <v>974</v>
      </c>
      <c r="AP236" s="103">
        <v>250</v>
      </c>
      <c r="AQ236" s="103">
        <v>232050</v>
      </c>
      <c r="AR236" s="103" t="s">
        <v>974</v>
      </c>
      <c r="AS236" s="103" t="s">
        <v>974</v>
      </c>
      <c r="AT236" s="103" t="s">
        <v>974</v>
      </c>
      <c r="AU236" s="103">
        <f>+MIN(AN236,AQ236,AR236,AS236,AT236)</f>
        <v>147290</v>
      </c>
      <c r="AV236" s="158" t="s">
        <v>1076</v>
      </c>
      <c r="AW236" s="156">
        <f>+AVERAGE(AL236,AU236)</f>
        <v>103248.83230000001</v>
      </c>
      <c r="AX236" s="121">
        <f>+ROUND(AW236,0)</f>
        <v>103249</v>
      </c>
      <c r="AY236" s="163" t="s">
        <v>1073</v>
      </c>
      <c r="AZ236" s="160">
        <v>3</v>
      </c>
      <c r="BA236" s="138">
        <v>0</v>
      </c>
      <c r="BB236" s="138">
        <v>0</v>
      </c>
      <c r="BC236" s="139">
        <f t="shared" si="103"/>
        <v>3</v>
      </c>
      <c r="BD236" s="140">
        <f t="shared" si="104"/>
        <v>309747</v>
      </c>
    </row>
    <row r="237" spans="1:56" s="125" customFormat="1" ht="36.75" customHeight="1" x14ac:dyDescent="0.2">
      <c r="A237" s="150">
        <v>17</v>
      </c>
      <c r="B237" s="148">
        <v>234</v>
      </c>
      <c r="C237" s="105">
        <v>42142500</v>
      </c>
      <c r="D237" s="106" t="s">
        <v>371</v>
      </c>
      <c r="E237" s="105" t="s">
        <v>774</v>
      </c>
      <c r="F237" s="105" t="s">
        <v>457</v>
      </c>
      <c r="G237" s="145" t="s">
        <v>978</v>
      </c>
      <c r="H237" s="145" t="s">
        <v>978</v>
      </c>
      <c r="I237" s="145" t="s">
        <v>978</v>
      </c>
      <c r="J237" s="104" t="s">
        <v>978</v>
      </c>
      <c r="K237" s="104" t="s">
        <v>978</v>
      </c>
      <c r="L237" s="104" t="s">
        <v>978</v>
      </c>
      <c r="M237" s="104" t="s">
        <v>978</v>
      </c>
      <c r="N237" s="104" t="s">
        <v>978</v>
      </c>
      <c r="O237" s="104" t="s">
        <v>978</v>
      </c>
      <c r="P237" s="104" t="s">
        <v>978</v>
      </c>
      <c r="Q237" s="104" t="s">
        <v>1012</v>
      </c>
      <c r="R237" s="104" t="s">
        <v>978</v>
      </c>
      <c r="S237" s="104" t="s">
        <v>978</v>
      </c>
      <c r="T237" s="104" t="s">
        <v>978</v>
      </c>
      <c r="U237" s="104" t="s">
        <v>978</v>
      </c>
      <c r="V237" s="104" t="s">
        <v>978</v>
      </c>
      <c r="W237" s="104" t="s">
        <v>978</v>
      </c>
      <c r="X237" s="104" t="s">
        <v>978</v>
      </c>
      <c r="Y237" s="104" t="s">
        <v>978</v>
      </c>
      <c r="Z237" s="104" t="s">
        <v>978</v>
      </c>
      <c r="AA237" s="104" t="s">
        <v>978</v>
      </c>
      <c r="AB237" s="104" t="s">
        <v>978</v>
      </c>
      <c r="AC237" s="104" t="s">
        <v>978</v>
      </c>
      <c r="AD237" s="104" t="s">
        <v>978</v>
      </c>
      <c r="AE237" s="104" t="s">
        <v>978</v>
      </c>
      <c r="AF237" s="104" t="s">
        <v>978</v>
      </c>
      <c r="AG237" s="104" t="s">
        <v>978</v>
      </c>
      <c r="AH237" s="104" t="s">
        <v>978</v>
      </c>
      <c r="AI237" s="104" t="s">
        <v>978</v>
      </c>
      <c r="AJ237" s="104" t="s">
        <v>978</v>
      </c>
      <c r="AK237" s="104" t="s">
        <v>978</v>
      </c>
      <c r="AL237" s="104" t="s">
        <v>978</v>
      </c>
      <c r="AM237" s="120">
        <v>36338</v>
      </c>
      <c r="AN237" s="103">
        <v>67210</v>
      </c>
      <c r="AO237" s="103" t="s">
        <v>974</v>
      </c>
      <c r="AP237" s="103" t="s">
        <v>974</v>
      </c>
      <c r="AQ237" s="103">
        <v>40000</v>
      </c>
      <c r="AR237" s="103" t="s">
        <v>974</v>
      </c>
      <c r="AS237" s="103" t="s">
        <v>974</v>
      </c>
      <c r="AT237" s="103" t="s">
        <v>974</v>
      </c>
      <c r="AU237" s="103">
        <f t="shared" ref="AU237:AU243" si="112">+MIN(AN237:AT237)</f>
        <v>40000</v>
      </c>
      <c r="AV237" s="158"/>
      <c r="AW237" s="156">
        <f>+AVERAGE(AL237,AU237,AM237)</f>
        <v>38169</v>
      </c>
      <c r="AX237" s="121">
        <f t="shared" ref="AX237" si="113">+ROUND(AW237,0)</f>
        <v>38169</v>
      </c>
      <c r="AY237" s="163" t="s">
        <v>1085</v>
      </c>
      <c r="AZ237" s="160">
        <v>24</v>
      </c>
      <c r="BA237" s="138">
        <v>0</v>
      </c>
      <c r="BB237" s="138">
        <v>0</v>
      </c>
      <c r="BC237" s="139">
        <f t="shared" si="103"/>
        <v>24</v>
      </c>
      <c r="BD237" s="140">
        <f t="shared" si="104"/>
        <v>916056</v>
      </c>
    </row>
    <row r="238" spans="1:56" s="125" customFormat="1" ht="24" customHeight="1" x14ac:dyDescent="0.2">
      <c r="A238" s="150">
        <v>17</v>
      </c>
      <c r="B238" s="148">
        <v>235</v>
      </c>
      <c r="C238" s="105">
        <v>42182401</v>
      </c>
      <c r="D238" s="106" t="s">
        <v>372</v>
      </c>
      <c r="E238" s="105" t="s">
        <v>775</v>
      </c>
      <c r="F238" s="105" t="s">
        <v>286</v>
      </c>
      <c r="G238" s="145" t="s">
        <v>978</v>
      </c>
      <c r="H238" s="145" t="s">
        <v>978</v>
      </c>
      <c r="I238" s="145" t="s">
        <v>978</v>
      </c>
      <c r="J238" s="104" t="s">
        <v>978</v>
      </c>
      <c r="K238" s="104" t="s">
        <v>978</v>
      </c>
      <c r="L238" s="104" t="s">
        <v>978</v>
      </c>
      <c r="M238" s="104" t="s">
        <v>978</v>
      </c>
      <c r="N238" s="104" t="s">
        <v>978</v>
      </c>
      <c r="O238" s="104" t="s">
        <v>978</v>
      </c>
      <c r="P238" s="104" t="s">
        <v>978</v>
      </c>
      <c r="Q238" s="104" t="s">
        <v>1012</v>
      </c>
      <c r="R238" s="104" t="s">
        <v>978</v>
      </c>
      <c r="S238" s="104" t="s">
        <v>978</v>
      </c>
      <c r="T238" s="104" t="s">
        <v>978</v>
      </c>
      <c r="U238" s="104" t="s">
        <v>978</v>
      </c>
      <c r="V238" s="104" t="s">
        <v>978</v>
      </c>
      <c r="W238" s="104" t="s">
        <v>978</v>
      </c>
      <c r="X238" s="104" t="s">
        <v>978</v>
      </c>
      <c r="Y238" s="104" t="s">
        <v>978</v>
      </c>
      <c r="Z238" s="104" t="s">
        <v>978</v>
      </c>
      <c r="AA238" s="104" t="s">
        <v>978</v>
      </c>
      <c r="AB238" s="104" t="s">
        <v>978</v>
      </c>
      <c r="AC238" s="104" t="s">
        <v>978</v>
      </c>
      <c r="AD238" s="104" t="s">
        <v>978</v>
      </c>
      <c r="AE238" s="104" t="s">
        <v>978</v>
      </c>
      <c r="AF238" s="104" t="s">
        <v>978</v>
      </c>
      <c r="AG238" s="104" t="s">
        <v>978</v>
      </c>
      <c r="AH238" s="104" t="s">
        <v>978</v>
      </c>
      <c r="AI238" s="104" t="s">
        <v>978</v>
      </c>
      <c r="AJ238" s="104" t="s">
        <v>978</v>
      </c>
      <c r="AK238" s="104" t="s">
        <v>978</v>
      </c>
      <c r="AL238" s="104" t="s">
        <v>978</v>
      </c>
      <c r="AM238" s="120" t="s">
        <v>978</v>
      </c>
      <c r="AN238" s="103">
        <v>127270</v>
      </c>
      <c r="AO238" s="103" t="s">
        <v>974</v>
      </c>
      <c r="AP238" s="103" t="s">
        <v>974</v>
      </c>
      <c r="AQ238" s="103" t="s">
        <v>974</v>
      </c>
      <c r="AR238" s="103" t="s">
        <v>974</v>
      </c>
      <c r="AS238" s="103" t="s">
        <v>974</v>
      </c>
      <c r="AT238" s="103" t="s">
        <v>974</v>
      </c>
      <c r="AU238" s="103">
        <f t="shared" si="112"/>
        <v>127270</v>
      </c>
      <c r="AV238" s="158"/>
      <c r="AW238" s="156">
        <f>+AVERAGE(AL238,AU238)</f>
        <v>127270</v>
      </c>
      <c r="AX238" s="121">
        <f>+ROUND(AW238,0)</f>
        <v>127270</v>
      </c>
      <c r="AY238" s="163" t="s">
        <v>1073</v>
      </c>
      <c r="AZ238" s="160">
        <v>2</v>
      </c>
      <c r="BA238" s="138">
        <v>0</v>
      </c>
      <c r="BB238" s="138">
        <v>0</v>
      </c>
      <c r="BC238" s="139">
        <f t="shared" si="103"/>
        <v>2</v>
      </c>
      <c r="BD238" s="140">
        <f t="shared" si="104"/>
        <v>254540</v>
      </c>
    </row>
    <row r="239" spans="1:56" s="125" customFormat="1" ht="96" customHeight="1" x14ac:dyDescent="0.2">
      <c r="A239" s="150">
        <v>17</v>
      </c>
      <c r="B239" s="148">
        <v>236</v>
      </c>
      <c r="C239" s="105">
        <v>42171802</v>
      </c>
      <c r="D239" s="106" t="s">
        <v>373</v>
      </c>
      <c r="E239" s="105" t="s">
        <v>922</v>
      </c>
      <c r="F239" s="105" t="s">
        <v>286</v>
      </c>
      <c r="G239" s="145" t="s">
        <v>978</v>
      </c>
      <c r="H239" s="145" t="s">
        <v>978</v>
      </c>
      <c r="I239" s="145" t="s">
        <v>978</v>
      </c>
      <c r="J239" s="104" t="s">
        <v>978</v>
      </c>
      <c r="K239" s="104" t="s">
        <v>978</v>
      </c>
      <c r="L239" s="104" t="s">
        <v>978</v>
      </c>
      <c r="M239" s="104" t="s">
        <v>978</v>
      </c>
      <c r="N239" s="104" t="s">
        <v>978</v>
      </c>
      <c r="O239" s="104" t="s">
        <v>978</v>
      </c>
      <c r="P239" s="104" t="s">
        <v>978</v>
      </c>
      <c r="Q239" s="104" t="s">
        <v>1012</v>
      </c>
      <c r="R239" s="104" t="s">
        <v>978</v>
      </c>
      <c r="S239" s="104" t="s">
        <v>978</v>
      </c>
      <c r="T239" s="104" t="s">
        <v>978</v>
      </c>
      <c r="U239" s="104" t="s">
        <v>978</v>
      </c>
      <c r="V239" s="104" t="s">
        <v>978</v>
      </c>
      <c r="W239" s="104" t="s">
        <v>978</v>
      </c>
      <c r="X239" s="104" t="s">
        <v>978</v>
      </c>
      <c r="Y239" s="104" t="s">
        <v>978</v>
      </c>
      <c r="Z239" s="104" t="s">
        <v>978</v>
      </c>
      <c r="AA239" s="104" t="s">
        <v>978</v>
      </c>
      <c r="AB239" s="104" t="s">
        <v>978</v>
      </c>
      <c r="AC239" s="104" t="s">
        <v>978</v>
      </c>
      <c r="AD239" s="104" t="s">
        <v>978</v>
      </c>
      <c r="AE239" s="104" t="s">
        <v>978</v>
      </c>
      <c r="AF239" s="104" t="s">
        <v>978</v>
      </c>
      <c r="AG239" s="104" t="s">
        <v>978</v>
      </c>
      <c r="AH239" s="104" t="s">
        <v>978</v>
      </c>
      <c r="AI239" s="104" t="s">
        <v>978</v>
      </c>
      <c r="AJ239" s="104" t="s">
        <v>978</v>
      </c>
      <c r="AK239" s="104" t="s">
        <v>978</v>
      </c>
      <c r="AL239" s="104" t="s">
        <v>978</v>
      </c>
      <c r="AM239" s="120">
        <v>7735</v>
      </c>
      <c r="AN239" s="103">
        <v>12298</v>
      </c>
      <c r="AO239" s="103" t="s">
        <v>974</v>
      </c>
      <c r="AP239" s="103" t="s">
        <v>974</v>
      </c>
      <c r="AQ239" s="103">
        <v>8330</v>
      </c>
      <c r="AR239" s="103" t="s">
        <v>974</v>
      </c>
      <c r="AS239" s="103" t="s">
        <v>974</v>
      </c>
      <c r="AT239" s="103" t="s">
        <v>974</v>
      </c>
      <c r="AU239" s="103">
        <f t="shared" si="112"/>
        <v>8330</v>
      </c>
      <c r="AV239" s="158"/>
      <c r="AW239" s="156">
        <f>+AVERAGE(AL239,AU239,AM239)</f>
        <v>8032.5</v>
      </c>
      <c r="AX239" s="121">
        <f t="shared" ref="AX239" si="114">+ROUND(AW239,0)</f>
        <v>8033</v>
      </c>
      <c r="AY239" s="163" t="s">
        <v>1085</v>
      </c>
      <c r="AZ239" s="160">
        <v>0</v>
      </c>
      <c r="BA239" s="138">
        <v>5</v>
      </c>
      <c r="BB239" s="138">
        <v>0</v>
      </c>
      <c r="BC239" s="139">
        <f>+BA239+BB239</f>
        <v>5</v>
      </c>
      <c r="BD239" s="140">
        <f t="shared" si="104"/>
        <v>40165</v>
      </c>
    </row>
    <row r="240" spans="1:56" s="125" customFormat="1" ht="24.75" customHeight="1" x14ac:dyDescent="0.2">
      <c r="A240" s="150">
        <v>17</v>
      </c>
      <c r="B240" s="148">
        <v>237</v>
      </c>
      <c r="C240" s="105">
        <v>42281806</v>
      </c>
      <c r="D240" s="106" t="s">
        <v>685</v>
      </c>
      <c r="E240" s="105" t="s">
        <v>776</v>
      </c>
      <c r="F240" s="105" t="s">
        <v>565</v>
      </c>
      <c r="G240" s="145" t="s">
        <v>978</v>
      </c>
      <c r="H240" s="145" t="s">
        <v>978</v>
      </c>
      <c r="I240" s="145" t="s">
        <v>978</v>
      </c>
      <c r="J240" s="104" t="s">
        <v>978</v>
      </c>
      <c r="K240" s="104" t="s">
        <v>978</v>
      </c>
      <c r="L240" s="104" t="s">
        <v>978</v>
      </c>
      <c r="M240" s="104" t="s">
        <v>978</v>
      </c>
      <c r="N240" s="104" t="s">
        <v>978</v>
      </c>
      <c r="O240" s="104" t="s">
        <v>978</v>
      </c>
      <c r="P240" s="104" t="s">
        <v>978</v>
      </c>
      <c r="Q240" s="104" t="s">
        <v>1012</v>
      </c>
      <c r="R240" s="104" t="s">
        <v>978</v>
      </c>
      <c r="S240" s="104" t="s">
        <v>978</v>
      </c>
      <c r="T240" s="104" t="s">
        <v>978</v>
      </c>
      <c r="U240" s="104" t="s">
        <v>978</v>
      </c>
      <c r="V240" s="104" t="s">
        <v>978</v>
      </c>
      <c r="W240" s="104" t="s">
        <v>978</v>
      </c>
      <c r="X240" s="104" t="s">
        <v>978</v>
      </c>
      <c r="Y240" s="104" t="s">
        <v>978</v>
      </c>
      <c r="Z240" s="104" t="s">
        <v>978</v>
      </c>
      <c r="AA240" s="104" t="s">
        <v>978</v>
      </c>
      <c r="AB240" s="104" t="s">
        <v>978</v>
      </c>
      <c r="AC240" s="104" t="s">
        <v>978</v>
      </c>
      <c r="AD240" s="104" t="s">
        <v>978</v>
      </c>
      <c r="AE240" s="104" t="s">
        <v>978</v>
      </c>
      <c r="AF240" s="104" t="s">
        <v>978</v>
      </c>
      <c r="AG240" s="104" t="s">
        <v>978</v>
      </c>
      <c r="AH240" s="104" t="s">
        <v>978</v>
      </c>
      <c r="AI240" s="104" t="s">
        <v>978</v>
      </c>
      <c r="AJ240" s="104" t="s">
        <v>978</v>
      </c>
      <c r="AK240" s="104" t="s">
        <v>978</v>
      </c>
      <c r="AL240" s="104" t="s">
        <v>978</v>
      </c>
      <c r="AM240" s="120" t="s">
        <v>978</v>
      </c>
      <c r="AN240" s="103">
        <v>124410</v>
      </c>
      <c r="AO240" s="103" t="s">
        <v>974</v>
      </c>
      <c r="AP240" s="103" t="s">
        <v>974</v>
      </c>
      <c r="AQ240" s="103">
        <v>89250</v>
      </c>
      <c r="AR240" s="103" t="s">
        <v>974</v>
      </c>
      <c r="AS240" s="103" t="s">
        <v>974</v>
      </c>
      <c r="AT240" s="103" t="s">
        <v>974</v>
      </c>
      <c r="AU240" s="103">
        <f t="shared" si="112"/>
        <v>89250</v>
      </c>
      <c r="AV240" s="158"/>
      <c r="AW240" s="156">
        <f>+AVERAGE(AL240,AU240)</f>
        <v>89250</v>
      </c>
      <c r="AX240" s="121">
        <f>+ROUND(AW240,0)</f>
        <v>89250</v>
      </c>
      <c r="AY240" s="163" t="s">
        <v>1073</v>
      </c>
      <c r="AZ240" s="160">
        <v>100</v>
      </c>
      <c r="BA240" s="138">
        <v>1</v>
      </c>
      <c r="BB240" s="138">
        <v>36</v>
      </c>
      <c r="BC240" s="139">
        <f>+AZ240+BA240+BB240</f>
        <v>137</v>
      </c>
      <c r="BD240" s="140">
        <f t="shared" si="104"/>
        <v>12227250</v>
      </c>
    </row>
    <row r="241" spans="1:56" s="125" customFormat="1" ht="96" customHeight="1" x14ac:dyDescent="0.2">
      <c r="A241" s="150">
        <v>17</v>
      </c>
      <c r="B241" s="148">
        <v>238</v>
      </c>
      <c r="C241" s="105">
        <v>42152103</v>
      </c>
      <c r="D241" s="106" t="s">
        <v>374</v>
      </c>
      <c r="E241" s="105" t="s">
        <v>923</v>
      </c>
      <c r="F241" s="105" t="s">
        <v>490</v>
      </c>
      <c r="G241" s="145" t="s">
        <v>978</v>
      </c>
      <c r="H241" s="145" t="s">
        <v>978</v>
      </c>
      <c r="I241" s="145" t="s">
        <v>978</v>
      </c>
      <c r="J241" s="104" t="s">
        <v>978</v>
      </c>
      <c r="K241" s="104" t="s">
        <v>978</v>
      </c>
      <c r="L241" s="104" t="s">
        <v>978</v>
      </c>
      <c r="M241" s="104" t="s">
        <v>978</v>
      </c>
      <c r="N241" s="104" t="s">
        <v>978</v>
      </c>
      <c r="O241" s="104" t="s">
        <v>978</v>
      </c>
      <c r="P241" s="104" t="s">
        <v>978</v>
      </c>
      <c r="Q241" s="104" t="s">
        <v>1012</v>
      </c>
      <c r="R241" s="104">
        <v>177770</v>
      </c>
      <c r="S241" s="104">
        <f>R241*(1+5.2%)*(1+5.1%)</f>
        <v>196551.75604000001</v>
      </c>
      <c r="T241" s="104" t="s">
        <v>978</v>
      </c>
      <c r="U241" s="104" t="s">
        <v>978</v>
      </c>
      <c r="V241" s="104" t="s">
        <v>978</v>
      </c>
      <c r="W241" s="104" t="s">
        <v>978</v>
      </c>
      <c r="X241" s="104" t="s">
        <v>978</v>
      </c>
      <c r="Y241" s="104" t="s">
        <v>978</v>
      </c>
      <c r="Z241" s="104" t="s">
        <v>978</v>
      </c>
      <c r="AA241" s="104" t="s">
        <v>978</v>
      </c>
      <c r="AB241" s="104" t="s">
        <v>978</v>
      </c>
      <c r="AC241" s="104" t="s">
        <v>978</v>
      </c>
      <c r="AD241" s="104" t="s">
        <v>978</v>
      </c>
      <c r="AE241" s="104" t="s">
        <v>978</v>
      </c>
      <c r="AF241" s="104" t="s">
        <v>978</v>
      </c>
      <c r="AG241" s="104" t="s">
        <v>978</v>
      </c>
      <c r="AH241" s="104" t="s">
        <v>978</v>
      </c>
      <c r="AI241" s="104" t="s">
        <v>978</v>
      </c>
      <c r="AJ241" s="104">
        <v>181319</v>
      </c>
      <c r="AK241" s="104">
        <f>AJ241*(1+5.1%)</f>
        <v>190566.269</v>
      </c>
      <c r="AL241" s="104">
        <f t="shared" ref="AL241:AL268" si="115">+AVERAGE(K241,M241,O241,Q241,S241,U241,W241,Y241,AA241,AC241,AE241,AG241,AI241,AK241)</f>
        <v>193559.01251999999</v>
      </c>
      <c r="AM241" s="120" t="s">
        <v>978</v>
      </c>
      <c r="AN241" s="103">
        <v>348920</v>
      </c>
      <c r="AO241" s="103" t="s">
        <v>974</v>
      </c>
      <c r="AP241" s="103" t="s">
        <v>974</v>
      </c>
      <c r="AQ241" s="103">
        <v>315000</v>
      </c>
      <c r="AR241" s="103" t="s">
        <v>974</v>
      </c>
      <c r="AS241" s="103" t="s">
        <v>974</v>
      </c>
      <c r="AT241" s="103" t="s">
        <v>974</v>
      </c>
      <c r="AU241" s="103">
        <f t="shared" si="112"/>
        <v>315000</v>
      </c>
      <c r="AV241" s="158"/>
      <c r="AW241" s="156">
        <f>+AVERAGE(AL241,AU241)</f>
        <v>254279.50625999999</v>
      </c>
      <c r="AX241" s="121">
        <f t="shared" ref="AX241:AX268" si="116">+ROUND(AW241,0)</f>
        <v>254280</v>
      </c>
      <c r="AY241" s="163" t="s">
        <v>1073</v>
      </c>
      <c r="AZ241" s="160">
        <v>48</v>
      </c>
      <c r="BA241" s="138">
        <v>50</v>
      </c>
      <c r="BB241" s="138">
        <v>60</v>
      </c>
      <c r="BC241" s="139">
        <f>+BA241+BB241+AZ241</f>
        <v>158</v>
      </c>
      <c r="BD241" s="140">
        <f t="shared" si="104"/>
        <v>40176240</v>
      </c>
    </row>
    <row r="242" spans="1:56" s="125" customFormat="1" ht="48.75" customHeight="1" x14ac:dyDescent="0.2">
      <c r="A242" s="150">
        <v>17</v>
      </c>
      <c r="B242" s="148">
        <v>239</v>
      </c>
      <c r="C242" s="105">
        <v>42201905</v>
      </c>
      <c r="D242" s="111" t="s">
        <v>375</v>
      </c>
      <c r="E242" s="111" t="s">
        <v>375</v>
      </c>
      <c r="F242" s="111" t="s">
        <v>1059</v>
      </c>
      <c r="G242" s="145" t="s">
        <v>978</v>
      </c>
      <c r="H242" s="145" t="s">
        <v>978</v>
      </c>
      <c r="I242" s="145" t="s">
        <v>978</v>
      </c>
      <c r="J242" s="104" t="s">
        <v>978</v>
      </c>
      <c r="K242" s="104" t="s">
        <v>978</v>
      </c>
      <c r="L242" s="104" t="s">
        <v>978</v>
      </c>
      <c r="M242" s="104" t="s">
        <v>978</v>
      </c>
      <c r="N242" s="104" t="s">
        <v>978</v>
      </c>
      <c r="O242" s="104" t="s">
        <v>978</v>
      </c>
      <c r="P242" s="104" t="s">
        <v>978</v>
      </c>
      <c r="Q242" s="104" t="s">
        <v>1012</v>
      </c>
      <c r="R242" s="104">
        <f>214738*2.5</f>
        <v>536845</v>
      </c>
      <c r="S242" s="104">
        <f>R242*(1+5.2%)*(1+5.1%)</f>
        <v>593563.74794000003</v>
      </c>
      <c r="T242" s="104" t="s">
        <v>978</v>
      </c>
      <c r="U242" s="104" t="s">
        <v>978</v>
      </c>
      <c r="V242" s="104" t="s">
        <v>978</v>
      </c>
      <c r="W242" s="104" t="s">
        <v>978</v>
      </c>
      <c r="X242" s="104" t="s">
        <v>978</v>
      </c>
      <c r="Y242" s="104" t="s">
        <v>978</v>
      </c>
      <c r="Z242" s="104" t="s">
        <v>978</v>
      </c>
      <c r="AA242" s="104" t="s">
        <v>978</v>
      </c>
      <c r="AB242" s="104" t="s">
        <v>978</v>
      </c>
      <c r="AC242" s="104" t="s">
        <v>978</v>
      </c>
      <c r="AD242" s="104" t="s">
        <v>978</v>
      </c>
      <c r="AE242" s="104" t="s">
        <v>978</v>
      </c>
      <c r="AF242" s="104" t="s">
        <v>978</v>
      </c>
      <c r="AG242" s="104" t="s">
        <v>978</v>
      </c>
      <c r="AH242" s="104" t="s">
        <v>978</v>
      </c>
      <c r="AI242" s="104" t="s">
        <v>978</v>
      </c>
      <c r="AJ242" s="104">
        <v>271672</v>
      </c>
      <c r="AK242" s="104">
        <f>AJ242*(1+5.1%)</f>
        <v>285527.272</v>
      </c>
      <c r="AL242" s="104">
        <f t="shared" si="115"/>
        <v>439545.50997000001</v>
      </c>
      <c r="AM242" s="120" t="s">
        <v>978</v>
      </c>
      <c r="AN242" s="103">
        <v>643500</v>
      </c>
      <c r="AO242" s="103" t="s">
        <v>974</v>
      </c>
      <c r="AP242" s="103" t="s">
        <v>974</v>
      </c>
      <c r="AQ242" s="103" t="s">
        <v>974</v>
      </c>
      <c r="AR242" s="103" t="s">
        <v>974</v>
      </c>
      <c r="AS242" s="103" t="s">
        <v>974</v>
      </c>
      <c r="AT242" s="103" t="s">
        <v>974</v>
      </c>
      <c r="AU242" s="103">
        <f t="shared" si="112"/>
        <v>643500</v>
      </c>
      <c r="AV242" s="158"/>
      <c r="AW242" s="156">
        <f>+AU242</f>
        <v>643500</v>
      </c>
      <c r="AX242" s="121">
        <f t="shared" si="116"/>
        <v>643500</v>
      </c>
      <c r="AY242" s="163" t="s">
        <v>1080</v>
      </c>
      <c r="AZ242" s="160">
        <v>34</v>
      </c>
      <c r="BA242" s="138">
        <v>0</v>
      </c>
      <c r="BB242" s="138">
        <v>0</v>
      </c>
      <c r="BC242" s="139">
        <f t="shared" ref="BC242:BC254" si="117">+AZ242+BA242+BB242</f>
        <v>34</v>
      </c>
      <c r="BD242" s="140">
        <f t="shared" si="104"/>
        <v>21879000</v>
      </c>
    </row>
    <row r="243" spans="1:56" s="125" customFormat="1" ht="48" customHeight="1" x14ac:dyDescent="0.2">
      <c r="A243" s="150">
        <v>17</v>
      </c>
      <c r="B243" s="148">
        <v>240</v>
      </c>
      <c r="C243" s="105">
        <v>42201905</v>
      </c>
      <c r="D243" s="106" t="s">
        <v>376</v>
      </c>
      <c r="E243" s="105" t="s">
        <v>777</v>
      </c>
      <c r="F243" s="105" t="s">
        <v>525</v>
      </c>
      <c r="G243" s="145" t="s">
        <v>978</v>
      </c>
      <c r="H243" s="145" t="s">
        <v>978</v>
      </c>
      <c r="I243" s="145" t="s">
        <v>978</v>
      </c>
      <c r="J243" s="104" t="s">
        <v>978</v>
      </c>
      <c r="K243" s="104" t="s">
        <v>978</v>
      </c>
      <c r="L243" s="104" t="s">
        <v>978</v>
      </c>
      <c r="M243" s="104" t="s">
        <v>978</v>
      </c>
      <c r="N243" s="104" t="s">
        <v>978</v>
      </c>
      <c r="O243" s="104" t="s">
        <v>978</v>
      </c>
      <c r="P243" s="104" t="s">
        <v>978</v>
      </c>
      <c r="Q243" s="104" t="s">
        <v>1012</v>
      </c>
      <c r="R243" s="104" t="s">
        <v>978</v>
      </c>
      <c r="S243" s="104" t="s">
        <v>978</v>
      </c>
      <c r="T243" s="104" t="s">
        <v>978</v>
      </c>
      <c r="U243" s="104" t="s">
        <v>978</v>
      </c>
      <c r="V243" s="104" t="s">
        <v>978</v>
      </c>
      <c r="W243" s="104" t="s">
        <v>978</v>
      </c>
      <c r="X243" s="104" t="s">
        <v>978</v>
      </c>
      <c r="Y243" s="104" t="s">
        <v>978</v>
      </c>
      <c r="Z243" s="104" t="s">
        <v>978</v>
      </c>
      <c r="AA243" s="104" t="s">
        <v>978</v>
      </c>
      <c r="AB243" s="104" t="s">
        <v>978</v>
      </c>
      <c r="AC243" s="104" t="s">
        <v>978</v>
      </c>
      <c r="AD243" s="104" t="s">
        <v>978</v>
      </c>
      <c r="AE243" s="104" t="s">
        <v>978</v>
      </c>
      <c r="AF243" s="104" t="s">
        <v>978</v>
      </c>
      <c r="AG243" s="104" t="s">
        <v>978</v>
      </c>
      <c r="AH243" s="104" t="s">
        <v>978</v>
      </c>
      <c r="AI243" s="104" t="s">
        <v>978</v>
      </c>
      <c r="AJ243" s="104" t="s">
        <v>978</v>
      </c>
      <c r="AK243" s="104" t="s">
        <v>978</v>
      </c>
      <c r="AL243" s="104" t="s">
        <v>978</v>
      </c>
      <c r="AM243" s="120" t="s">
        <v>978</v>
      </c>
      <c r="AN243" s="103">
        <v>257400</v>
      </c>
      <c r="AO243" s="103" t="s">
        <v>974</v>
      </c>
      <c r="AP243" s="103" t="s">
        <v>974</v>
      </c>
      <c r="AQ243" s="103">
        <v>1017450</v>
      </c>
      <c r="AR243" s="103" t="s">
        <v>974</v>
      </c>
      <c r="AS243" s="103" t="s">
        <v>974</v>
      </c>
      <c r="AT243" s="103" t="s">
        <v>974</v>
      </c>
      <c r="AU243" s="103">
        <f t="shared" si="112"/>
        <v>257400</v>
      </c>
      <c r="AV243" s="158"/>
      <c r="AW243" s="156">
        <f>+AVERAGE(AL243,AU243)</f>
        <v>257400</v>
      </c>
      <c r="AX243" s="121">
        <f t="shared" si="116"/>
        <v>257400</v>
      </c>
      <c r="AY243" s="163" t="s">
        <v>1073</v>
      </c>
      <c r="AZ243" s="160">
        <v>5</v>
      </c>
      <c r="BA243" s="138">
        <v>0</v>
      </c>
      <c r="BB243" s="138">
        <v>0</v>
      </c>
      <c r="BC243" s="139">
        <f t="shared" si="117"/>
        <v>5</v>
      </c>
      <c r="BD243" s="140">
        <f t="shared" si="104"/>
        <v>1287000</v>
      </c>
    </row>
    <row r="244" spans="1:56" s="125" customFormat="1" ht="36.75" customHeight="1" x14ac:dyDescent="0.2">
      <c r="A244" s="150">
        <v>17</v>
      </c>
      <c r="B244" s="148">
        <v>241</v>
      </c>
      <c r="C244" s="105">
        <v>42221902</v>
      </c>
      <c r="D244" s="106" t="s">
        <v>377</v>
      </c>
      <c r="E244" s="105" t="s">
        <v>924</v>
      </c>
      <c r="F244" s="107" t="s">
        <v>456</v>
      </c>
      <c r="G244" s="145">
        <f>2520*25</f>
        <v>63000</v>
      </c>
      <c r="H244" s="145" t="s">
        <v>978</v>
      </c>
      <c r="I244" s="145">
        <f t="shared" ref="I244:I250" si="118">+AVERAGE(G244:H244)</f>
        <v>63000</v>
      </c>
      <c r="J244" s="104" t="s">
        <v>978</v>
      </c>
      <c r="K244" s="104" t="s">
        <v>978</v>
      </c>
      <c r="L244" s="104" t="s">
        <v>978</v>
      </c>
      <c r="M244" s="104" t="s">
        <v>978</v>
      </c>
      <c r="N244" s="104" t="s">
        <v>978</v>
      </c>
      <c r="O244" s="104" t="s">
        <v>978</v>
      </c>
      <c r="P244" s="104">
        <v>37620</v>
      </c>
      <c r="Q244" s="104">
        <f t="shared" ref="Q244:Q267" si="119">P244*(1+5.2%)*(1+5.1%)</f>
        <v>41594.628240000005</v>
      </c>
      <c r="R244" s="104" t="s">
        <v>978</v>
      </c>
      <c r="S244" s="104" t="s">
        <v>978</v>
      </c>
      <c r="T244" s="104" t="s">
        <v>978</v>
      </c>
      <c r="U244" s="104" t="s">
        <v>978</v>
      </c>
      <c r="V244" s="104">
        <v>48146</v>
      </c>
      <c r="W244" s="104">
        <f t="shared" ref="W244:W268" si="120">V244*(1+5.1%)</f>
        <v>50601.445999999996</v>
      </c>
      <c r="X244" s="104" t="s">
        <v>978</v>
      </c>
      <c r="Y244" s="104" t="s">
        <v>978</v>
      </c>
      <c r="Z244" s="104" t="s">
        <v>978</v>
      </c>
      <c r="AA244" s="104" t="s">
        <v>978</v>
      </c>
      <c r="AB244" s="104" t="s">
        <v>978</v>
      </c>
      <c r="AC244" s="104" t="s">
        <v>978</v>
      </c>
      <c r="AD244" s="104" t="s">
        <v>978</v>
      </c>
      <c r="AE244" s="104" t="s">
        <v>978</v>
      </c>
      <c r="AF244" s="104" t="s">
        <v>978</v>
      </c>
      <c r="AG244" s="104" t="s">
        <v>978</v>
      </c>
      <c r="AH244" s="104" t="s">
        <v>978</v>
      </c>
      <c r="AI244" s="104" t="s">
        <v>978</v>
      </c>
      <c r="AJ244" s="104" t="s">
        <v>978</v>
      </c>
      <c r="AK244" s="104" t="s">
        <v>978</v>
      </c>
      <c r="AL244" s="104">
        <f t="shared" si="115"/>
        <v>46098.037120000001</v>
      </c>
      <c r="AM244" s="120" t="s">
        <v>978</v>
      </c>
      <c r="AN244" s="103">
        <v>52910</v>
      </c>
      <c r="AO244" s="103" t="s">
        <v>974</v>
      </c>
      <c r="AP244" s="103">
        <v>2000</v>
      </c>
      <c r="AQ244" s="103">
        <v>48750</v>
      </c>
      <c r="AR244" s="103" t="s">
        <v>974</v>
      </c>
      <c r="AS244" s="103" t="s">
        <v>974</v>
      </c>
      <c r="AT244" s="103" t="s">
        <v>974</v>
      </c>
      <c r="AU244" s="103">
        <f>+MIN(AN244,AO244,AQ244,AR244,AS244,AT244)</f>
        <v>48750</v>
      </c>
      <c r="AV244" s="158" t="s">
        <v>1076</v>
      </c>
      <c r="AW244" s="156">
        <f>+AVERAGE(AL244,AU244)</f>
        <v>47424.018559999997</v>
      </c>
      <c r="AX244" s="121">
        <f t="shared" si="116"/>
        <v>47424</v>
      </c>
      <c r="AY244" s="163" t="s">
        <v>1074</v>
      </c>
      <c r="AZ244" s="160">
        <v>57</v>
      </c>
      <c r="BA244" s="138">
        <v>0</v>
      </c>
      <c r="BB244" s="138">
        <v>0</v>
      </c>
      <c r="BC244" s="139">
        <f t="shared" si="117"/>
        <v>57</v>
      </c>
      <c r="BD244" s="140">
        <f t="shared" si="104"/>
        <v>2703168</v>
      </c>
    </row>
    <row r="245" spans="1:56" s="125" customFormat="1" ht="60.75" customHeight="1" x14ac:dyDescent="0.2">
      <c r="A245" s="150">
        <v>17</v>
      </c>
      <c r="B245" s="148">
        <v>242</v>
      </c>
      <c r="C245" s="105">
        <v>42293505</v>
      </c>
      <c r="D245" s="106" t="s">
        <v>296</v>
      </c>
      <c r="E245" s="105" t="s">
        <v>878</v>
      </c>
      <c r="F245" s="105" t="s">
        <v>458</v>
      </c>
      <c r="G245" s="145">
        <f>3230*10</f>
        <v>32300</v>
      </c>
      <c r="H245" s="145" t="s">
        <v>978</v>
      </c>
      <c r="I245" s="145">
        <f t="shared" si="118"/>
        <v>32300</v>
      </c>
      <c r="J245" s="104">
        <v>18100</v>
      </c>
      <c r="K245" s="104">
        <f t="shared" ref="K245:K250" si="121">J245*(1+5.2%)*(1+5.1%)</f>
        <v>20012.301199999998</v>
      </c>
      <c r="L245" s="104" t="s">
        <v>978</v>
      </c>
      <c r="M245" s="104" t="s">
        <v>978</v>
      </c>
      <c r="N245" s="104" t="s">
        <v>978</v>
      </c>
      <c r="O245" s="104" t="s">
        <v>978</v>
      </c>
      <c r="P245" s="104" t="s">
        <v>978</v>
      </c>
      <c r="Q245" s="104" t="s">
        <v>1012</v>
      </c>
      <c r="R245" s="104" t="s">
        <v>978</v>
      </c>
      <c r="S245" s="104" t="s">
        <v>978</v>
      </c>
      <c r="T245" s="104" t="s">
        <v>978</v>
      </c>
      <c r="U245" s="104" t="s">
        <v>978</v>
      </c>
      <c r="V245" s="104" t="s">
        <v>978</v>
      </c>
      <c r="W245" s="104" t="s">
        <v>978</v>
      </c>
      <c r="X245" s="104" t="s">
        <v>978</v>
      </c>
      <c r="Y245" s="104" t="s">
        <v>978</v>
      </c>
      <c r="Z245" s="104" t="s">
        <v>978</v>
      </c>
      <c r="AA245" s="104" t="s">
        <v>978</v>
      </c>
      <c r="AB245" s="104">
        <v>17262</v>
      </c>
      <c r="AC245" s="104">
        <f t="shared" ref="AC245:AC252" si="122">AB245*(1+5.1%)</f>
        <v>18142.361999999997</v>
      </c>
      <c r="AD245" s="104" t="s">
        <v>978</v>
      </c>
      <c r="AE245" s="104" t="s">
        <v>978</v>
      </c>
      <c r="AF245" s="104">
        <v>23051</v>
      </c>
      <c r="AG245" s="104">
        <f>AF245*(1+5.1%)</f>
        <v>24226.600999999999</v>
      </c>
      <c r="AH245" s="104" t="s">
        <v>978</v>
      </c>
      <c r="AI245" s="104" t="s">
        <v>978</v>
      </c>
      <c r="AJ245" s="104" t="s">
        <v>978</v>
      </c>
      <c r="AK245" s="104" t="s">
        <v>978</v>
      </c>
      <c r="AL245" s="104">
        <f t="shared" si="115"/>
        <v>20793.754733333331</v>
      </c>
      <c r="AM245" s="120">
        <v>31000</v>
      </c>
      <c r="AN245" s="103">
        <v>65500</v>
      </c>
      <c r="AO245" s="103">
        <v>4172</v>
      </c>
      <c r="AP245" s="103" t="s">
        <v>974</v>
      </c>
      <c r="AQ245" s="103">
        <v>36000</v>
      </c>
      <c r="AR245" s="103" t="s">
        <v>974</v>
      </c>
      <c r="AS245" s="103" t="s">
        <v>974</v>
      </c>
      <c r="AT245" s="103" t="s">
        <v>974</v>
      </c>
      <c r="AU245" s="103">
        <f>+MIN(AN245,AQ245)</f>
        <v>36000</v>
      </c>
      <c r="AV245" s="158" t="s">
        <v>1077</v>
      </c>
      <c r="AW245" s="156">
        <f>+AVERAGE(AL245,AU245,AM245,I245)</f>
        <v>30023.438683333334</v>
      </c>
      <c r="AX245" s="121">
        <f t="shared" ref="AX245:AX246" si="123">+ROUND(AW245,0)</f>
        <v>30023</v>
      </c>
      <c r="AY245" s="163" t="s">
        <v>1085</v>
      </c>
      <c r="AZ245" s="160">
        <v>22</v>
      </c>
      <c r="BA245" s="138">
        <v>0</v>
      </c>
      <c r="BB245" s="138">
        <v>0</v>
      </c>
      <c r="BC245" s="139">
        <f t="shared" si="117"/>
        <v>22</v>
      </c>
      <c r="BD245" s="140">
        <f t="shared" si="104"/>
        <v>660506</v>
      </c>
    </row>
    <row r="246" spans="1:56" s="125" customFormat="1" ht="60" customHeight="1" x14ac:dyDescent="0.2">
      <c r="A246" s="150">
        <v>17</v>
      </c>
      <c r="B246" s="148">
        <v>243</v>
      </c>
      <c r="C246" s="105">
        <v>42293505</v>
      </c>
      <c r="D246" s="106" t="s">
        <v>879</v>
      </c>
      <c r="E246" s="105" t="s">
        <v>878</v>
      </c>
      <c r="F246" s="105" t="s">
        <v>458</v>
      </c>
      <c r="G246" s="145">
        <f>3230*10</f>
        <v>32300</v>
      </c>
      <c r="H246" s="145" t="s">
        <v>978</v>
      </c>
      <c r="I246" s="145">
        <f t="shared" si="118"/>
        <v>32300</v>
      </c>
      <c r="J246" s="104">
        <v>18100</v>
      </c>
      <c r="K246" s="104">
        <f t="shared" si="121"/>
        <v>20012.301199999998</v>
      </c>
      <c r="L246" s="104" t="s">
        <v>978</v>
      </c>
      <c r="M246" s="104" t="s">
        <v>978</v>
      </c>
      <c r="N246" s="104" t="s">
        <v>978</v>
      </c>
      <c r="O246" s="104" t="s">
        <v>978</v>
      </c>
      <c r="P246" s="104" t="s">
        <v>978</v>
      </c>
      <c r="Q246" s="104" t="s">
        <v>1012</v>
      </c>
      <c r="R246" s="104" t="s">
        <v>978</v>
      </c>
      <c r="S246" s="104" t="s">
        <v>978</v>
      </c>
      <c r="T246" s="104" t="s">
        <v>978</v>
      </c>
      <c r="U246" s="104" t="s">
        <v>978</v>
      </c>
      <c r="V246" s="104" t="s">
        <v>978</v>
      </c>
      <c r="W246" s="104" t="s">
        <v>978</v>
      </c>
      <c r="X246" s="104" t="s">
        <v>978</v>
      </c>
      <c r="Y246" s="104" t="s">
        <v>978</v>
      </c>
      <c r="Z246" s="104" t="s">
        <v>978</v>
      </c>
      <c r="AA246" s="104" t="s">
        <v>978</v>
      </c>
      <c r="AB246" s="104">
        <v>24922</v>
      </c>
      <c r="AC246" s="104">
        <f t="shared" si="122"/>
        <v>26193.021999999997</v>
      </c>
      <c r="AD246" s="104" t="s">
        <v>978</v>
      </c>
      <c r="AE246" s="104" t="s">
        <v>978</v>
      </c>
      <c r="AF246" s="104">
        <v>23051</v>
      </c>
      <c r="AG246" s="104">
        <f>AF246*(1+5.1%)</f>
        <v>24226.600999999999</v>
      </c>
      <c r="AH246" s="104" t="s">
        <v>978</v>
      </c>
      <c r="AI246" s="104" t="s">
        <v>978</v>
      </c>
      <c r="AJ246" s="104" t="s">
        <v>978</v>
      </c>
      <c r="AK246" s="104" t="s">
        <v>978</v>
      </c>
      <c r="AL246" s="104">
        <f t="shared" si="115"/>
        <v>23477.308066666665</v>
      </c>
      <c r="AM246" s="120">
        <v>31000</v>
      </c>
      <c r="AN246" s="103">
        <v>65500</v>
      </c>
      <c r="AO246" s="103">
        <v>4171.6666666666697</v>
      </c>
      <c r="AP246" s="103" t="s">
        <v>974</v>
      </c>
      <c r="AQ246" s="103">
        <v>34000</v>
      </c>
      <c r="AR246" s="103" t="s">
        <v>974</v>
      </c>
      <c r="AS246" s="103" t="s">
        <v>974</v>
      </c>
      <c r="AT246" s="103" t="s">
        <v>974</v>
      </c>
      <c r="AU246" s="103">
        <f>+MIN(AN246,AP246,AQ246,AR246,AS246,AT246)</f>
        <v>34000</v>
      </c>
      <c r="AV246" s="158" t="s">
        <v>1077</v>
      </c>
      <c r="AW246" s="156">
        <f>+AVERAGE(AL246,AU246,AM246,I246)</f>
        <v>30194.327016666666</v>
      </c>
      <c r="AX246" s="121">
        <f t="shared" si="123"/>
        <v>30194</v>
      </c>
      <c r="AY246" s="163" t="s">
        <v>1085</v>
      </c>
      <c r="AZ246" s="160">
        <v>0</v>
      </c>
      <c r="BA246" s="138">
        <v>5</v>
      </c>
      <c r="BB246" s="138">
        <v>0</v>
      </c>
      <c r="BC246" s="139">
        <f t="shared" si="117"/>
        <v>5</v>
      </c>
      <c r="BD246" s="140">
        <f t="shared" si="104"/>
        <v>150970</v>
      </c>
    </row>
    <row r="247" spans="1:56" s="125" customFormat="1" ht="60.75" customHeight="1" x14ac:dyDescent="0.2">
      <c r="A247" s="150">
        <v>17</v>
      </c>
      <c r="B247" s="148">
        <v>244</v>
      </c>
      <c r="C247" s="105">
        <v>42293505</v>
      </c>
      <c r="D247" s="106" t="s">
        <v>378</v>
      </c>
      <c r="E247" s="105" t="s">
        <v>878</v>
      </c>
      <c r="F247" s="105" t="s">
        <v>458</v>
      </c>
      <c r="G247" s="145">
        <f>3230*10</f>
        <v>32300</v>
      </c>
      <c r="H247" s="145" t="s">
        <v>978</v>
      </c>
      <c r="I247" s="145">
        <f t="shared" si="118"/>
        <v>32300</v>
      </c>
      <c r="J247" s="104">
        <v>18100</v>
      </c>
      <c r="K247" s="104">
        <f t="shared" si="121"/>
        <v>20012.301199999998</v>
      </c>
      <c r="L247" s="104" t="s">
        <v>978</v>
      </c>
      <c r="M247" s="104" t="s">
        <v>978</v>
      </c>
      <c r="N247" s="104" t="s">
        <v>978</v>
      </c>
      <c r="O247" s="104" t="s">
        <v>978</v>
      </c>
      <c r="P247" s="104" t="s">
        <v>978</v>
      </c>
      <c r="Q247" s="104" t="s">
        <v>1012</v>
      </c>
      <c r="R247" s="104" t="s">
        <v>978</v>
      </c>
      <c r="S247" s="104" t="s">
        <v>978</v>
      </c>
      <c r="T247" s="104" t="s">
        <v>978</v>
      </c>
      <c r="U247" s="104" t="s">
        <v>978</v>
      </c>
      <c r="V247" s="104" t="s">
        <v>978</v>
      </c>
      <c r="W247" s="104" t="s">
        <v>978</v>
      </c>
      <c r="X247" s="104" t="s">
        <v>978</v>
      </c>
      <c r="Y247" s="104" t="s">
        <v>978</v>
      </c>
      <c r="Z247" s="104" t="s">
        <v>978</v>
      </c>
      <c r="AA247" s="104" t="s">
        <v>978</v>
      </c>
      <c r="AB247" s="104">
        <v>24049</v>
      </c>
      <c r="AC247" s="104">
        <f t="shared" si="122"/>
        <v>25275.499</v>
      </c>
      <c r="AD247" s="104" t="s">
        <v>978</v>
      </c>
      <c r="AE247" s="104" t="s">
        <v>978</v>
      </c>
      <c r="AF247" s="104">
        <v>23051</v>
      </c>
      <c r="AG247" s="104">
        <f>AF247*(1+5.1%)</f>
        <v>24226.600999999999</v>
      </c>
      <c r="AH247" s="104" t="s">
        <v>978</v>
      </c>
      <c r="AI247" s="104" t="s">
        <v>978</v>
      </c>
      <c r="AJ247" s="104" t="s">
        <v>978</v>
      </c>
      <c r="AK247" s="104" t="s">
        <v>978</v>
      </c>
      <c r="AL247" s="104">
        <f t="shared" si="115"/>
        <v>23171.467066666664</v>
      </c>
      <c r="AM247" s="120">
        <v>31000</v>
      </c>
      <c r="AN247" s="103">
        <v>70000</v>
      </c>
      <c r="AO247" s="103">
        <v>4171.666666666667</v>
      </c>
      <c r="AP247" s="103" t="s">
        <v>974</v>
      </c>
      <c r="AQ247" s="103">
        <v>34000</v>
      </c>
      <c r="AR247" s="103">
        <v>33250</v>
      </c>
      <c r="AS247" s="103">
        <v>40837.5</v>
      </c>
      <c r="AT247" s="103">
        <v>29000</v>
      </c>
      <c r="AU247" s="103">
        <f>+MIN(AN247,AP247,AQ247,AR247,AS247,AT247)</f>
        <v>29000</v>
      </c>
      <c r="AV247" s="158" t="s">
        <v>1077</v>
      </c>
      <c r="AW247" s="156">
        <f>+AVERAGE(AL247,AU247)</f>
        <v>26085.733533333332</v>
      </c>
      <c r="AX247" s="121">
        <f>+ROUND(AW247,0)</f>
        <v>26086</v>
      </c>
      <c r="AY247" s="163" t="s">
        <v>1084</v>
      </c>
      <c r="AZ247" s="160">
        <v>22</v>
      </c>
      <c r="BA247" s="138">
        <v>0</v>
      </c>
      <c r="BB247" s="138">
        <v>0</v>
      </c>
      <c r="BC247" s="139">
        <f t="shared" si="117"/>
        <v>22</v>
      </c>
      <c r="BD247" s="140">
        <f t="shared" si="104"/>
        <v>573892</v>
      </c>
    </row>
    <row r="248" spans="1:56" s="125" customFormat="1" ht="60" customHeight="1" x14ac:dyDescent="0.2">
      <c r="A248" s="150">
        <v>17</v>
      </c>
      <c r="B248" s="148">
        <v>245</v>
      </c>
      <c r="C248" s="105">
        <v>42293505</v>
      </c>
      <c r="D248" s="106" t="s">
        <v>379</v>
      </c>
      <c r="E248" s="105" t="s">
        <v>878</v>
      </c>
      <c r="F248" s="105" t="s">
        <v>458</v>
      </c>
      <c r="G248" s="145" t="s">
        <v>978</v>
      </c>
      <c r="H248" s="145" t="s">
        <v>978</v>
      </c>
      <c r="I248" s="145" t="s">
        <v>978</v>
      </c>
      <c r="J248" s="104">
        <v>18100</v>
      </c>
      <c r="K248" s="104">
        <f t="shared" si="121"/>
        <v>20012.301199999998</v>
      </c>
      <c r="L248" s="104" t="s">
        <v>978</v>
      </c>
      <c r="M248" s="104" t="s">
        <v>978</v>
      </c>
      <c r="N248" s="104" t="s">
        <v>978</v>
      </c>
      <c r="O248" s="104" t="s">
        <v>978</v>
      </c>
      <c r="P248" s="104">
        <v>37422</v>
      </c>
      <c r="Q248" s="104">
        <f t="shared" si="119"/>
        <v>41375.709144</v>
      </c>
      <c r="R248" s="104" t="s">
        <v>978</v>
      </c>
      <c r="S248" s="104" t="s">
        <v>978</v>
      </c>
      <c r="T248" s="104" t="s">
        <v>978</v>
      </c>
      <c r="U248" s="104" t="s">
        <v>978</v>
      </c>
      <c r="V248" s="104">
        <v>38452</v>
      </c>
      <c r="W248" s="104">
        <f t="shared" si="120"/>
        <v>40413.051999999996</v>
      </c>
      <c r="X248" s="104" t="s">
        <v>978</v>
      </c>
      <c r="Y248" s="104" t="s">
        <v>978</v>
      </c>
      <c r="Z248" s="104" t="s">
        <v>978</v>
      </c>
      <c r="AA248" s="104" t="s">
        <v>978</v>
      </c>
      <c r="AB248" s="104">
        <v>29100</v>
      </c>
      <c r="AC248" s="104">
        <f t="shared" si="122"/>
        <v>30584.1</v>
      </c>
      <c r="AD248" s="104" t="s">
        <v>978</v>
      </c>
      <c r="AE248" s="104" t="s">
        <v>978</v>
      </c>
      <c r="AF248" s="104">
        <v>23051</v>
      </c>
      <c r="AG248" s="104">
        <f>AF248*(1+5.1%)</f>
        <v>24226.600999999999</v>
      </c>
      <c r="AH248" s="104" t="s">
        <v>978</v>
      </c>
      <c r="AI248" s="104" t="s">
        <v>978</v>
      </c>
      <c r="AJ248" s="104" t="s">
        <v>978</v>
      </c>
      <c r="AK248" s="104" t="s">
        <v>978</v>
      </c>
      <c r="AL248" s="104">
        <f t="shared" si="115"/>
        <v>31322.352668799995</v>
      </c>
      <c r="AM248" s="120">
        <v>31000</v>
      </c>
      <c r="AN248" s="103">
        <v>70000</v>
      </c>
      <c r="AO248" s="103">
        <v>4171.666666666667</v>
      </c>
      <c r="AP248" s="103" t="s">
        <v>974</v>
      </c>
      <c r="AQ248" s="103">
        <v>34000</v>
      </c>
      <c r="AR248" s="103">
        <v>33250</v>
      </c>
      <c r="AS248" s="103">
        <v>40837.5</v>
      </c>
      <c r="AT248" s="103">
        <v>29000</v>
      </c>
      <c r="AU248" s="103">
        <f>+MIN(AN248,AP248,AQ248,AR248,AS248,AT248)</f>
        <v>29000</v>
      </c>
      <c r="AV248" s="158" t="s">
        <v>1077</v>
      </c>
      <c r="AW248" s="156">
        <f>+AU248</f>
        <v>29000</v>
      </c>
      <c r="AX248" s="121">
        <f>+ROUND(AU248,0)</f>
        <v>29000</v>
      </c>
      <c r="AY248" s="163" t="s">
        <v>1078</v>
      </c>
      <c r="AZ248" s="160">
        <v>0</v>
      </c>
      <c r="BA248" s="138">
        <v>4</v>
      </c>
      <c r="BB248" s="138">
        <v>0</v>
      </c>
      <c r="BC248" s="139">
        <f t="shared" si="117"/>
        <v>4</v>
      </c>
      <c r="BD248" s="140">
        <f t="shared" si="104"/>
        <v>116000</v>
      </c>
    </row>
    <row r="249" spans="1:56" s="125" customFormat="1" ht="132.75" customHeight="1" x14ac:dyDescent="0.2">
      <c r="A249" s="150">
        <v>17</v>
      </c>
      <c r="B249" s="148">
        <v>246</v>
      </c>
      <c r="C249" s="105">
        <v>42293505</v>
      </c>
      <c r="D249" s="106" t="s">
        <v>380</v>
      </c>
      <c r="E249" s="105" t="s">
        <v>812</v>
      </c>
      <c r="F249" s="105" t="s">
        <v>301</v>
      </c>
      <c r="G249" s="145">
        <f>770*50</f>
        <v>38500</v>
      </c>
      <c r="H249" s="145" t="s">
        <v>978</v>
      </c>
      <c r="I249" s="145">
        <f t="shared" si="118"/>
        <v>38500</v>
      </c>
      <c r="J249" s="104">
        <f>294*50</f>
        <v>14700</v>
      </c>
      <c r="K249" s="104">
        <f t="shared" si="121"/>
        <v>16253.0844</v>
      </c>
      <c r="L249" s="104" t="s">
        <v>978</v>
      </c>
      <c r="M249" s="104" t="s">
        <v>978</v>
      </c>
      <c r="N249" s="104" t="s">
        <v>978</v>
      </c>
      <c r="O249" s="104" t="s">
        <v>978</v>
      </c>
      <c r="P249" s="104" t="s">
        <v>978</v>
      </c>
      <c r="Q249" s="104" t="s">
        <v>1012</v>
      </c>
      <c r="R249" s="104" t="s">
        <v>978</v>
      </c>
      <c r="S249" s="104" t="s">
        <v>978</v>
      </c>
      <c r="T249" s="104" t="s">
        <v>978</v>
      </c>
      <c r="U249" s="104" t="s">
        <v>978</v>
      </c>
      <c r="V249" s="104">
        <v>31925</v>
      </c>
      <c r="W249" s="104">
        <f t="shared" si="120"/>
        <v>33553.174999999996</v>
      </c>
      <c r="X249" s="104" t="s">
        <v>978</v>
      </c>
      <c r="Y249" s="104" t="s">
        <v>978</v>
      </c>
      <c r="Z249" s="104" t="s">
        <v>978</v>
      </c>
      <c r="AA249" s="104" t="s">
        <v>978</v>
      </c>
      <c r="AB249" s="104" t="s">
        <v>978</v>
      </c>
      <c r="AC249" s="104" t="s">
        <v>978</v>
      </c>
      <c r="AD249" s="104" t="s">
        <v>978</v>
      </c>
      <c r="AE249" s="104" t="s">
        <v>978</v>
      </c>
      <c r="AF249" s="104" t="s">
        <v>978</v>
      </c>
      <c r="AG249" s="104" t="s">
        <v>978</v>
      </c>
      <c r="AH249" s="104" t="s">
        <v>978</v>
      </c>
      <c r="AI249" s="104" t="s">
        <v>978</v>
      </c>
      <c r="AJ249" s="104" t="s">
        <v>978</v>
      </c>
      <c r="AK249" s="104" t="s">
        <v>978</v>
      </c>
      <c r="AL249" s="104">
        <f t="shared" si="115"/>
        <v>24903.129699999998</v>
      </c>
      <c r="AM249" s="120" t="s">
        <v>978</v>
      </c>
      <c r="AN249" s="103">
        <v>47500</v>
      </c>
      <c r="AO249" s="103">
        <v>703.33333333333337</v>
      </c>
      <c r="AP249" s="103" t="s">
        <v>974</v>
      </c>
      <c r="AQ249" s="103">
        <v>38000</v>
      </c>
      <c r="AR249" s="103" t="s">
        <v>974</v>
      </c>
      <c r="AS249" s="103" t="s">
        <v>974</v>
      </c>
      <c r="AT249" s="103" t="s">
        <v>974</v>
      </c>
      <c r="AU249" s="103">
        <f>+MIN(AN249,AP249,AQ249,AR249,AS249,AT249)</f>
        <v>38000</v>
      </c>
      <c r="AV249" s="158" t="s">
        <v>1077</v>
      </c>
      <c r="AW249" s="156">
        <f>+AVERAGE(AL249,AU249)</f>
        <v>31451.564849999999</v>
      </c>
      <c r="AX249" s="121">
        <f t="shared" si="116"/>
        <v>31452</v>
      </c>
      <c r="AY249" s="163" t="s">
        <v>1074</v>
      </c>
      <c r="AZ249" s="160">
        <v>240</v>
      </c>
      <c r="BA249" s="138">
        <v>24</v>
      </c>
      <c r="BB249" s="138">
        <v>168</v>
      </c>
      <c r="BC249" s="139">
        <f t="shared" si="117"/>
        <v>432</v>
      </c>
      <c r="BD249" s="140">
        <f t="shared" si="104"/>
        <v>13587264</v>
      </c>
    </row>
    <row r="250" spans="1:56" s="125" customFormat="1" ht="132" customHeight="1" x14ac:dyDescent="0.2">
      <c r="A250" s="150">
        <v>17</v>
      </c>
      <c r="B250" s="148">
        <v>247</v>
      </c>
      <c r="C250" s="105">
        <v>42293505</v>
      </c>
      <c r="D250" s="106" t="s">
        <v>381</v>
      </c>
      <c r="E250" s="105" t="s">
        <v>812</v>
      </c>
      <c r="F250" s="105" t="s">
        <v>301</v>
      </c>
      <c r="G250" s="145">
        <f>770*50</f>
        <v>38500</v>
      </c>
      <c r="H250" s="145" t="s">
        <v>978</v>
      </c>
      <c r="I250" s="145">
        <f t="shared" si="118"/>
        <v>38500</v>
      </c>
      <c r="J250" s="104">
        <f>294*50</f>
        <v>14700</v>
      </c>
      <c r="K250" s="104">
        <f t="shared" si="121"/>
        <v>16253.0844</v>
      </c>
      <c r="L250" s="104" t="s">
        <v>978</v>
      </c>
      <c r="M250" s="104" t="s">
        <v>978</v>
      </c>
      <c r="N250" s="104" t="s">
        <v>978</v>
      </c>
      <c r="O250" s="104" t="s">
        <v>978</v>
      </c>
      <c r="P250" s="104" t="s">
        <v>978</v>
      </c>
      <c r="Q250" s="104" t="s">
        <v>1012</v>
      </c>
      <c r="R250" s="104" t="s">
        <v>978</v>
      </c>
      <c r="S250" s="104" t="s">
        <v>978</v>
      </c>
      <c r="T250" s="104" t="s">
        <v>978</v>
      </c>
      <c r="U250" s="104" t="s">
        <v>978</v>
      </c>
      <c r="V250" s="104">
        <v>35846</v>
      </c>
      <c r="W250" s="104">
        <f t="shared" si="120"/>
        <v>37674.146000000001</v>
      </c>
      <c r="X250" s="104" t="s">
        <v>978</v>
      </c>
      <c r="Y250" s="104" t="s">
        <v>978</v>
      </c>
      <c r="Z250" s="104" t="s">
        <v>978</v>
      </c>
      <c r="AA250" s="104" t="s">
        <v>978</v>
      </c>
      <c r="AB250" s="104">
        <v>20661</v>
      </c>
      <c r="AC250" s="104">
        <f t="shared" si="122"/>
        <v>21714.710999999999</v>
      </c>
      <c r="AD250" s="104" t="s">
        <v>978</v>
      </c>
      <c r="AE250" s="104" t="s">
        <v>978</v>
      </c>
      <c r="AF250" s="104" t="s">
        <v>978</v>
      </c>
      <c r="AG250" s="104" t="s">
        <v>978</v>
      </c>
      <c r="AH250" s="104" t="s">
        <v>978</v>
      </c>
      <c r="AI250" s="104" t="s">
        <v>978</v>
      </c>
      <c r="AJ250" s="104" t="s">
        <v>978</v>
      </c>
      <c r="AK250" s="104" t="s">
        <v>978</v>
      </c>
      <c r="AL250" s="104">
        <f t="shared" si="115"/>
        <v>25213.980466666664</v>
      </c>
      <c r="AM250" s="120" t="s">
        <v>978</v>
      </c>
      <c r="AN250" s="103">
        <v>47500</v>
      </c>
      <c r="AO250" s="103">
        <v>725</v>
      </c>
      <c r="AP250" s="103" t="s">
        <v>974</v>
      </c>
      <c r="AQ250" s="103">
        <v>38000</v>
      </c>
      <c r="AR250" s="103" t="s">
        <v>974</v>
      </c>
      <c r="AS250" s="103" t="s">
        <v>974</v>
      </c>
      <c r="AT250" s="103" t="s">
        <v>974</v>
      </c>
      <c r="AU250" s="103">
        <f>+MIN(AN250,AP250,AQ250,AR250,AS250,AT250)</f>
        <v>38000</v>
      </c>
      <c r="AV250" s="158" t="s">
        <v>1077</v>
      </c>
      <c r="AW250" s="156">
        <f>+AVERAGE(AL250,AU250)</f>
        <v>31606.99023333333</v>
      </c>
      <c r="AX250" s="121">
        <f t="shared" si="116"/>
        <v>31607</v>
      </c>
      <c r="AY250" s="163" t="s">
        <v>1074</v>
      </c>
      <c r="AZ250" s="160">
        <v>0</v>
      </c>
      <c r="BA250" s="138">
        <v>250</v>
      </c>
      <c r="BB250" s="138">
        <v>240</v>
      </c>
      <c r="BC250" s="139">
        <f t="shared" si="117"/>
        <v>490</v>
      </c>
      <c r="BD250" s="140">
        <f t="shared" si="104"/>
        <v>15487430</v>
      </c>
    </row>
    <row r="251" spans="1:56" s="125" customFormat="1" ht="22.5" x14ac:dyDescent="0.2">
      <c r="A251" s="150">
        <v>17</v>
      </c>
      <c r="B251" s="148">
        <v>248</v>
      </c>
      <c r="C251" s="105">
        <v>42182005</v>
      </c>
      <c r="D251" s="106" t="s">
        <v>382</v>
      </c>
      <c r="E251" s="106" t="s">
        <v>382</v>
      </c>
      <c r="F251" s="105" t="s">
        <v>485</v>
      </c>
      <c r="G251" s="145">
        <f>413*34</f>
        <v>14042</v>
      </c>
      <c r="H251" s="145">
        <f>167*34</f>
        <v>5678</v>
      </c>
      <c r="I251" s="145">
        <f>+AVERAGE(G251:H251)</f>
        <v>9860</v>
      </c>
      <c r="J251" s="104" t="s">
        <v>978</v>
      </c>
      <c r="K251" s="104" t="s">
        <v>978</v>
      </c>
      <c r="L251" s="104" t="s">
        <v>978</v>
      </c>
      <c r="M251" s="104" t="s">
        <v>978</v>
      </c>
      <c r="N251" s="104" t="s">
        <v>978</v>
      </c>
      <c r="O251" s="104" t="s">
        <v>978</v>
      </c>
      <c r="P251" s="104">
        <v>11287</v>
      </c>
      <c r="Q251" s="104">
        <f t="shared" si="119"/>
        <v>12479.494124000001</v>
      </c>
      <c r="R251" s="104" t="s">
        <v>978</v>
      </c>
      <c r="S251" s="104" t="s">
        <v>978</v>
      </c>
      <c r="T251" s="104" t="s">
        <v>978</v>
      </c>
      <c r="U251" s="104" t="s">
        <v>978</v>
      </c>
      <c r="V251" s="104">
        <v>8768</v>
      </c>
      <c r="W251" s="104">
        <f t="shared" si="120"/>
        <v>9215.1679999999997</v>
      </c>
      <c r="X251" s="104" t="s">
        <v>978</v>
      </c>
      <c r="Y251" s="104" t="s">
        <v>978</v>
      </c>
      <c r="Z251" s="104" t="s">
        <v>978</v>
      </c>
      <c r="AA251" s="104" t="s">
        <v>978</v>
      </c>
      <c r="AB251" s="104">
        <v>6740</v>
      </c>
      <c r="AC251" s="104">
        <f t="shared" si="122"/>
        <v>7083.74</v>
      </c>
      <c r="AD251" s="104" t="s">
        <v>978</v>
      </c>
      <c r="AE251" s="104" t="s">
        <v>978</v>
      </c>
      <c r="AF251" s="104" t="s">
        <v>978</v>
      </c>
      <c r="AG251" s="104" t="s">
        <v>978</v>
      </c>
      <c r="AH251" s="104" t="s">
        <v>978</v>
      </c>
      <c r="AI251" s="104" t="s">
        <v>978</v>
      </c>
      <c r="AJ251" s="104" t="s">
        <v>978</v>
      </c>
      <c r="AK251" s="104" t="s">
        <v>978</v>
      </c>
      <c r="AL251" s="104">
        <f t="shared" si="115"/>
        <v>9592.8007080000007</v>
      </c>
      <c r="AM251" s="120">
        <v>9300</v>
      </c>
      <c r="AN251" s="103">
        <v>14300</v>
      </c>
      <c r="AO251" s="103" t="s">
        <v>974</v>
      </c>
      <c r="AP251" s="103" t="s">
        <v>974</v>
      </c>
      <c r="AQ251" s="103">
        <v>13090</v>
      </c>
      <c r="AR251" s="103" t="s">
        <v>974</v>
      </c>
      <c r="AS251" s="103" t="s">
        <v>974</v>
      </c>
      <c r="AT251" s="103" t="s">
        <v>974</v>
      </c>
      <c r="AU251" s="103">
        <f>+MIN(AN251:AT251)</f>
        <v>13090</v>
      </c>
      <c r="AV251" s="158"/>
      <c r="AW251" s="156">
        <f>+AVERAGE(AL251,AU251)</f>
        <v>11341.400354000001</v>
      </c>
      <c r="AX251" s="121">
        <f t="shared" si="116"/>
        <v>11341</v>
      </c>
      <c r="AY251" s="163" t="s">
        <v>1085</v>
      </c>
      <c r="AZ251" s="160">
        <v>155</v>
      </c>
      <c r="BA251" s="138">
        <v>41</v>
      </c>
      <c r="BB251" s="138">
        <v>0</v>
      </c>
      <c r="BC251" s="139">
        <f t="shared" si="117"/>
        <v>196</v>
      </c>
      <c r="BD251" s="140">
        <f t="shared" si="104"/>
        <v>2222836</v>
      </c>
    </row>
    <row r="252" spans="1:56" s="125" customFormat="1" ht="45" customHeight="1" x14ac:dyDescent="0.2">
      <c r="A252" s="150">
        <v>17</v>
      </c>
      <c r="B252" s="148">
        <v>249</v>
      </c>
      <c r="C252" s="105">
        <v>42182005</v>
      </c>
      <c r="D252" s="106" t="s">
        <v>383</v>
      </c>
      <c r="E252" s="106" t="s">
        <v>382</v>
      </c>
      <c r="F252" s="105" t="s">
        <v>485</v>
      </c>
      <c r="G252" s="145" t="s">
        <v>978</v>
      </c>
      <c r="H252" s="145" t="s">
        <v>978</v>
      </c>
      <c r="I252" s="145" t="s">
        <v>978</v>
      </c>
      <c r="J252" s="104" t="s">
        <v>978</v>
      </c>
      <c r="K252" s="104" t="s">
        <v>978</v>
      </c>
      <c r="L252" s="104" t="s">
        <v>978</v>
      </c>
      <c r="M252" s="104" t="s">
        <v>978</v>
      </c>
      <c r="N252" s="104" t="s">
        <v>978</v>
      </c>
      <c r="O252" s="104" t="s">
        <v>978</v>
      </c>
      <c r="P252" s="104">
        <v>10060</v>
      </c>
      <c r="Q252" s="104">
        <f t="shared" si="119"/>
        <v>11122.859120000001</v>
      </c>
      <c r="R252" s="104" t="s">
        <v>978</v>
      </c>
      <c r="S252" s="104" t="s">
        <v>978</v>
      </c>
      <c r="T252" s="104" t="s">
        <v>978</v>
      </c>
      <c r="U252" s="104" t="s">
        <v>978</v>
      </c>
      <c r="V252" s="104" t="s">
        <v>978</v>
      </c>
      <c r="W252" s="104" t="s">
        <v>978</v>
      </c>
      <c r="X252" s="104" t="s">
        <v>978</v>
      </c>
      <c r="Y252" s="104" t="s">
        <v>978</v>
      </c>
      <c r="Z252" s="104" t="s">
        <v>978</v>
      </c>
      <c r="AA252" s="104" t="s">
        <v>978</v>
      </c>
      <c r="AB252" s="104">
        <v>7485</v>
      </c>
      <c r="AC252" s="104">
        <f t="shared" si="122"/>
        <v>7866.7349999999997</v>
      </c>
      <c r="AD252" s="104" t="s">
        <v>978</v>
      </c>
      <c r="AE252" s="104" t="s">
        <v>978</v>
      </c>
      <c r="AF252" s="104" t="s">
        <v>978</v>
      </c>
      <c r="AG252" s="104" t="s">
        <v>978</v>
      </c>
      <c r="AH252" s="104" t="s">
        <v>978</v>
      </c>
      <c r="AI252" s="104" t="s">
        <v>978</v>
      </c>
      <c r="AJ252" s="104" t="s">
        <v>978</v>
      </c>
      <c r="AK252" s="104" t="s">
        <v>978</v>
      </c>
      <c r="AL252" s="104">
        <f t="shared" si="115"/>
        <v>9494.7970600000008</v>
      </c>
      <c r="AM252" s="120">
        <v>10600</v>
      </c>
      <c r="AN252" s="103">
        <v>14300</v>
      </c>
      <c r="AO252" s="103" t="s">
        <v>974</v>
      </c>
      <c r="AP252" s="103" t="s">
        <v>974</v>
      </c>
      <c r="AQ252" s="103">
        <v>13090</v>
      </c>
      <c r="AR252" s="103" t="s">
        <v>974</v>
      </c>
      <c r="AS252" s="103" t="s">
        <v>974</v>
      </c>
      <c r="AT252" s="103" t="s">
        <v>974</v>
      </c>
      <c r="AU252" s="103">
        <f>+MIN(AN252:AT252)</f>
        <v>13090</v>
      </c>
      <c r="AV252" s="158"/>
      <c r="AW252" s="156">
        <f>+AVERAGE(AL252,AU252,AM252,I252)</f>
        <v>11061.59902</v>
      </c>
      <c r="AX252" s="121">
        <f t="shared" si="116"/>
        <v>11062</v>
      </c>
      <c r="AY252" s="163" t="s">
        <v>1085</v>
      </c>
      <c r="AZ252" s="160">
        <v>338</v>
      </c>
      <c r="BA252" s="138">
        <v>29</v>
      </c>
      <c r="BB252" s="138">
        <v>0</v>
      </c>
      <c r="BC252" s="139">
        <f t="shared" si="117"/>
        <v>367</v>
      </c>
      <c r="BD252" s="140">
        <f t="shared" si="104"/>
        <v>4059754</v>
      </c>
    </row>
    <row r="253" spans="1:56" s="125" customFormat="1" ht="24.75" customHeight="1" x14ac:dyDescent="0.2">
      <c r="A253" s="150">
        <v>17</v>
      </c>
      <c r="B253" s="148">
        <v>250</v>
      </c>
      <c r="C253" s="105">
        <v>42295104</v>
      </c>
      <c r="D253" s="106" t="s">
        <v>384</v>
      </c>
      <c r="E253" s="105" t="s">
        <v>925</v>
      </c>
      <c r="F253" s="105" t="s">
        <v>435</v>
      </c>
      <c r="G253" s="145" t="s">
        <v>978</v>
      </c>
      <c r="H253" s="145" t="s">
        <v>978</v>
      </c>
      <c r="I253" s="145" t="s">
        <v>978</v>
      </c>
      <c r="J253" s="104" t="s">
        <v>978</v>
      </c>
      <c r="K253" s="104" t="s">
        <v>978</v>
      </c>
      <c r="L253" s="104" t="s">
        <v>978</v>
      </c>
      <c r="M253" s="104" t="s">
        <v>978</v>
      </c>
      <c r="N253" s="104" t="s">
        <v>978</v>
      </c>
      <c r="O253" s="104" t="s">
        <v>978</v>
      </c>
      <c r="P253" s="104">
        <f>12183*25</f>
        <v>304575</v>
      </c>
      <c r="Q253" s="104">
        <f t="shared" si="119"/>
        <v>336753.95789999998</v>
      </c>
      <c r="R253" s="104" t="s">
        <v>978</v>
      </c>
      <c r="S253" s="104" t="s">
        <v>978</v>
      </c>
      <c r="T253" s="104" t="s">
        <v>978</v>
      </c>
      <c r="U253" s="104" t="s">
        <v>978</v>
      </c>
      <c r="V253" s="104">
        <v>9164</v>
      </c>
      <c r="W253" s="104">
        <f t="shared" si="120"/>
        <v>9631.3639999999996</v>
      </c>
      <c r="X253" s="104" t="s">
        <v>978</v>
      </c>
      <c r="Y253" s="104" t="s">
        <v>978</v>
      </c>
      <c r="Z253" s="104" t="s">
        <v>978</v>
      </c>
      <c r="AA253" s="104" t="s">
        <v>978</v>
      </c>
      <c r="AB253" s="104" t="s">
        <v>978</v>
      </c>
      <c r="AC253" s="104" t="s">
        <v>978</v>
      </c>
      <c r="AD253" s="104" t="s">
        <v>978</v>
      </c>
      <c r="AE253" s="104" t="s">
        <v>978</v>
      </c>
      <c r="AF253" s="104" t="s">
        <v>978</v>
      </c>
      <c r="AG253" s="104" t="s">
        <v>978</v>
      </c>
      <c r="AH253" s="104" t="s">
        <v>978</v>
      </c>
      <c r="AI253" s="104" t="s">
        <v>978</v>
      </c>
      <c r="AJ253" s="104" t="s">
        <v>978</v>
      </c>
      <c r="AK253" s="104" t="s">
        <v>978</v>
      </c>
      <c r="AL253" s="104">
        <f t="shared" si="115"/>
        <v>173192.66094999999</v>
      </c>
      <c r="AM253" s="120" t="s">
        <v>978</v>
      </c>
      <c r="AN253" s="103">
        <v>408980</v>
      </c>
      <c r="AO253" s="103">
        <v>10600.916666666668</v>
      </c>
      <c r="AP253" s="103" t="s">
        <v>974</v>
      </c>
      <c r="AQ253" s="103">
        <v>267750</v>
      </c>
      <c r="AR253" s="103" t="s">
        <v>974</v>
      </c>
      <c r="AS253" s="103" t="s">
        <v>974</v>
      </c>
      <c r="AT253" s="103" t="s">
        <v>974</v>
      </c>
      <c r="AU253" s="103">
        <f>+MIN(AN253,AP253,AQ253,AR253,AS253,AT253)</f>
        <v>267750</v>
      </c>
      <c r="AV253" s="158" t="s">
        <v>1077</v>
      </c>
      <c r="AW253" s="156">
        <f>+AVERAGE(AL253,AU253)</f>
        <v>220471.330475</v>
      </c>
      <c r="AX253" s="121">
        <f t="shared" si="116"/>
        <v>220471</v>
      </c>
      <c r="AY253" s="163" t="s">
        <v>1073</v>
      </c>
      <c r="AZ253" s="160">
        <v>19</v>
      </c>
      <c r="BA253" s="138">
        <v>0</v>
      </c>
      <c r="BB253" s="138">
        <v>0</v>
      </c>
      <c r="BC253" s="139">
        <f t="shared" si="117"/>
        <v>19</v>
      </c>
      <c r="BD253" s="140">
        <f t="shared" si="104"/>
        <v>4188949</v>
      </c>
    </row>
    <row r="254" spans="1:56" s="125" customFormat="1" ht="24" customHeight="1" x14ac:dyDescent="0.2">
      <c r="A254" s="150">
        <v>17</v>
      </c>
      <c r="B254" s="148">
        <v>251</v>
      </c>
      <c r="C254" s="105">
        <v>42295104</v>
      </c>
      <c r="D254" s="106" t="s">
        <v>385</v>
      </c>
      <c r="E254" s="105" t="s">
        <v>926</v>
      </c>
      <c r="F254" s="105" t="s">
        <v>299</v>
      </c>
      <c r="G254" s="145" t="s">
        <v>978</v>
      </c>
      <c r="H254" s="145" t="s">
        <v>978</v>
      </c>
      <c r="I254" s="145" t="s">
        <v>978</v>
      </c>
      <c r="J254" s="104" t="s">
        <v>978</v>
      </c>
      <c r="K254" s="104" t="s">
        <v>978</v>
      </c>
      <c r="L254" s="104" t="s">
        <v>978</v>
      </c>
      <c r="M254" s="104" t="s">
        <v>978</v>
      </c>
      <c r="N254" s="104" t="s">
        <v>978</v>
      </c>
      <c r="O254" s="104" t="s">
        <v>978</v>
      </c>
      <c r="P254" s="104">
        <v>789327</v>
      </c>
      <c r="Q254" s="104">
        <f t="shared" si="119"/>
        <v>872720.97620400006</v>
      </c>
      <c r="R254" s="104" t="s">
        <v>978</v>
      </c>
      <c r="S254" s="104" t="s">
        <v>978</v>
      </c>
      <c r="T254" s="104" t="s">
        <v>978</v>
      </c>
      <c r="U254" s="104" t="s">
        <v>978</v>
      </c>
      <c r="V254" s="104">
        <v>346348</v>
      </c>
      <c r="W254" s="104">
        <f t="shared" si="120"/>
        <v>364011.74799999996</v>
      </c>
      <c r="X254" s="104" t="s">
        <v>978</v>
      </c>
      <c r="Y254" s="104" t="s">
        <v>978</v>
      </c>
      <c r="Z254" s="104" t="s">
        <v>978</v>
      </c>
      <c r="AA254" s="104" t="s">
        <v>978</v>
      </c>
      <c r="AB254" s="104" t="s">
        <v>978</v>
      </c>
      <c r="AC254" s="104" t="s">
        <v>978</v>
      </c>
      <c r="AD254" s="104" t="s">
        <v>978</v>
      </c>
      <c r="AE254" s="104" t="s">
        <v>978</v>
      </c>
      <c r="AF254" s="104" t="s">
        <v>978</v>
      </c>
      <c r="AG254" s="104" t="s">
        <v>978</v>
      </c>
      <c r="AH254" s="104" t="s">
        <v>978</v>
      </c>
      <c r="AI254" s="104" t="s">
        <v>978</v>
      </c>
      <c r="AJ254" s="104" t="s">
        <v>978</v>
      </c>
      <c r="AK254" s="104" t="s">
        <v>978</v>
      </c>
      <c r="AL254" s="104">
        <f t="shared" si="115"/>
        <v>618366.36210200004</v>
      </c>
      <c r="AM254" s="120" t="s">
        <v>978</v>
      </c>
      <c r="AN254" s="103">
        <v>643500</v>
      </c>
      <c r="AO254" s="103" t="s">
        <v>974</v>
      </c>
      <c r="AP254" s="103" t="s">
        <v>974</v>
      </c>
      <c r="AQ254" s="103">
        <v>714000</v>
      </c>
      <c r="AR254" s="103" t="s">
        <v>974</v>
      </c>
      <c r="AS254" s="103" t="s">
        <v>974</v>
      </c>
      <c r="AT254" s="103" t="s">
        <v>974</v>
      </c>
      <c r="AU254" s="103">
        <f>+MIN(AN254:AT254)</f>
        <v>643500</v>
      </c>
      <c r="AV254" s="158"/>
      <c r="AW254" s="156">
        <f>+AVERAGE(AL254,AU254)</f>
        <v>630933.18105100002</v>
      </c>
      <c r="AX254" s="121">
        <f t="shared" si="116"/>
        <v>630933</v>
      </c>
      <c r="AY254" s="163" t="s">
        <v>1073</v>
      </c>
      <c r="AZ254" s="160">
        <v>42</v>
      </c>
      <c r="BA254" s="138">
        <v>0</v>
      </c>
      <c r="BB254" s="138">
        <v>0</v>
      </c>
      <c r="BC254" s="139">
        <f t="shared" si="117"/>
        <v>42</v>
      </c>
      <c r="BD254" s="140">
        <f t="shared" si="104"/>
        <v>26499186</v>
      </c>
    </row>
    <row r="255" spans="1:56" s="125" customFormat="1" ht="24.75" customHeight="1" x14ac:dyDescent="0.2">
      <c r="A255" s="150">
        <v>17</v>
      </c>
      <c r="B255" s="148">
        <v>252</v>
      </c>
      <c r="C255" s="105">
        <v>42182013</v>
      </c>
      <c r="D255" s="106" t="s">
        <v>386</v>
      </c>
      <c r="E255" s="105" t="s">
        <v>927</v>
      </c>
      <c r="F255" s="105" t="s">
        <v>286</v>
      </c>
      <c r="G255" s="145" t="s">
        <v>978</v>
      </c>
      <c r="H255" s="145" t="s">
        <v>978</v>
      </c>
      <c r="I255" s="145" t="s">
        <v>978</v>
      </c>
      <c r="J255" s="104" t="s">
        <v>978</v>
      </c>
      <c r="K255" s="104" t="s">
        <v>978</v>
      </c>
      <c r="L255" s="104" t="s">
        <v>978</v>
      </c>
      <c r="M255" s="104" t="s">
        <v>978</v>
      </c>
      <c r="N255" s="104" t="s">
        <v>978</v>
      </c>
      <c r="O255" s="104" t="s">
        <v>978</v>
      </c>
      <c r="P255" s="104">
        <v>1649</v>
      </c>
      <c r="Q255" s="104">
        <f t="shared" si="119"/>
        <v>1823.2201479999999</v>
      </c>
      <c r="R255" s="104" t="s">
        <v>978</v>
      </c>
      <c r="S255" s="104" t="s">
        <v>978</v>
      </c>
      <c r="T255" s="104" t="s">
        <v>978</v>
      </c>
      <c r="U255" s="104" t="s">
        <v>978</v>
      </c>
      <c r="V255" s="104">
        <v>1226</v>
      </c>
      <c r="W255" s="104">
        <f t="shared" si="120"/>
        <v>1288.5259999999998</v>
      </c>
      <c r="X255" s="104" t="s">
        <v>978</v>
      </c>
      <c r="Y255" s="104" t="s">
        <v>978</v>
      </c>
      <c r="Z255" s="104" t="s">
        <v>978</v>
      </c>
      <c r="AA255" s="104" t="s">
        <v>978</v>
      </c>
      <c r="AB255" s="104" t="s">
        <v>978</v>
      </c>
      <c r="AC255" s="104" t="s">
        <v>978</v>
      </c>
      <c r="AD255" s="104" t="s">
        <v>978</v>
      </c>
      <c r="AE255" s="104" t="s">
        <v>978</v>
      </c>
      <c r="AF255" s="104" t="s">
        <v>978</v>
      </c>
      <c r="AG255" s="104" t="s">
        <v>978</v>
      </c>
      <c r="AH255" s="104" t="s">
        <v>978</v>
      </c>
      <c r="AI255" s="104" t="s">
        <v>978</v>
      </c>
      <c r="AJ255" s="104" t="s">
        <v>978</v>
      </c>
      <c r="AK255" s="104" t="s">
        <v>978</v>
      </c>
      <c r="AL255" s="104">
        <f t="shared" si="115"/>
        <v>1555.8730739999999</v>
      </c>
      <c r="AM255" s="120">
        <v>1500</v>
      </c>
      <c r="AN255" s="103">
        <v>2288</v>
      </c>
      <c r="AO255" s="103" t="s">
        <v>974</v>
      </c>
      <c r="AP255" s="103" t="s">
        <v>974</v>
      </c>
      <c r="AQ255" s="103">
        <v>2380</v>
      </c>
      <c r="AR255" s="103" t="s">
        <v>974</v>
      </c>
      <c r="AS255" s="103" t="s">
        <v>974</v>
      </c>
      <c r="AT255" s="103" t="s">
        <v>974</v>
      </c>
      <c r="AU255" s="103">
        <f>+MIN(AN255:AT255)</f>
        <v>2288</v>
      </c>
      <c r="AV255" s="158"/>
      <c r="AW255" s="156">
        <f>+AVERAGE(AL255,AU255,AM255,I255)</f>
        <v>1781.2910246666668</v>
      </c>
      <c r="AX255" s="121">
        <f t="shared" si="116"/>
        <v>1781</v>
      </c>
      <c r="AY255" s="163" t="s">
        <v>1085</v>
      </c>
      <c r="AZ255" s="160">
        <v>0</v>
      </c>
      <c r="BA255" s="138">
        <v>120</v>
      </c>
      <c r="BB255" s="138">
        <v>600</v>
      </c>
      <c r="BC255" s="139">
        <f>+BA255+BB255</f>
        <v>720</v>
      </c>
      <c r="BD255" s="140">
        <f t="shared" si="104"/>
        <v>1282320</v>
      </c>
    </row>
    <row r="256" spans="1:56" s="125" customFormat="1" ht="84" customHeight="1" x14ac:dyDescent="0.2">
      <c r="A256" s="150">
        <v>17</v>
      </c>
      <c r="B256" s="148">
        <v>253</v>
      </c>
      <c r="C256" s="105">
        <v>42311503</v>
      </c>
      <c r="D256" s="106" t="s">
        <v>387</v>
      </c>
      <c r="E256" s="105" t="s">
        <v>1037</v>
      </c>
      <c r="F256" s="105" t="s">
        <v>460</v>
      </c>
      <c r="G256" s="145">
        <f>2004*12</f>
        <v>24048</v>
      </c>
      <c r="H256" s="145" t="s">
        <v>978</v>
      </c>
      <c r="I256" s="145">
        <f>+AVERAGE(G256:H256)</f>
        <v>24048</v>
      </c>
      <c r="J256" s="104" t="s">
        <v>978</v>
      </c>
      <c r="K256" s="104" t="s">
        <v>978</v>
      </c>
      <c r="L256" s="104" t="s">
        <v>978</v>
      </c>
      <c r="M256" s="104" t="s">
        <v>978</v>
      </c>
      <c r="N256" s="104" t="s">
        <v>978</v>
      </c>
      <c r="O256" s="104" t="s">
        <v>978</v>
      </c>
      <c r="P256" s="104" t="s">
        <v>978</v>
      </c>
      <c r="Q256" s="104" t="s">
        <v>1012</v>
      </c>
      <c r="R256" s="104" t="s">
        <v>978</v>
      </c>
      <c r="S256" s="104" t="s">
        <v>978</v>
      </c>
      <c r="T256" s="104" t="s">
        <v>978</v>
      </c>
      <c r="U256" s="104" t="s">
        <v>978</v>
      </c>
      <c r="V256" s="104">
        <v>27370</v>
      </c>
      <c r="W256" s="104">
        <f t="shared" si="120"/>
        <v>28765.87</v>
      </c>
      <c r="X256" s="104" t="s">
        <v>978</v>
      </c>
      <c r="Y256" s="104" t="s">
        <v>978</v>
      </c>
      <c r="Z256" s="104" t="s">
        <v>978</v>
      </c>
      <c r="AA256" s="104" t="s">
        <v>978</v>
      </c>
      <c r="AB256" s="104" t="s">
        <v>978</v>
      </c>
      <c r="AC256" s="104" t="s">
        <v>978</v>
      </c>
      <c r="AD256" s="104" t="s">
        <v>978</v>
      </c>
      <c r="AE256" s="104" t="s">
        <v>978</v>
      </c>
      <c r="AF256" s="104" t="s">
        <v>978</v>
      </c>
      <c r="AG256" s="104" t="s">
        <v>978</v>
      </c>
      <c r="AH256" s="104" t="s">
        <v>978</v>
      </c>
      <c r="AI256" s="104" t="s">
        <v>978</v>
      </c>
      <c r="AJ256" s="104" t="s">
        <v>978</v>
      </c>
      <c r="AK256" s="104" t="s">
        <v>978</v>
      </c>
      <c r="AL256" s="104">
        <f t="shared" si="115"/>
        <v>28765.87</v>
      </c>
      <c r="AM256" s="120" t="s">
        <v>978</v>
      </c>
      <c r="AN256" s="103">
        <v>51480</v>
      </c>
      <c r="AO256" s="103">
        <v>2010</v>
      </c>
      <c r="AP256" s="103">
        <v>3000</v>
      </c>
      <c r="AQ256" s="103">
        <v>22000</v>
      </c>
      <c r="AR256" s="103" t="s">
        <v>974</v>
      </c>
      <c r="AS256" s="103" t="s">
        <v>974</v>
      </c>
      <c r="AT256" s="103" t="s">
        <v>974</v>
      </c>
      <c r="AU256" s="103">
        <f>+MIN(AN256,AQ256,AR256,AS256,AT256)</f>
        <v>22000</v>
      </c>
      <c r="AV256" s="158" t="s">
        <v>1089</v>
      </c>
      <c r="AW256" s="156">
        <f>+AU256</f>
        <v>22000</v>
      </c>
      <c r="AX256" s="121">
        <f t="shared" si="116"/>
        <v>22000</v>
      </c>
      <c r="AY256" s="163" t="s">
        <v>1082</v>
      </c>
      <c r="AZ256" s="160">
        <v>12</v>
      </c>
      <c r="BA256" s="138">
        <v>20</v>
      </c>
      <c r="BB256" s="138">
        <v>0</v>
      </c>
      <c r="BC256" s="139">
        <f t="shared" ref="BC256:BC263" si="124">+AZ256+BA256+BB256</f>
        <v>32</v>
      </c>
      <c r="BD256" s="140">
        <f t="shared" si="104"/>
        <v>704000</v>
      </c>
    </row>
    <row r="257" spans="1:56" s="125" customFormat="1" ht="84.75" customHeight="1" x14ac:dyDescent="0.2">
      <c r="A257" s="150">
        <v>17</v>
      </c>
      <c r="B257" s="148">
        <v>254</v>
      </c>
      <c r="C257" s="105">
        <v>42311503</v>
      </c>
      <c r="D257" s="106" t="s">
        <v>388</v>
      </c>
      <c r="E257" s="105" t="s">
        <v>1037</v>
      </c>
      <c r="F257" s="105" t="s">
        <v>460</v>
      </c>
      <c r="G257" s="145">
        <f>2717*12</f>
        <v>32604</v>
      </c>
      <c r="H257" s="145" t="s">
        <v>978</v>
      </c>
      <c r="I257" s="145">
        <f>+AVERAGE(G257:H257)</f>
        <v>32604</v>
      </c>
      <c r="J257" s="104" t="s">
        <v>978</v>
      </c>
      <c r="K257" s="104" t="s">
        <v>978</v>
      </c>
      <c r="L257" s="104" t="s">
        <v>978</v>
      </c>
      <c r="M257" s="104" t="s">
        <v>978</v>
      </c>
      <c r="N257" s="104" t="s">
        <v>978</v>
      </c>
      <c r="O257" s="104" t="s">
        <v>978</v>
      </c>
      <c r="P257" s="104" t="s">
        <v>978</v>
      </c>
      <c r="Q257" s="104" t="s">
        <v>1012</v>
      </c>
      <c r="R257" s="104" t="s">
        <v>978</v>
      </c>
      <c r="S257" s="104" t="s">
        <v>978</v>
      </c>
      <c r="T257" s="104" t="s">
        <v>978</v>
      </c>
      <c r="U257" s="104" t="s">
        <v>978</v>
      </c>
      <c r="V257" s="104">
        <v>34461</v>
      </c>
      <c r="W257" s="104">
        <f t="shared" si="120"/>
        <v>36218.510999999999</v>
      </c>
      <c r="X257" s="104" t="s">
        <v>978</v>
      </c>
      <c r="Y257" s="104" t="s">
        <v>978</v>
      </c>
      <c r="Z257" s="104" t="s">
        <v>978</v>
      </c>
      <c r="AA257" s="104" t="s">
        <v>978</v>
      </c>
      <c r="AB257" s="104" t="s">
        <v>978</v>
      </c>
      <c r="AC257" s="104" t="s">
        <v>978</v>
      </c>
      <c r="AD257" s="104" t="s">
        <v>978</v>
      </c>
      <c r="AE257" s="104" t="s">
        <v>978</v>
      </c>
      <c r="AF257" s="104" t="s">
        <v>978</v>
      </c>
      <c r="AG257" s="104" t="s">
        <v>978</v>
      </c>
      <c r="AH257" s="104" t="s">
        <v>978</v>
      </c>
      <c r="AI257" s="104" t="s">
        <v>978</v>
      </c>
      <c r="AJ257" s="104" t="s">
        <v>978</v>
      </c>
      <c r="AK257" s="104" t="s">
        <v>978</v>
      </c>
      <c r="AL257" s="104">
        <f t="shared" si="115"/>
        <v>36218.510999999999</v>
      </c>
      <c r="AM257" s="120" t="s">
        <v>978</v>
      </c>
      <c r="AN257" s="103">
        <v>54340</v>
      </c>
      <c r="AO257" s="103">
        <v>2538.3333333333335</v>
      </c>
      <c r="AP257" s="103">
        <v>3500</v>
      </c>
      <c r="AQ257" s="103">
        <v>28000</v>
      </c>
      <c r="AR257" s="103" t="s">
        <v>974</v>
      </c>
      <c r="AS257" s="103" t="s">
        <v>974</v>
      </c>
      <c r="AT257" s="103" t="s">
        <v>974</v>
      </c>
      <c r="AU257" s="103">
        <f>+MIN(AN257,AQ257,AR257,AS257,AT257)</f>
        <v>28000</v>
      </c>
      <c r="AV257" s="158" t="s">
        <v>1089</v>
      </c>
      <c r="AW257" s="156">
        <f>+AU257</f>
        <v>28000</v>
      </c>
      <c r="AX257" s="121">
        <f t="shared" si="116"/>
        <v>28000</v>
      </c>
      <c r="AY257" s="163" t="s">
        <v>1082</v>
      </c>
      <c r="AZ257" s="160">
        <v>24</v>
      </c>
      <c r="BA257" s="138">
        <v>0</v>
      </c>
      <c r="BB257" s="138">
        <v>0</v>
      </c>
      <c r="BC257" s="139">
        <f t="shared" si="124"/>
        <v>24</v>
      </c>
      <c r="BD257" s="140">
        <f t="shared" si="104"/>
        <v>672000</v>
      </c>
    </row>
    <row r="258" spans="1:56" s="125" customFormat="1" ht="96" customHeight="1" x14ac:dyDescent="0.2">
      <c r="A258" s="150">
        <v>17</v>
      </c>
      <c r="B258" s="148">
        <v>255</v>
      </c>
      <c r="C258" s="105">
        <v>42311503</v>
      </c>
      <c r="D258" s="106" t="s">
        <v>389</v>
      </c>
      <c r="E258" s="105" t="s">
        <v>1037</v>
      </c>
      <c r="F258" s="105" t="s">
        <v>460</v>
      </c>
      <c r="G258" s="145">
        <f>3135*12</f>
        <v>37620</v>
      </c>
      <c r="H258" s="145" t="s">
        <v>978</v>
      </c>
      <c r="I258" s="145" t="s">
        <v>978</v>
      </c>
      <c r="J258" s="104" t="s">
        <v>978</v>
      </c>
      <c r="K258" s="104" t="s">
        <v>978</v>
      </c>
      <c r="L258" s="104" t="s">
        <v>978</v>
      </c>
      <c r="M258" s="104" t="s">
        <v>978</v>
      </c>
      <c r="N258" s="104" t="s">
        <v>978</v>
      </c>
      <c r="O258" s="104" t="s">
        <v>978</v>
      </c>
      <c r="P258" s="104" t="s">
        <v>978</v>
      </c>
      <c r="Q258" s="104" t="s">
        <v>1012</v>
      </c>
      <c r="R258" s="104" t="s">
        <v>978</v>
      </c>
      <c r="S258" s="104" t="s">
        <v>978</v>
      </c>
      <c r="T258" s="104" t="s">
        <v>978</v>
      </c>
      <c r="U258" s="104" t="s">
        <v>978</v>
      </c>
      <c r="V258" s="104">
        <v>41173</v>
      </c>
      <c r="W258" s="104">
        <f t="shared" si="120"/>
        <v>43272.822999999997</v>
      </c>
      <c r="X258" s="104" t="s">
        <v>978</v>
      </c>
      <c r="Y258" s="104" t="s">
        <v>978</v>
      </c>
      <c r="Z258" s="104" t="s">
        <v>978</v>
      </c>
      <c r="AA258" s="104" t="s">
        <v>978</v>
      </c>
      <c r="AB258" s="104" t="s">
        <v>978</v>
      </c>
      <c r="AC258" s="104" t="s">
        <v>978</v>
      </c>
      <c r="AD258" s="104" t="s">
        <v>978</v>
      </c>
      <c r="AE258" s="104" t="s">
        <v>978</v>
      </c>
      <c r="AF258" s="104" t="s">
        <v>978</v>
      </c>
      <c r="AG258" s="104" t="s">
        <v>978</v>
      </c>
      <c r="AH258" s="104" t="s">
        <v>978</v>
      </c>
      <c r="AI258" s="104" t="s">
        <v>978</v>
      </c>
      <c r="AJ258" s="104" t="s">
        <v>978</v>
      </c>
      <c r="AK258" s="104" t="s">
        <v>978</v>
      </c>
      <c r="AL258" s="104">
        <f t="shared" si="115"/>
        <v>43272.822999999997</v>
      </c>
      <c r="AM258" s="120" t="s">
        <v>978</v>
      </c>
      <c r="AN258" s="103">
        <v>57200</v>
      </c>
      <c r="AO258" s="103">
        <v>2940</v>
      </c>
      <c r="AP258" s="103">
        <v>4000</v>
      </c>
      <c r="AQ258" s="103">
        <v>34000</v>
      </c>
      <c r="AR258" s="103" t="s">
        <v>974</v>
      </c>
      <c r="AS258" s="103" t="s">
        <v>974</v>
      </c>
      <c r="AT258" s="103" t="s">
        <v>974</v>
      </c>
      <c r="AU258" s="103">
        <f>+MIN(AN258,AQ258)</f>
        <v>34000</v>
      </c>
      <c r="AV258" s="158" t="s">
        <v>1089</v>
      </c>
      <c r="AW258" s="156">
        <f>++AU258</f>
        <v>34000</v>
      </c>
      <c r="AX258" s="121">
        <f t="shared" si="116"/>
        <v>34000</v>
      </c>
      <c r="AY258" s="163" t="s">
        <v>1080</v>
      </c>
      <c r="AZ258" s="160">
        <v>23</v>
      </c>
      <c r="BA258" s="138">
        <v>0</v>
      </c>
      <c r="BB258" s="138">
        <v>0</v>
      </c>
      <c r="BC258" s="139">
        <f t="shared" si="124"/>
        <v>23</v>
      </c>
      <c r="BD258" s="140">
        <f t="shared" si="104"/>
        <v>782000</v>
      </c>
    </row>
    <row r="259" spans="1:56" s="125" customFormat="1" ht="90.75" customHeight="1" x14ac:dyDescent="0.2">
      <c r="A259" s="150">
        <v>17</v>
      </c>
      <c r="B259" s="148">
        <v>256</v>
      </c>
      <c r="C259" s="105">
        <v>42311503</v>
      </c>
      <c r="D259" s="106" t="s">
        <v>928</v>
      </c>
      <c r="E259" s="105" t="s">
        <v>1092</v>
      </c>
      <c r="F259" s="105" t="s">
        <v>460</v>
      </c>
      <c r="G259" s="145">
        <f>1216*12</f>
        <v>14592</v>
      </c>
      <c r="H259" s="145" t="s">
        <v>978</v>
      </c>
      <c r="I259" s="145">
        <f t="shared" ref="I259:I262" si="125">+AVERAGE(G259:H259)</f>
        <v>14592</v>
      </c>
      <c r="J259" s="104" t="s">
        <v>978</v>
      </c>
      <c r="K259" s="104" t="s">
        <v>978</v>
      </c>
      <c r="L259" s="104" t="s">
        <v>978</v>
      </c>
      <c r="M259" s="104" t="s">
        <v>978</v>
      </c>
      <c r="N259" s="104" t="s">
        <v>978</v>
      </c>
      <c r="O259" s="104" t="s">
        <v>978</v>
      </c>
      <c r="P259" s="104" t="s">
        <v>978</v>
      </c>
      <c r="Q259" s="104" t="s">
        <v>1012</v>
      </c>
      <c r="R259" s="104" t="s">
        <v>978</v>
      </c>
      <c r="S259" s="104" t="s">
        <v>978</v>
      </c>
      <c r="T259" s="104" t="s">
        <v>978</v>
      </c>
      <c r="U259" s="104" t="s">
        <v>978</v>
      </c>
      <c r="V259" s="104" t="s">
        <v>978</v>
      </c>
      <c r="W259" s="104" t="s">
        <v>978</v>
      </c>
      <c r="X259" s="104" t="s">
        <v>978</v>
      </c>
      <c r="Y259" s="104" t="s">
        <v>978</v>
      </c>
      <c r="Z259" s="104" t="s">
        <v>978</v>
      </c>
      <c r="AA259" s="104" t="s">
        <v>978</v>
      </c>
      <c r="AB259" s="104" t="s">
        <v>978</v>
      </c>
      <c r="AC259" s="104" t="s">
        <v>978</v>
      </c>
      <c r="AD259" s="104" t="s">
        <v>978</v>
      </c>
      <c r="AE259" s="104" t="s">
        <v>978</v>
      </c>
      <c r="AF259" s="104" t="s">
        <v>978</v>
      </c>
      <c r="AG259" s="104" t="s">
        <v>978</v>
      </c>
      <c r="AH259" s="104" t="s">
        <v>978</v>
      </c>
      <c r="AI259" s="104" t="s">
        <v>978</v>
      </c>
      <c r="AJ259" s="104" t="s">
        <v>978</v>
      </c>
      <c r="AK259" s="104" t="s">
        <v>978</v>
      </c>
      <c r="AL259" s="104" t="s">
        <v>978</v>
      </c>
      <c r="AM259" s="120" t="s">
        <v>978</v>
      </c>
      <c r="AN259" s="103">
        <v>31460</v>
      </c>
      <c r="AO259" s="103" t="s">
        <v>974</v>
      </c>
      <c r="AP259" s="103" t="s">
        <v>974</v>
      </c>
      <c r="AQ259" s="103">
        <v>14000</v>
      </c>
      <c r="AR259" s="103" t="s">
        <v>974</v>
      </c>
      <c r="AS259" s="103" t="s">
        <v>974</v>
      </c>
      <c r="AT259" s="103" t="s">
        <v>974</v>
      </c>
      <c r="AU259" s="103">
        <f t="shared" ref="AU259:AU273" si="126">+MIN(AN259:AT259)</f>
        <v>14000</v>
      </c>
      <c r="AV259" s="158"/>
      <c r="AW259" s="156">
        <f>+AVERAGE(AL259,AU259,AM259,I259)</f>
        <v>14296</v>
      </c>
      <c r="AX259" s="121">
        <f t="shared" si="116"/>
        <v>14296</v>
      </c>
      <c r="AY259" s="163" t="s">
        <v>1074</v>
      </c>
      <c r="AZ259" s="160">
        <v>24</v>
      </c>
      <c r="BA259" s="138">
        <v>0</v>
      </c>
      <c r="BB259" s="138">
        <v>0</v>
      </c>
      <c r="BC259" s="139">
        <f t="shared" si="124"/>
        <v>24</v>
      </c>
      <c r="BD259" s="140">
        <f t="shared" si="104"/>
        <v>343104</v>
      </c>
    </row>
    <row r="260" spans="1:56" s="125" customFormat="1" ht="72" customHeight="1" x14ac:dyDescent="0.2">
      <c r="A260" s="150">
        <v>17</v>
      </c>
      <c r="B260" s="148">
        <v>257</v>
      </c>
      <c r="C260" s="105">
        <v>42311503</v>
      </c>
      <c r="D260" s="106" t="s">
        <v>929</v>
      </c>
      <c r="E260" s="105" t="s">
        <v>1092</v>
      </c>
      <c r="F260" s="105" t="s">
        <v>460</v>
      </c>
      <c r="G260" s="145">
        <f>1767*12</f>
        <v>21204</v>
      </c>
      <c r="H260" s="145" t="s">
        <v>978</v>
      </c>
      <c r="I260" s="145">
        <f t="shared" si="125"/>
        <v>21204</v>
      </c>
      <c r="J260" s="104" t="s">
        <v>978</v>
      </c>
      <c r="K260" s="104" t="s">
        <v>978</v>
      </c>
      <c r="L260" s="104" t="s">
        <v>978</v>
      </c>
      <c r="M260" s="104" t="s">
        <v>978</v>
      </c>
      <c r="N260" s="104" t="s">
        <v>978</v>
      </c>
      <c r="O260" s="104" t="s">
        <v>978</v>
      </c>
      <c r="P260" s="104" t="s">
        <v>978</v>
      </c>
      <c r="Q260" s="104" t="s">
        <v>1012</v>
      </c>
      <c r="R260" s="104" t="s">
        <v>978</v>
      </c>
      <c r="S260" s="104" t="s">
        <v>978</v>
      </c>
      <c r="T260" s="104" t="s">
        <v>978</v>
      </c>
      <c r="U260" s="104" t="s">
        <v>978</v>
      </c>
      <c r="V260" s="104" t="s">
        <v>978</v>
      </c>
      <c r="W260" s="104" t="s">
        <v>978</v>
      </c>
      <c r="X260" s="104" t="s">
        <v>978</v>
      </c>
      <c r="Y260" s="104" t="s">
        <v>978</v>
      </c>
      <c r="Z260" s="104" t="s">
        <v>978</v>
      </c>
      <c r="AA260" s="104" t="s">
        <v>978</v>
      </c>
      <c r="AB260" s="104" t="s">
        <v>978</v>
      </c>
      <c r="AC260" s="104" t="s">
        <v>978</v>
      </c>
      <c r="AD260" s="104" t="s">
        <v>978</v>
      </c>
      <c r="AE260" s="104" t="s">
        <v>978</v>
      </c>
      <c r="AF260" s="104" t="s">
        <v>978</v>
      </c>
      <c r="AG260" s="104" t="s">
        <v>978</v>
      </c>
      <c r="AH260" s="104" t="s">
        <v>978</v>
      </c>
      <c r="AI260" s="104" t="s">
        <v>978</v>
      </c>
      <c r="AJ260" s="104" t="s">
        <v>978</v>
      </c>
      <c r="AK260" s="104" t="s">
        <v>978</v>
      </c>
      <c r="AL260" s="104" t="s">
        <v>978</v>
      </c>
      <c r="AM260" s="120" t="s">
        <v>978</v>
      </c>
      <c r="AN260" s="103">
        <v>40040</v>
      </c>
      <c r="AO260" s="103" t="s">
        <v>974</v>
      </c>
      <c r="AP260" s="103" t="s">
        <v>974</v>
      </c>
      <c r="AQ260" s="103">
        <v>18000</v>
      </c>
      <c r="AR260" s="103" t="s">
        <v>974</v>
      </c>
      <c r="AS260" s="103" t="s">
        <v>974</v>
      </c>
      <c r="AT260" s="103" t="s">
        <v>974</v>
      </c>
      <c r="AU260" s="103">
        <f t="shared" si="126"/>
        <v>18000</v>
      </c>
      <c r="AV260" s="158"/>
      <c r="AW260" s="156">
        <f t="shared" ref="AW260:AW266" si="127">+AVERAGE(AL260,AU260)</f>
        <v>18000</v>
      </c>
      <c r="AX260" s="121">
        <f t="shared" si="116"/>
        <v>18000</v>
      </c>
      <c r="AY260" s="163" t="s">
        <v>1074</v>
      </c>
      <c r="AZ260" s="160">
        <v>24</v>
      </c>
      <c r="BA260" s="138">
        <v>0</v>
      </c>
      <c r="BB260" s="138">
        <v>0</v>
      </c>
      <c r="BC260" s="139">
        <f t="shared" si="124"/>
        <v>24</v>
      </c>
      <c r="BD260" s="140">
        <f t="shared" si="104"/>
        <v>432000</v>
      </c>
    </row>
    <row r="261" spans="1:56" s="125" customFormat="1" ht="72.75" customHeight="1" x14ac:dyDescent="0.2">
      <c r="A261" s="150">
        <v>17</v>
      </c>
      <c r="B261" s="148">
        <v>258</v>
      </c>
      <c r="C261" s="105">
        <v>42311503</v>
      </c>
      <c r="D261" s="106" t="s">
        <v>930</v>
      </c>
      <c r="E261" s="105" t="s">
        <v>1092</v>
      </c>
      <c r="F261" s="105" t="s">
        <v>460</v>
      </c>
      <c r="G261" s="145">
        <f>2474*12</f>
        <v>29688</v>
      </c>
      <c r="H261" s="145" t="s">
        <v>978</v>
      </c>
      <c r="I261" s="145">
        <f t="shared" si="125"/>
        <v>29688</v>
      </c>
      <c r="J261" s="104" t="s">
        <v>978</v>
      </c>
      <c r="K261" s="104" t="s">
        <v>978</v>
      </c>
      <c r="L261" s="104" t="s">
        <v>978</v>
      </c>
      <c r="M261" s="104" t="s">
        <v>978</v>
      </c>
      <c r="N261" s="104" t="s">
        <v>978</v>
      </c>
      <c r="O261" s="104" t="s">
        <v>978</v>
      </c>
      <c r="P261" s="104" t="s">
        <v>978</v>
      </c>
      <c r="Q261" s="104" t="s">
        <v>1012</v>
      </c>
      <c r="R261" s="104" t="s">
        <v>978</v>
      </c>
      <c r="S261" s="104" t="s">
        <v>978</v>
      </c>
      <c r="T261" s="104" t="s">
        <v>978</v>
      </c>
      <c r="U261" s="104" t="s">
        <v>978</v>
      </c>
      <c r="V261" s="104" t="s">
        <v>978</v>
      </c>
      <c r="W261" s="104" t="s">
        <v>978</v>
      </c>
      <c r="X261" s="104" t="s">
        <v>978</v>
      </c>
      <c r="Y261" s="104" t="s">
        <v>978</v>
      </c>
      <c r="Z261" s="104" t="s">
        <v>978</v>
      </c>
      <c r="AA261" s="104" t="s">
        <v>978</v>
      </c>
      <c r="AB261" s="104" t="s">
        <v>978</v>
      </c>
      <c r="AC261" s="104" t="s">
        <v>978</v>
      </c>
      <c r="AD261" s="104" t="s">
        <v>978</v>
      </c>
      <c r="AE261" s="104" t="s">
        <v>978</v>
      </c>
      <c r="AF261" s="104" t="s">
        <v>978</v>
      </c>
      <c r="AG261" s="104" t="s">
        <v>978</v>
      </c>
      <c r="AH261" s="104" t="s">
        <v>978</v>
      </c>
      <c r="AI261" s="104" t="s">
        <v>978</v>
      </c>
      <c r="AJ261" s="104" t="s">
        <v>978</v>
      </c>
      <c r="AK261" s="104" t="s">
        <v>978</v>
      </c>
      <c r="AL261" s="104" t="s">
        <v>978</v>
      </c>
      <c r="AM261" s="120" t="s">
        <v>978</v>
      </c>
      <c r="AN261" s="103">
        <v>48620</v>
      </c>
      <c r="AO261" s="103" t="s">
        <v>974</v>
      </c>
      <c r="AP261" s="103" t="s">
        <v>974</v>
      </c>
      <c r="AQ261" s="103">
        <v>22000</v>
      </c>
      <c r="AR261" s="103" t="s">
        <v>974</v>
      </c>
      <c r="AS261" s="103" t="s">
        <v>974</v>
      </c>
      <c r="AT261" s="103" t="s">
        <v>974</v>
      </c>
      <c r="AU261" s="103">
        <f t="shared" si="126"/>
        <v>22000</v>
      </c>
      <c r="AV261" s="158"/>
      <c r="AW261" s="156">
        <f t="shared" si="127"/>
        <v>22000</v>
      </c>
      <c r="AX261" s="121">
        <f t="shared" si="116"/>
        <v>22000</v>
      </c>
      <c r="AY261" s="163" t="s">
        <v>1074</v>
      </c>
      <c r="AZ261" s="160">
        <v>24</v>
      </c>
      <c r="BA261" s="138">
        <v>14</v>
      </c>
      <c r="BB261" s="138">
        <v>0</v>
      </c>
      <c r="BC261" s="139">
        <f t="shared" si="124"/>
        <v>38</v>
      </c>
      <c r="BD261" s="140">
        <f t="shared" ref="BD261:BD324" si="128">+BC261*AX261</f>
        <v>836000</v>
      </c>
    </row>
    <row r="262" spans="1:56" s="125" customFormat="1" ht="72" customHeight="1" x14ac:dyDescent="0.2">
      <c r="A262" s="150">
        <v>17</v>
      </c>
      <c r="B262" s="148">
        <v>259</v>
      </c>
      <c r="C262" s="105">
        <v>42311503</v>
      </c>
      <c r="D262" s="106" t="s">
        <v>390</v>
      </c>
      <c r="E262" s="105" t="s">
        <v>1092</v>
      </c>
      <c r="F262" s="105" t="s">
        <v>460</v>
      </c>
      <c r="G262" s="145">
        <f>2976*12</f>
        <v>35712</v>
      </c>
      <c r="H262" s="145" t="s">
        <v>978</v>
      </c>
      <c r="I262" s="145">
        <f t="shared" si="125"/>
        <v>35712</v>
      </c>
      <c r="J262" s="104" t="s">
        <v>978</v>
      </c>
      <c r="K262" s="104" t="s">
        <v>978</v>
      </c>
      <c r="L262" s="104" t="s">
        <v>978</v>
      </c>
      <c r="M262" s="104" t="s">
        <v>978</v>
      </c>
      <c r="N262" s="104" t="s">
        <v>978</v>
      </c>
      <c r="O262" s="104" t="s">
        <v>978</v>
      </c>
      <c r="P262" s="104" t="s">
        <v>978</v>
      </c>
      <c r="Q262" s="104" t="s">
        <v>1012</v>
      </c>
      <c r="R262" s="104" t="s">
        <v>978</v>
      </c>
      <c r="S262" s="104" t="s">
        <v>978</v>
      </c>
      <c r="T262" s="104" t="s">
        <v>978</v>
      </c>
      <c r="U262" s="104" t="s">
        <v>978</v>
      </c>
      <c r="V262" s="104" t="s">
        <v>978</v>
      </c>
      <c r="W262" s="104" t="s">
        <v>978</v>
      </c>
      <c r="X262" s="104" t="s">
        <v>978</v>
      </c>
      <c r="Y262" s="104" t="s">
        <v>978</v>
      </c>
      <c r="Z262" s="104" t="s">
        <v>978</v>
      </c>
      <c r="AA262" s="104" t="s">
        <v>978</v>
      </c>
      <c r="AB262" s="104" t="s">
        <v>978</v>
      </c>
      <c r="AC262" s="104" t="s">
        <v>978</v>
      </c>
      <c r="AD262" s="104" t="s">
        <v>978</v>
      </c>
      <c r="AE262" s="104" t="s">
        <v>978</v>
      </c>
      <c r="AF262" s="104" t="s">
        <v>978</v>
      </c>
      <c r="AG262" s="104" t="s">
        <v>978</v>
      </c>
      <c r="AH262" s="104" t="s">
        <v>978</v>
      </c>
      <c r="AI262" s="104" t="s">
        <v>978</v>
      </c>
      <c r="AJ262" s="104" t="s">
        <v>978</v>
      </c>
      <c r="AK262" s="104" t="s">
        <v>978</v>
      </c>
      <c r="AL262" s="104" t="s">
        <v>978</v>
      </c>
      <c r="AM262" s="120" t="s">
        <v>978</v>
      </c>
      <c r="AN262" s="103">
        <v>57200</v>
      </c>
      <c r="AO262" s="103" t="s">
        <v>974</v>
      </c>
      <c r="AP262" s="103" t="s">
        <v>974</v>
      </c>
      <c r="AQ262" s="103">
        <v>26000</v>
      </c>
      <c r="AR262" s="103" t="s">
        <v>974</v>
      </c>
      <c r="AS262" s="103" t="s">
        <v>974</v>
      </c>
      <c r="AT262" s="103" t="s">
        <v>974</v>
      </c>
      <c r="AU262" s="103">
        <f t="shared" si="126"/>
        <v>26000</v>
      </c>
      <c r="AV262" s="158"/>
      <c r="AW262" s="156">
        <f t="shared" si="127"/>
        <v>26000</v>
      </c>
      <c r="AX262" s="121">
        <f t="shared" si="116"/>
        <v>26000</v>
      </c>
      <c r="AY262" s="163" t="s">
        <v>1074</v>
      </c>
      <c r="AZ262" s="160">
        <v>36</v>
      </c>
      <c r="BA262" s="138">
        <v>14</v>
      </c>
      <c r="BB262" s="138">
        <v>0</v>
      </c>
      <c r="BC262" s="139">
        <f t="shared" si="124"/>
        <v>50</v>
      </c>
      <c r="BD262" s="140">
        <f t="shared" si="128"/>
        <v>1300000</v>
      </c>
    </row>
    <row r="263" spans="1:56" s="125" customFormat="1" ht="24.75" customHeight="1" x14ac:dyDescent="0.2">
      <c r="A263" s="150">
        <v>17</v>
      </c>
      <c r="B263" s="148">
        <v>260</v>
      </c>
      <c r="C263" s="105">
        <v>42172105</v>
      </c>
      <c r="D263" s="106" t="s">
        <v>391</v>
      </c>
      <c r="E263" s="105" t="s">
        <v>931</v>
      </c>
      <c r="F263" s="105" t="s">
        <v>286</v>
      </c>
      <c r="G263" s="145" t="s">
        <v>978</v>
      </c>
      <c r="H263" s="145" t="s">
        <v>978</v>
      </c>
      <c r="I263" s="145" t="s">
        <v>978</v>
      </c>
      <c r="J263" s="104" t="s">
        <v>978</v>
      </c>
      <c r="K263" s="104" t="s">
        <v>978</v>
      </c>
      <c r="L263" s="104" t="s">
        <v>978</v>
      </c>
      <c r="M263" s="104" t="s">
        <v>978</v>
      </c>
      <c r="N263" s="104" t="s">
        <v>978</v>
      </c>
      <c r="O263" s="104" t="s">
        <v>978</v>
      </c>
      <c r="P263" s="104">
        <v>251150</v>
      </c>
      <c r="Q263" s="104">
        <f t="shared" si="119"/>
        <v>277684.49979999999</v>
      </c>
      <c r="R263" s="104" t="s">
        <v>978</v>
      </c>
      <c r="S263" s="104" t="s">
        <v>978</v>
      </c>
      <c r="T263" s="104" t="s">
        <v>978</v>
      </c>
      <c r="U263" s="104" t="s">
        <v>978</v>
      </c>
      <c r="V263" s="104">
        <v>8610</v>
      </c>
      <c r="W263" s="104">
        <f t="shared" si="120"/>
        <v>9049.1099999999988</v>
      </c>
      <c r="X263" s="104" t="s">
        <v>978</v>
      </c>
      <c r="Y263" s="104" t="s">
        <v>978</v>
      </c>
      <c r="Z263" s="104" t="s">
        <v>978</v>
      </c>
      <c r="AA263" s="104" t="s">
        <v>978</v>
      </c>
      <c r="AB263" s="104" t="s">
        <v>978</v>
      </c>
      <c r="AC263" s="104" t="s">
        <v>978</v>
      </c>
      <c r="AD263" s="104" t="s">
        <v>978</v>
      </c>
      <c r="AE263" s="104" t="s">
        <v>978</v>
      </c>
      <c r="AF263" s="104" t="s">
        <v>978</v>
      </c>
      <c r="AG263" s="104" t="s">
        <v>978</v>
      </c>
      <c r="AH263" s="104" t="s">
        <v>978</v>
      </c>
      <c r="AI263" s="104" t="s">
        <v>978</v>
      </c>
      <c r="AJ263" s="104" t="s">
        <v>978</v>
      </c>
      <c r="AK263" s="104" t="s">
        <v>978</v>
      </c>
      <c r="AL263" s="104">
        <f t="shared" si="115"/>
        <v>143366.80489999999</v>
      </c>
      <c r="AM263" s="120" t="s">
        <v>978</v>
      </c>
      <c r="AN263" s="103">
        <v>561990</v>
      </c>
      <c r="AO263" s="103" t="s">
        <v>974</v>
      </c>
      <c r="AP263" s="103" t="s">
        <v>974</v>
      </c>
      <c r="AQ263" s="103">
        <v>220150</v>
      </c>
      <c r="AR263" s="103" t="s">
        <v>974</v>
      </c>
      <c r="AS263" s="103" t="s">
        <v>974</v>
      </c>
      <c r="AT263" s="103" t="s">
        <v>974</v>
      </c>
      <c r="AU263" s="103">
        <f t="shared" si="126"/>
        <v>220150</v>
      </c>
      <c r="AV263" s="158"/>
      <c r="AW263" s="156">
        <f t="shared" si="127"/>
        <v>181758.40244999999</v>
      </c>
      <c r="AX263" s="121">
        <f t="shared" si="116"/>
        <v>181758</v>
      </c>
      <c r="AY263" s="163" t="s">
        <v>1073</v>
      </c>
      <c r="AZ263" s="160">
        <v>3</v>
      </c>
      <c r="BA263" s="138">
        <v>0</v>
      </c>
      <c r="BB263" s="138">
        <v>0</v>
      </c>
      <c r="BC263" s="139">
        <f t="shared" si="124"/>
        <v>3</v>
      </c>
      <c r="BD263" s="140">
        <f t="shared" si="128"/>
        <v>545274</v>
      </c>
    </row>
    <row r="264" spans="1:56" s="125" customFormat="1" ht="48.75" customHeight="1" x14ac:dyDescent="0.2">
      <c r="A264" s="150">
        <v>17</v>
      </c>
      <c r="B264" s="148">
        <v>261</v>
      </c>
      <c r="C264" s="105">
        <v>42311506</v>
      </c>
      <c r="D264" s="106" t="s">
        <v>168</v>
      </c>
      <c r="E264" s="105" t="s">
        <v>932</v>
      </c>
      <c r="F264" s="105" t="s">
        <v>299</v>
      </c>
      <c r="G264" s="145" t="s">
        <v>978</v>
      </c>
      <c r="H264" s="145" t="s">
        <v>978</v>
      </c>
      <c r="I264" s="145" t="s">
        <v>978</v>
      </c>
      <c r="J264" s="104" t="s">
        <v>978</v>
      </c>
      <c r="K264" s="104" t="s">
        <v>978</v>
      </c>
      <c r="L264" s="104" t="s">
        <v>978</v>
      </c>
      <c r="M264" s="104" t="s">
        <v>978</v>
      </c>
      <c r="N264" s="104" t="s">
        <v>978</v>
      </c>
      <c r="O264" s="104" t="s">
        <v>978</v>
      </c>
      <c r="P264" s="104">
        <v>5544</v>
      </c>
      <c r="Q264" s="104">
        <f t="shared" si="119"/>
        <v>6129.7346880000005</v>
      </c>
      <c r="R264" s="104" t="s">
        <v>978</v>
      </c>
      <c r="S264" s="104" t="s">
        <v>978</v>
      </c>
      <c r="T264" s="104" t="s">
        <v>978</v>
      </c>
      <c r="U264" s="104" t="s">
        <v>978</v>
      </c>
      <c r="V264" s="104">
        <v>5125</v>
      </c>
      <c r="W264" s="104">
        <f t="shared" si="120"/>
        <v>5386.375</v>
      </c>
      <c r="X264" s="104" t="s">
        <v>978</v>
      </c>
      <c r="Y264" s="104" t="s">
        <v>978</v>
      </c>
      <c r="Z264" s="104" t="s">
        <v>978</v>
      </c>
      <c r="AA264" s="104" t="s">
        <v>978</v>
      </c>
      <c r="AB264" s="104" t="s">
        <v>978</v>
      </c>
      <c r="AC264" s="104" t="s">
        <v>978</v>
      </c>
      <c r="AD264" s="104" t="s">
        <v>978</v>
      </c>
      <c r="AE264" s="104" t="s">
        <v>978</v>
      </c>
      <c r="AF264" s="104" t="s">
        <v>978</v>
      </c>
      <c r="AG264" s="104" t="s">
        <v>978</v>
      </c>
      <c r="AH264" s="104" t="s">
        <v>978</v>
      </c>
      <c r="AI264" s="104" t="s">
        <v>978</v>
      </c>
      <c r="AJ264" s="104" t="s">
        <v>978</v>
      </c>
      <c r="AK264" s="104" t="s">
        <v>978</v>
      </c>
      <c r="AL264" s="104">
        <f t="shared" si="115"/>
        <v>5758.0548440000002</v>
      </c>
      <c r="AM264" s="120" t="s">
        <v>978</v>
      </c>
      <c r="AN264" s="103">
        <v>13871</v>
      </c>
      <c r="AO264" s="103" t="s">
        <v>974</v>
      </c>
      <c r="AP264" s="103" t="s">
        <v>974</v>
      </c>
      <c r="AQ264" s="103">
        <v>6000</v>
      </c>
      <c r="AR264" s="103" t="s">
        <v>974</v>
      </c>
      <c r="AS264" s="103" t="s">
        <v>974</v>
      </c>
      <c r="AT264" s="103" t="s">
        <v>974</v>
      </c>
      <c r="AU264" s="103">
        <f t="shared" si="126"/>
        <v>6000</v>
      </c>
      <c r="AV264" s="158"/>
      <c r="AW264" s="156">
        <f t="shared" si="127"/>
        <v>5879.0274220000001</v>
      </c>
      <c r="AX264" s="121">
        <f>+ROUND(AW264,0)</f>
        <v>5879</v>
      </c>
      <c r="AY264" s="163" t="s">
        <v>1073</v>
      </c>
      <c r="AZ264" s="160">
        <v>0</v>
      </c>
      <c r="BA264" s="138">
        <v>72</v>
      </c>
      <c r="BB264" s="138">
        <v>0</v>
      </c>
      <c r="BC264" s="139">
        <f>+BA264+BB264</f>
        <v>72</v>
      </c>
      <c r="BD264" s="140">
        <f t="shared" si="128"/>
        <v>423288</v>
      </c>
    </row>
    <row r="265" spans="1:56" s="125" customFormat="1" ht="24" customHeight="1" x14ac:dyDescent="0.2">
      <c r="A265" s="150">
        <v>17</v>
      </c>
      <c r="B265" s="148">
        <v>262</v>
      </c>
      <c r="C265" s="105">
        <v>42295203</v>
      </c>
      <c r="D265" s="106" t="s">
        <v>392</v>
      </c>
      <c r="E265" s="105" t="s">
        <v>933</v>
      </c>
      <c r="F265" s="105" t="s">
        <v>286</v>
      </c>
      <c r="G265" s="145" t="s">
        <v>978</v>
      </c>
      <c r="H265" s="145" t="s">
        <v>978</v>
      </c>
      <c r="I265" s="145" t="s">
        <v>978</v>
      </c>
      <c r="J265" s="104" t="s">
        <v>978</v>
      </c>
      <c r="K265" s="104" t="s">
        <v>978</v>
      </c>
      <c r="L265" s="104" t="s">
        <v>978</v>
      </c>
      <c r="M265" s="104" t="s">
        <v>978</v>
      </c>
      <c r="N265" s="104" t="s">
        <v>978</v>
      </c>
      <c r="O265" s="104" t="s">
        <v>978</v>
      </c>
      <c r="P265" s="104">
        <v>14137</v>
      </c>
      <c r="Q265" s="104">
        <f t="shared" si="119"/>
        <v>15630.602323999999</v>
      </c>
      <c r="R265" s="104" t="s">
        <v>978</v>
      </c>
      <c r="S265" s="104" t="s">
        <v>978</v>
      </c>
      <c r="T265" s="104" t="s">
        <v>978</v>
      </c>
      <c r="U265" s="104" t="s">
        <v>978</v>
      </c>
      <c r="V265" s="104">
        <v>16753</v>
      </c>
      <c r="W265" s="104">
        <f t="shared" si="120"/>
        <v>17607.402999999998</v>
      </c>
      <c r="X265" s="104" t="s">
        <v>978</v>
      </c>
      <c r="Y265" s="104" t="s">
        <v>978</v>
      </c>
      <c r="Z265" s="104" t="s">
        <v>978</v>
      </c>
      <c r="AA265" s="104" t="s">
        <v>978</v>
      </c>
      <c r="AB265" s="104" t="s">
        <v>978</v>
      </c>
      <c r="AC265" s="104" t="s">
        <v>978</v>
      </c>
      <c r="AD265" s="104" t="s">
        <v>978</v>
      </c>
      <c r="AE265" s="104" t="s">
        <v>978</v>
      </c>
      <c r="AF265" s="104" t="s">
        <v>978</v>
      </c>
      <c r="AG265" s="104" t="s">
        <v>978</v>
      </c>
      <c r="AH265" s="104" t="s">
        <v>978</v>
      </c>
      <c r="AI265" s="104" t="s">
        <v>978</v>
      </c>
      <c r="AJ265" s="104" t="s">
        <v>978</v>
      </c>
      <c r="AK265" s="104" t="s">
        <v>978</v>
      </c>
      <c r="AL265" s="104">
        <f t="shared" si="115"/>
        <v>16619.002661999999</v>
      </c>
      <c r="AM265" s="120" t="s">
        <v>978</v>
      </c>
      <c r="AN265" s="103">
        <v>520520</v>
      </c>
      <c r="AO265" s="103" t="s">
        <v>974</v>
      </c>
      <c r="AP265" s="103" t="s">
        <v>974</v>
      </c>
      <c r="AQ265" s="103">
        <v>16660</v>
      </c>
      <c r="AR265" s="103" t="s">
        <v>974</v>
      </c>
      <c r="AS265" s="103" t="s">
        <v>974</v>
      </c>
      <c r="AT265" s="103" t="s">
        <v>974</v>
      </c>
      <c r="AU265" s="103">
        <f t="shared" si="126"/>
        <v>16660</v>
      </c>
      <c r="AV265" s="158"/>
      <c r="AW265" s="156">
        <f t="shared" si="127"/>
        <v>16639.501330999999</v>
      </c>
      <c r="AX265" s="121">
        <f t="shared" si="116"/>
        <v>16640</v>
      </c>
      <c r="AY265" s="163" t="s">
        <v>1073</v>
      </c>
      <c r="AZ265" s="160">
        <v>9</v>
      </c>
      <c r="BA265" s="138">
        <v>0</v>
      </c>
      <c r="BB265" s="138">
        <v>0</v>
      </c>
      <c r="BC265" s="139">
        <f t="shared" ref="BC265:BC270" si="129">+AZ265+BA265+BB265</f>
        <v>9</v>
      </c>
      <c r="BD265" s="140">
        <f t="shared" si="128"/>
        <v>149760</v>
      </c>
    </row>
    <row r="266" spans="1:56" s="125" customFormat="1" ht="36.75" customHeight="1" x14ac:dyDescent="0.2">
      <c r="A266" s="150">
        <v>17</v>
      </c>
      <c r="B266" s="148">
        <v>263</v>
      </c>
      <c r="C266" s="105">
        <v>42295203</v>
      </c>
      <c r="D266" s="106" t="s">
        <v>393</v>
      </c>
      <c r="E266" s="105" t="s">
        <v>933</v>
      </c>
      <c r="F266" s="105" t="s">
        <v>286</v>
      </c>
      <c r="G266" s="145" t="s">
        <v>978</v>
      </c>
      <c r="H266" s="145" t="s">
        <v>978</v>
      </c>
      <c r="I266" s="145" t="s">
        <v>978</v>
      </c>
      <c r="J266" s="104" t="s">
        <v>978</v>
      </c>
      <c r="K266" s="104" t="s">
        <v>978</v>
      </c>
      <c r="L266" s="104" t="s">
        <v>978</v>
      </c>
      <c r="M266" s="104" t="s">
        <v>978</v>
      </c>
      <c r="N266" s="104" t="s">
        <v>978</v>
      </c>
      <c r="O266" s="104" t="s">
        <v>978</v>
      </c>
      <c r="P266" s="104">
        <v>14137</v>
      </c>
      <c r="Q266" s="104">
        <f t="shared" si="119"/>
        <v>15630.602323999999</v>
      </c>
      <c r="R266" s="104" t="s">
        <v>978</v>
      </c>
      <c r="S266" s="104" t="s">
        <v>978</v>
      </c>
      <c r="T266" s="104" t="s">
        <v>978</v>
      </c>
      <c r="U266" s="104" t="s">
        <v>978</v>
      </c>
      <c r="V266" s="104">
        <v>15683</v>
      </c>
      <c r="W266" s="104">
        <f t="shared" si="120"/>
        <v>16482.832999999999</v>
      </c>
      <c r="X266" s="104" t="s">
        <v>978</v>
      </c>
      <c r="Y266" s="104" t="s">
        <v>978</v>
      </c>
      <c r="Z266" s="104" t="s">
        <v>978</v>
      </c>
      <c r="AA266" s="104" t="s">
        <v>978</v>
      </c>
      <c r="AB266" s="104" t="s">
        <v>978</v>
      </c>
      <c r="AC266" s="104" t="s">
        <v>978</v>
      </c>
      <c r="AD266" s="104" t="s">
        <v>978</v>
      </c>
      <c r="AE266" s="104" t="s">
        <v>978</v>
      </c>
      <c r="AF266" s="104" t="s">
        <v>978</v>
      </c>
      <c r="AG266" s="104" t="s">
        <v>978</v>
      </c>
      <c r="AH266" s="104" t="s">
        <v>978</v>
      </c>
      <c r="AI266" s="104" t="s">
        <v>978</v>
      </c>
      <c r="AJ266" s="104" t="s">
        <v>978</v>
      </c>
      <c r="AK266" s="104" t="s">
        <v>978</v>
      </c>
      <c r="AL266" s="104">
        <f t="shared" si="115"/>
        <v>16056.717661999999</v>
      </c>
      <c r="AM266" s="120" t="s">
        <v>978</v>
      </c>
      <c r="AN266" s="103">
        <v>520520</v>
      </c>
      <c r="AO266" s="103" t="s">
        <v>974</v>
      </c>
      <c r="AP266" s="103" t="s">
        <v>974</v>
      </c>
      <c r="AQ266" s="103">
        <v>16660</v>
      </c>
      <c r="AR266" s="103" t="s">
        <v>974</v>
      </c>
      <c r="AS266" s="103" t="s">
        <v>974</v>
      </c>
      <c r="AT266" s="103" t="s">
        <v>974</v>
      </c>
      <c r="AU266" s="103">
        <f t="shared" si="126"/>
        <v>16660</v>
      </c>
      <c r="AV266" s="158"/>
      <c r="AW266" s="156">
        <f t="shared" si="127"/>
        <v>16358.358831</v>
      </c>
      <c r="AX266" s="121">
        <f t="shared" si="116"/>
        <v>16358</v>
      </c>
      <c r="AY266" s="163" t="s">
        <v>1073</v>
      </c>
      <c r="AZ266" s="160">
        <v>1</v>
      </c>
      <c r="BA266" s="138">
        <v>0</v>
      </c>
      <c r="BB266" s="138">
        <v>0</v>
      </c>
      <c r="BC266" s="139">
        <f t="shared" si="129"/>
        <v>1</v>
      </c>
      <c r="BD266" s="140">
        <f t="shared" si="128"/>
        <v>16358</v>
      </c>
    </row>
    <row r="267" spans="1:56" s="125" customFormat="1" ht="48" customHeight="1" x14ac:dyDescent="0.2">
      <c r="A267" s="150">
        <v>17</v>
      </c>
      <c r="B267" s="148">
        <v>264</v>
      </c>
      <c r="C267" s="105">
        <v>42141802</v>
      </c>
      <c r="D267" s="106" t="s">
        <v>394</v>
      </c>
      <c r="E267" s="105" t="s">
        <v>778</v>
      </c>
      <c r="F267" s="107" t="s">
        <v>304</v>
      </c>
      <c r="G267" s="145">
        <f>36890*2</f>
        <v>73780</v>
      </c>
      <c r="H267" s="145" t="s">
        <v>978</v>
      </c>
      <c r="I267" s="145">
        <f>+AVERAGE(G267:H267)</f>
        <v>73780</v>
      </c>
      <c r="J267" s="104" t="s">
        <v>978</v>
      </c>
      <c r="K267" s="104" t="s">
        <v>978</v>
      </c>
      <c r="L267" s="104" t="s">
        <v>978</v>
      </c>
      <c r="M267" s="104" t="s">
        <v>978</v>
      </c>
      <c r="N267" s="104" t="s">
        <v>978</v>
      </c>
      <c r="O267" s="104" t="s">
        <v>978</v>
      </c>
      <c r="P267" s="104">
        <f>32548*2</f>
        <v>65096</v>
      </c>
      <c r="Q267" s="104">
        <f t="shared" si="119"/>
        <v>71973.522591999994</v>
      </c>
      <c r="R267" s="104" t="s">
        <v>978</v>
      </c>
      <c r="S267" s="104" t="s">
        <v>978</v>
      </c>
      <c r="T267" s="104" t="s">
        <v>978</v>
      </c>
      <c r="U267" s="104" t="s">
        <v>978</v>
      </c>
      <c r="V267" s="104">
        <f>37428*2</f>
        <v>74856</v>
      </c>
      <c r="W267" s="104">
        <f t="shared" si="120"/>
        <v>78673.655999999988</v>
      </c>
      <c r="X267" s="104" t="s">
        <v>978</v>
      </c>
      <c r="Y267" s="104" t="s">
        <v>978</v>
      </c>
      <c r="Z267" s="104" t="s">
        <v>978</v>
      </c>
      <c r="AA267" s="104" t="s">
        <v>978</v>
      </c>
      <c r="AB267" s="104" t="s">
        <v>978</v>
      </c>
      <c r="AC267" s="104" t="s">
        <v>978</v>
      </c>
      <c r="AD267" s="104" t="s">
        <v>978</v>
      </c>
      <c r="AE267" s="104" t="s">
        <v>978</v>
      </c>
      <c r="AF267" s="104" t="s">
        <v>978</v>
      </c>
      <c r="AG267" s="104" t="s">
        <v>978</v>
      </c>
      <c r="AH267" s="104" t="s">
        <v>978</v>
      </c>
      <c r="AI267" s="104" t="s">
        <v>978</v>
      </c>
      <c r="AJ267" s="104" t="s">
        <v>978</v>
      </c>
      <c r="AK267" s="104" t="s">
        <v>978</v>
      </c>
      <c r="AL267" s="104">
        <f t="shared" si="115"/>
        <v>75323.589295999991</v>
      </c>
      <c r="AM267" s="120" t="s">
        <v>978</v>
      </c>
      <c r="AN267" s="103">
        <f>41470*2</f>
        <v>82940</v>
      </c>
      <c r="AO267" s="103" t="s">
        <v>974</v>
      </c>
      <c r="AP267" s="103">
        <f>25000*2</f>
        <v>50000</v>
      </c>
      <c r="AQ267" s="103">
        <v>29750</v>
      </c>
      <c r="AR267" s="103" t="s">
        <v>974</v>
      </c>
      <c r="AS267" s="103" t="s">
        <v>974</v>
      </c>
      <c r="AT267" s="103" t="s">
        <v>974</v>
      </c>
      <c r="AU267" s="103">
        <f t="shared" si="126"/>
        <v>29750</v>
      </c>
      <c r="AV267" s="158"/>
      <c r="AW267" s="156">
        <f>+AU267</f>
        <v>29750</v>
      </c>
      <c r="AX267" s="121">
        <f t="shared" si="116"/>
        <v>29750</v>
      </c>
      <c r="AY267" s="163" t="s">
        <v>1082</v>
      </c>
      <c r="AZ267" s="160">
        <v>19</v>
      </c>
      <c r="BA267" s="138">
        <v>0</v>
      </c>
      <c r="BB267" s="138">
        <v>0</v>
      </c>
      <c r="BC267" s="139">
        <f t="shared" si="129"/>
        <v>19</v>
      </c>
      <c r="BD267" s="140">
        <f t="shared" si="128"/>
        <v>565250</v>
      </c>
    </row>
    <row r="268" spans="1:56" s="125" customFormat="1" ht="48" customHeight="1" x14ac:dyDescent="0.2">
      <c r="A268" s="150">
        <v>17</v>
      </c>
      <c r="B268" s="148">
        <v>265</v>
      </c>
      <c r="C268" s="105">
        <v>42141802</v>
      </c>
      <c r="D268" s="106" t="s">
        <v>395</v>
      </c>
      <c r="E268" s="105" t="s">
        <v>778</v>
      </c>
      <c r="F268" s="107" t="s">
        <v>304</v>
      </c>
      <c r="G268" s="143">
        <v>51170</v>
      </c>
      <c r="H268" s="143" t="s">
        <v>978</v>
      </c>
      <c r="I268" s="143">
        <f>+AVERAGE(G268:H268)</f>
        <v>51170</v>
      </c>
      <c r="J268" s="104" t="s">
        <v>978</v>
      </c>
      <c r="K268" s="104" t="s">
        <v>978</v>
      </c>
      <c r="L268" s="104" t="s">
        <v>978</v>
      </c>
      <c r="M268" s="104" t="s">
        <v>978</v>
      </c>
      <c r="N268" s="104" t="s">
        <v>978</v>
      </c>
      <c r="O268" s="104" t="s">
        <v>978</v>
      </c>
      <c r="P268" s="104">
        <f>32568*2</f>
        <v>65136</v>
      </c>
      <c r="Q268" s="104">
        <f>P268*(1+5.2%)*(1+5.1%)</f>
        <v>72017.748672000002</v>
      </c>
      <c r="R268" s="104" t="s">
        <v>978</v>
      </c>
      <c r="S268" s="104" t="s">
        <v>978</v>
      </c>
      <c r="T268" s="104" t="s">
        <v>978</v>
      </c>
      <c r="U268" s="104" t="s">
        <v>978</v>
      </c>
      <c r="V268" s="104">
        <f>23678*2</f>
        <v>47356</v>
      </c>
      <c r="W268" s="104">
        <f t="shared" si="120"/>
        <v>49771.155999999995</v>
      </c>
      <c r="X268" s="104" t="s">
        <v>978</v>
      </c>
      <c r="Y268" s="104" t="s">
        <v>978</v>
      </c>
      <c r="Z268" s="104" t="s">
        <v>978</v>
      </c>
      <c r="AA268" s="104" t="s">
        <v>978</v>
      </c>
      <c r="AB268" s="104" t="s">
        <v>978</v>
      </c>
      <c r="AC268" s="104" t="s">
        <v>978</v>
      </c>
      <c r="AD268" s="104" t="s">
        <v>978</v>
      </c>
      <c r="AE268" s="104" t="s">
        <v>978</v>
      </c>
      <c r="AF268" s="104" t="s">
        <v>978</v>
      </c>
      <c r="AG268" s="104" t="s">
        <v>978</v>
      </c>
      <c r="AH268" s="104" t="s">
        <v>978</v>
      </c>
      <c r="AI268" s="104" t="s">
        <v>978</v>
      </c>
      <c r="AJ268" s="104" t="s">
        <v>978</v>
      </c>
      <c r="AK268" s="104" t="s">
        <v>978</v>
      </c>
      <c r="AL268" s="104">
        <f t="shared" si="115"/>
        <v>60894.452336000002</v>
      </c>
      <c r="AM268" s="120" t="s">
        <v>978</v>
      </c>
      <c r="AN268" s="103">
        <f>41470*2</f>
        <v>82940</v>
      </c>
      <c r="AO268" s="103" t="s">
        <v>974</v>
      </c>
      <c r="AP268" s="103">
        <f>25000*2</f>
        <v>50000</v>
      </c>
      <c r="AQ268" s="103">
        <f>29750*2</f>
        <v>59500</v>
      </c>
      <c r="AR268" s="103" t="s">
        <v>974</v>
      </c>
      <c r="AS268" s="103" t="s">
        <v>974</v>
      </c>
      <c r="AT268" s="103" t="s">
        <v>974</v>
      </c>
      <c r="AU268" s="103">
        <f t="shared" si="126"/>
        <v>50000</v>
      </c>
      <c r="AV268" s="158"/>
      <c r="AW268" s="156">
        <f>+AU268</f>
        <v>50000</v>
      </c>
      <c r="AX268" s="121">
        <f t="shared" si="116"/>
        <v>50000</v>
      </c>
      <c r="AY268" s="163" t="s">
        <v>1082</v>
      </c>
      <c r="AZ268" s="160">
        <v>1</v>
      </c>
      <c r="BA268" s="138">
        <v>0</v>
      </c>
      <c r="BB268" s="138">
        <v>0</v>
      </c>
      <c r="BC268" s="139">
        <f t="shared" si="129"/>
        <v>1</v>
      </c>
      <c r="BD268" s="140">
        <f t="shared" si="128"/>
        <v>50000</v>
      </c>
    </row>
    <row r="269" spans="1:56" s="125" customFormat="1" ht="22.5" x14ac:dyDescent="0.2">
      <c r="A269" s="150">
        <v>17</v>
      </c>
      <c r="B269" s="148">
        <v>266</v>
      </c>
      <c r="C269" s="113">
        <v>42295104</v>
      </c>
      <c r="D269" s="114" t="s">
        <v>396</v>
      </c>
      <c r="E269" s="113" t="s">
        <v>396</v>
      </c>
      <c r="F269" s="107" t="s">
        <v>458</v>
      </c>
      <c r="G269" s="145" t="s">
        <v>978</v>
      </c>
      <c r="H269" s="145" t="s">
        <v>978</v>
      </c>
      <c r="I269" s="145" t="s">
        <v>978</v>
      </c>
      <c r="J269" s="104" t="s">
        <v>978</v>
      </c>
      <c r="K269" s="104" t="s">
        <v>978</v>
      </c>
      <c r="L269" s="104" t="s">
        <v>978</v>
      </c>
      <c r="M269" s="104" t="s">
        <v>978</v>
      </c>
      <c r="N269" s="104" t="s">
        <v>978</v>
      </c>
      <c r="O269" s="104" t="s">
        <v>978</v>
      </c>
      <c r="P269" s="104" t="s">
        <v>978</v>
      </c>
      <c r="Q269" s="104" t="s">
        <v>1012</v>
      </c>
      <c r="R269" s="104" t="s">
        <v>978</v>
      </c>
      <c r="S269" s="104" t="s">
        <v>978</v>
      </c>
      <c r="T269" s="104" t="s">
        <v>978</v>
      </c>
      <c r="U269" s="104" t="s">
        <v>978</v>
      </c>
      <c r="V269" s="104" t="s">
        <v>978</v>
      </c>
      <c r="W269" s="104" t="s">
        <v>978</v>
      </c>
      <c r="X269" s="104" t="s">
        <v>978</v>
      </c>
      <c r="Y269" s="104" t="s">
        <v>978</v>
      </c>
      <c r="Z269" s="104" t="s">
        <v>978</v>
      </c>
      <c r="AA269" s="104" t="s">
        <v>978</v>
      </c>
      <c r="AB269" s="104" t="s">
        <v>978</v>
      </c>
      <c r="AC269" s="104" t="s">
        <v>978</v>
      </c>
      <c r="AD269" s="104" t="s">
        <v>978</v>
      </c>
      <c r="AE269" s="104" t="s">
        <v>978</v>
      </c>
      <c r="AF269" s="104" t="s">
        <v>978</v>
      </c>
      <c r="AG269" s="104" t="s">
        <v>978</v>
      </c>
      <c r="AH269" s="104" t="s">
        <v>978</v>
      </c>
      <c r="AI269" s="104" t="s">
        <v>978</v>
      </c>
      <c r="AJ269" s="104" t="s">
        <v>978</v>
      </c>
      <c r="AK269" s="104" t="s">
        <v>978</v>
      </c>
      <c r="AL269" s="104" t="s">
        <v>978</v>
      </c>
      <c r="AM269" s="120" t="s">
        <v>978</v>
      </c>
      <c r="AN269" s="103">
        <v>1200000</v>
      </c>
      <c r="AO269" s="103" t="s">
        <v>974</v>
      </c>
      <c r="AP269" s="103" t="s">
        <v>974</v>
      </c>
      <c r="AQ269" s="103" t="s">
        <v>974</v>
      </c>
      <c r="AR269" s="103" t="s">
        <v>974</v>
      </c>
      <c r="AS269" s="103" t="s">
        <v>974</v>
      </c>
      <c r="AT269" s="103" t="s">
        <v>974</v>
      </c>
      <c r="AU269" s="103">
        <f t="shared" si="126"/>
        <v>1200000</v>
      </c>
      <c r="AV269" s="158"/>
      <c r="AW269" s="156">
        <f>+AVERAGE(I269,AL269,AM269,AU269)</f>
        <v>1200000</v>
      </c>
      <c r="AX269" s="121">
        <f>+ROUND(AW269,0)</f>
        <v>1200000</v>
      </c>
      <c r="AY269" s="163" t="s">
        <v>1085</v>
      </c>
      <c r="AZ269" s="160">
        <v>19</v>
      </c>
      <c r="BA269" s="138">
        <v>0</v>
      </c>
      <c r="BB269" s="138">
        <v>0</v>
      </c>
      <c r="BC269" s="139">
        <f t="shared" si="129"/>
        <v>19</v>
      </c>
      <c r="BD269" s="140">
        <f t="shared" si="128"/>
        <v>22800000</v>
      </c>
    </row>
    <row r="270" spans="1:56" s="125" customFormat="1" ht="67.5" x14ac:dyDescent="0.2">
      <c r="A270" s="150">
        <v>17</v>
      </c>
      <c r="B270" s="148">
        <v>267</v>
      </c>
      <c r="C270" s="105">
        <v>42312402</v>
      </c>
      <c r="D270" s="106" t="s">
        <v>397</v>
      </c>
      <c r="E270" s="105" t="s">
        <v>934</v>
      </c>
      <c r="F270" s="105" t="s">
        <v>566</v>
      </c>
      <c r="G270" s="143" t="s">
        <v>978</v>
      </c>
      <c r="H270" s="143" t="s">
        <v>978</v>
      </c>
      <c r="I270" s="143" t="s">
        <v>978</v>
      </c>
      <c r="J270" s="104" t="s">
        <v>978</v>
      </c>
      <c r="K270" s="104" t="s">
        <v>978</v>
      </c>
      <c r="L270" s="104" t="s">
        <v>978</v>
      </c>
      <c r="M270" s="104" t="s">
        <v>978</v>
      </c>
      <c r="N270" s="104" t="s">
        <v>978</v>
      </c>
      <c r="O270" s="104" t="s">
        <v>978</v>
      </c>
      <c r="P270" s="104" t="s">
        <v>978</v>
      </c>
      <c r="Q270" s="104" t="s">
        <v>1012</v>
      </c>
      <c r="R270" s="104" t="s">
        <v>978</v>
      </c>
      <c r="S270" s="104" t="s">
        <v>978</v>
      </c>
      <c r="T270" s="104" t="s">
        <v>978</v>
      </c>
      <c r="U270" s="104" t="s">
        <v>978</v>
      </c>
      <c r="V270" s="104">
        <v>93921</v>
      </c>
      <c r="W270" s="104">
        <f>V270*(1+5.1%)</f>
        <v>98710.97099999999</v>
      </c>
      <c r="X270" s="104" t="s">
        <v>978</v>
      </c>
      <c r="Y270" s="104" t="s">
        <v>978</v>
      </c>
      <c r="Z270" s="104" t="s">
        <v>978</v>
      </c>
      <c r="AA270" s="104" t="s">
        <v>978</v>
      </c>
      <c r="AB270" s="104" t="s">
        <v>978</v>
      </c>
      <c r="AC270" s="104" t="s">
        <v>978</v>
      </c>
      <c r="AD270" s="104" t="s">
        <v>978</v>
      </c>
      <c r="AE270" s="104" t="s">
        <v>978</v>
      </c>
      <c r="AF270" s="104" t="s">
        <v>978</v>
      </c>
      <c r="AG270" s="104" t="s">
        <v>978</v>
      </c>
      <c r="AH270" s="104" t="s">
        <v>978</v>
      </c>
      <c r="AI270" s="104" t="s">
        <v>978</v>
      </c>
      <c r="AJ270" s="104" t="s">
        <v>978</v>
      </c>
      <c r="AK270" s="104" t="s">
        <v>978</v>
      </c>
      <c r="AL270" s="104">
        <f t="shared" ref="AL270:AL274" si="130">+AVERAGE(K270,M270,O270,Q270,S270,U270,W270,Y270,AA270,AC270,AE270,AG270,AI270,AK270)</f>
        <v>98710.97099999999</v>
      </c>
      <c r="AM270" s="120" t="s">
        <v>978</v>
      </c>
      <c r="AN270" s="141">
        <v>174460</v>
      </c>
      <c r="AO270" s="119" t="s">
        <v>974</v>
      </c>
      <c r="AP270" s="103" t="s">
        <v>974</v>
      </c>
      <c r="AQ270" s="142">
        <v>188000</v>
      </c>
      <c r="AR270" s="103" t="s">
        <v>974</v>
      </c>
      <c r="AS270" s="103" t="s">
        <v>974</v>
      </c>
      <c r="AT270" s="103" t="s">
        <v>974</v>
      </c>
      <c r="AU270" s="103">
        <f t="shared" si="126"/>
        <v>174460</v>
      </c>
      <c r="AV270" s="158"/>
      <c r="AW270" s="156">
        <f>+AVERAGE(AL270,AU270)</f>
        <v>136585.48550000001</v>
      </c>
      <c r="AX270" s="121">
        <f t="shared" ref="AX270:AX274" si="131">+ROUND(AW270,0)</f>
        <v>136585</v>
      </c>
      <c r="AY270" s="163" t="s">
        <v>1073</v>
      </c>
      <c r="AZ270" s="160">
        <v>30</v>
      </c>
      <c r="BA270" s="138">
        <v>0</v>
      </c>
      <c r="BB270" s="138">
        <v>0</v>
      </c>
      <c r="BC270" s="139">
        <f t="shared" si="129"/>
        <v>30</v>
      </c>
      <c r="BD270" s="140">
        <f t="shared" si="128"/>
        <v>4097550</v>
      </c>
    </row>
    <row r="271" spans="1:56" s="125" customFormat="1" ht="101.25" x14ac:dyDescent="0.2">
      <c r="A271" s="150">
        <v>17</v>
      </c>
      <c r="B271" s="148">
        <v>268</v>
      </c>
      <c r="C271" s="105">
        <v>42142515</v>
      </c>
      <c r="D271" s="106" t="s">
        <v>935</v>
      </c>
      <c r="E271" s="105" t="s">
        <v>779</v>
      </c>
      <c r="F271" s="105" t="s">
        <v>288</v>
      </c>
      <c r="G271" s="144" t="s">
        <v>978</v>
      </c>
      <c r="H271" s="143" t="s">
        <v>978</v>
      </c>
      <c r="I271" s="144" t="s">
        <v>978</v>
      </c>
      <c r="J271" s="104" t="s">
        <v>978</v>
      </c>
      <c r="K271" s="104" t="s">
        <v>978</v>
      </c>
      <c r="L271" s="104" t="s">
        <v>978</v>
      </c>
      <c r="M271" s="104" t="s">
        <v>978</v>
      </c>
      <c r="N271" s="104" t="s">
        <v>978</v>
      </c>
      <c r="O271" s="104" t="s">
        <v>978</v>
      </c>
      <c r="P271" s="104" t="s">
        <v>978</v>
      </c>
      <c r="Q271" s="104" t="s">
        <v>1012</v>
      </c>
      <c r="R271" s="104" t="s">
        <v>978</v>
      </c>
      <c r="S271" s="104" t="s">
        <v>978</v>
      </c>
      <c r="T271" s="104" t="s">
        <v>978</v>
      </c>
      <c r="U271" s="104" t="s">
        <v>978</v>
      </c>
      <c r="V271" s="104" t="s">
        <v>978</v>
      </c>
      <c r="W271" s="104" t="s">
        <v>978</v>
      </c>
      <c r="X271" s="104" t="s">
        <v>978</v>
      </c>
      <c r="Y271" s="104" t="s">
        <v>978</v>
      </c>
      <c r="Z271" s="104" t="s">
        <v>978</v>
      </c>
      <c r="AA271" s="104" t="s">
        <v>978</v>
      </c>
      <c r="AB271" s="104">
        <v>33320</v>
      </c>
      <c r="AC271" s="104">
        <f>AB271*(1+5.1%)</f>
        <v>35019.32</v>
      </c>
      <c r="AD271" s="104" t="s">
        <v>978</v>
      </c>
      <c r="AE271" s="104" t="s">
        <v>978</v>
      </c>
      <c r="AF271" s="104" t="s">
        <v>978</v>
      </c>
      <c r="AG271" s="104" t="s">
        <v>978</v>
      </c>
      <c r="AH271" s="104" t="s">
        <v>978</v>
      </c>
      <c r="AI271" s="104" t="s">
        <v>978</v>
      </c>
      <c r="AJ271" s="104" t="s">
        <v>978</v>
      </c>
      <c r="AK271" s="104" t="s">
        <v>978</v>
      </c>
      <c r="AL271" s="104">
        <f t="shared" si="130"/>
        <v>35019.32</v>
      </c>
      <c r="AM271" s="120">
        <v>49384</v>
      </c>
      <c r="AN271" s="141">
        <v>87230</v>
      </c>
      <c r="AO271" s="119" t="s">
        <v>974</v>
      </c>
      <c r="AP271" s="103" t="s">
        <v>974</v>
      </c>
      <c r="AQ271" s="142">
        <v>41650</v>
      </c>
      <c r="AR271" s="103" t="s">
        <v>974</v>
      </c>
      <c r="AS271" s="103" t="s">
        <v>974</v>
      </c>
      <c r="AT271" s="103" t="s">
        <v>974</v>
      </c>
      <c r="AU271" s="103">
        <f t="shared" si="126"/>
        <v>41650</v>
      </c>
      <c r="AV271" s="158"/>
      <c r="AW271" s="156">
        <f>+AVERAGE(AL271,AU271)</f>
        <v>38334.660000000003</v>
      </c>
      <c r="AX271" s="121">
        <f t="shared" si="131"/>
        <v>38335</v>
      </c>
      <c r="AY271" s="163" t="s">
        <v>1079</v>
      </c>
      <c r="AZ271" s="160">
        <v>0</v>
      </c>
      <c r="BA271" s="138">
        <v>29</v>
      </c>
      <c r="BB271" s="138">
        <v>0</v>
      </c>
      <c r="BC271" s="139">
        <f t="shared" ref="BC271:BC276" si="132">+BA271+BB271</f>
        <v>29</v>
      </c>
      <c r="BD271" s="140">
        <f t="shared" si="128"/>
        <v>1111715</v>
      </c>
    </row>
    <row r="272" spans="1:56" s="125" customFormat="1" ht="45" x14ac:dyDescent="0.2">
      <c r="A272" s="150">
        <v>17</v>
      </c>
      <c r="B272" s="148">
        <v>269</v>
      </c>
      <c r="C272" s="105">
        <v>42142609</v>
      </c>
      <c r="D272" s="106" t="s">
        <v>936</v>
      </c>
      <c r="E272" s="105" t="s">
        <v>760</v>
      </c>
      <c r="F272" s="105" t="s">
        <v>288</v>
      </c>
      <c r="G272" s="143" t="s">
        <v>978</v>
      </c>
      <c r="H272" s="143" t="s">
        <v>978</v>
      </c>
      <c r="I272" s="144" t="s">
        <v>978</v>
      </c>
      <c r="J272" s="104" t="s">
        <v>978</v>
      </c>
      <c r="K272" s="104" t="s">
        <v>978</v>
      </c>
      <c r="L272" s="104" t="s">
        <v>978</v>
      </c>
      <c r="M272" s="104" t="s">
        <v>978</v>
      </c>
      <c r="N272" s="104" t="s">
        <v>978</v>
      </c>
      <c r="O272" s="104" t="s">
        <v>978</v>
      </c>
      <c r="P272" s="104" t="s">
        <v>978</v>
      </c>
      <c r="Q272" s="104" t="s">
        <v>1012</v>
      </c>
      <c r="R272" s="104" t="s">
        <v>978</v>
      </c>
      <c r="S272" s="104" t="s">
        <v>978</v>
      </c>
      <c r="T272" s="104" t="s">
        <v>978</v>
      </c>
      <c r="U272" s="104" t="s">
        <v>978</v>
      </c>
      <c r="V272" s="104" t="s">
        <v>978</v>
      </c>
      <c r="W272" s="104" t="s">
        <v>978</v>
      </c>
      <c r="X272" s="104" t="s">
        <v>978</v>
      </c>
      <c r="Y272" s="104" t="s">
        <v>978</v>
      </c>
      <c r="Z272" s="104" t="s">
        <v>978</v>
      </c>
      <c r="AA272" s="104" t="s">
        <v>978</v>
      </c>
      <c r="AB272" s="104">
        <v>25704</v>
      </c>
      <c r="AC272" s="104">
        <f>AB272*(1+5.1%)</f>
        <v>27014.903999999999</v>
      </c>
      <c r="AD272" s="104" t="s">
        <v>978</v>
      </c>
      <c r="AE272" s="104" t="s">
        <v>978</v>
      </c>
      <c r="AF272" s="104" t="s">
        <v>978</v>
      </c>
      <c r="AG272" s="104" t="s">
        <v>978</v>
      </c>
      <c r="AH272" s="104" t="s">
        <v>978</v>
      </c>
      <c r="AI272" s="104" t="s">
        <v>978</v>
      </c>
      <c r="AJ272" s="104" t="s">
        <v>978</v>
      </c>
      <c r="AK272" s="104" t="s">
        <v>978</v>
      </c>
      <c r="AL272" s="104">
        <f t="shared" si="130"/>
        <v>27014.903999999999</v>
      </c>
      <c r="AM272" s="120" t="s">
        <v>978</v>
      </c>
      <c r="AN272" s="141">
        <v>107822</v>
      </c>
      <c r="AO272" s="119" t="s">
        <v>974</v>
      </c>
      <c r="AP272" s="103" t="s">
        <v>974</v>
      </c>
      <c r="AQ272" s="142" t="s">
        <v>974</v>
      </c>
      <c r="AR272" s="103" t="s">
        <v>974</v>
      </c>
      <c r="AS272" s="103" t="s">
        <v>974</v>
      </c>
      <c r="AT272" s="103" t="s">
        <v>974</v>
      </c>
      <c r="AU272" s="103">
        <f t="shared" si="126"/>
        <v>107822</v>
      </c>
      <c r="AV272" s="158"/>
      <c r="AW272" s="156">
        <f>+AVERAGE(AL272,AU272)</f>
        <v>67418.452000000005</v>
      </c>
      <c r="AX272" s="121">
        <f>+ROUND(AW272,0)</f>
        <v>67418</v>
      </c>
      <c r="AY272" s="163" t="s">
        <v>1073</v>
      </c>
      <c r="AZ272" s="160">
        <v>0</v>
      </c>
      <c r="BA272" s="138">
        <v>3</v>
      </c>
      <c r="BB272" s="138">
        <v>0</v>
      </c>
      <c r="BC272" s="139">
        <f t="shared" si="132"/>
        <v>3</v>
      </c>
      <c r="BD272" s="140">
        <f t="shared" si="128"/>
        <v>202254</v>
      </c>
    </row>
    <row r="273" spans="1:56" s="125" customFormat="1" ht="45" x14ac:dyDescent="0.2">
      <c r="A273" s="150">
        <v>17</v>
      </c>
      <c r="B273" s="148">
        <v>270</v>
      </c>
      <c r="C273" s="105">
        <v>42221513</v>
      </c>
      <c r="D273" s="106" t="s">
        <v>686</v>
      </c>
      <c r="E273" s="105" t="s">
        <v>780</v>
      </c>
      <c r="F273" s="105" t="s">
        <v>286</v>
      </c>
      <c r="G273" s="143" t="s">
        <v>978</v>
      </c>
      <c r="H273" s="143" t="s">
        <v>978</v>
      </c>
      <c r="I273" s="143" t="s">
        <v>978</v>
      </c>
      <c r="J273" s="104" t="s">
        <v>978</v>
      </c>
      <c r="K273" s="104" t="s">
        <v>978</v>
      </c>
      <c r="L273" s="104" t="s">
        <v>978</v>
      </c>
      <c r="M273" s="104" t="s">
        <v>978</v>
      </c>
      <c r="N273" s="104" t="s">
        <v>978</v>
      </c>
      <c r="O273" s="104" t="s">
        <v>978</v>
      </c>
      <c r="P273" s="104" t="s">
        <v>978</v>
      </c>
      <c r="Q273" s="104" t="s">
        <v>1012</v>
      </c>
      <c r="R273" s="104" t="s">
        <v>978</v>
      </c>
      <c r="S273" s="104" t="s">
        <v>978</v>
      </c>
      <c r="T273" s="104" t="s">
        <v>978</v>
      </c>
      <c r="U273" s="104" t="s">
        <v>978</v>
      </c>
      <c r="V273" s="104" t="s">
        <v>978</v>
      </c>
      <c r="W273" s="104" t="s">
        <v>978</v>
      </c>
      <c r="X273" s="104" t="s">
        <v>978</v>
      </c>
      <c r="Y273" s="104" t="s">
        <v>978</v>
      </c>
      <c r="Z273" s="104" t="s">
        <v>978</v>
      </c>
      <c r="AA273" s="104" t="s">
        <v>978</v>
      </c>
      <c r="AB273" s="104" t="s">
        <v>978</v>
      </c>
      <c r="AC273" s="104" t="s">
        <v>978</v>
      </c>
      <c r="AD273" s="104" t="s">
        <v>978</v>
      </c>
      <c r="AE273" s="104" t="s">
        <v>978</v>
      </c>
      <c r="AF273" s="104" t="s">
        <v>978</v>
      </c>
      <c r="AG273" s="104" t="s">
        <v>978</v>
      </c>
      <c r="AH273" s="104" t="s">
        <v>978</v>
      </c>
      <c r="AI273" s="104" t="s">
        <v>978</v>
      </c>
      <c r="AJ273" s="104" t="s">
        <v>978</v>
      </c>
      <c r="AK273" s="104" t="s">
        <v>978</v>
      </c>
      <c r="AL273" s="104" t="s">
        <v>978</v>
      </c>
      <c r="AM273" s="120" t="s">
        <v>978</v>
      </c>
      <c r="AN273" s="141">
        <v>706420</v>
      </c>
      <c r="AO273" s="119" t="s">
        <v>974</v>
      </c>
      <c r="AP273" s="103" t="s">
        <v>974</v>
      </c>
      <c r="AQ273" s="142">
        <v>105000</v>
      </c>
      <c r="AR273" s="103" t="s">
        <v>974</v>
      </c>
      <c r="AS273" s="103" t="s">
        <v>974</v>
      </c>
      <c r="AT273" s="103" t="s">
        <v>974</v>
      </c>
      <c r="AU273" s="103">
        <f t="shared" si="126"/>
        <v>105000</v>
      </c>
      <c r="AV273" s="158"/>
      <c r="AW273" s="156">
        <f>+AVERAGE(AL273,AU273)</f>
        <v>105000</v>
      </c>
      <c r="AX273" s="121">
        <f t="shared" si="131"/>
        <v>105000</v>
      </c>
      <c r="AY273" s="163" t="s">
        <v>1073</v>
      </c>
      <c r="AZ273" s="160">
        <v>0</v>
      </c>
      <c r="BA273" s="138">
        <v>36</v>
      </c>
      <c r="BB273" s="138">
        <v>0</v>
      </c>
      <c r="BC273" s="139">
        <f t="shared" si="132"/>
        <v>36</v>
      </c>
      <c r="BD273" s="140">
        <f t="shared" si="128"/>
        <v>3780000</v>
      </c>
    </row>
    <row r="274" spans="1:56" s="125" customFormat="1" ht="78.75" x14ac:dyDescent="0.2">
      <c r="A274" s="150">
        <v>17</v>
      </c>
      <c r="B274" s="148">
        <v>271</v>
      </c>
      <c r="C274" s="105">
        <v>42142511</v>
      </c>
      <c r="D274" s="106" t="s">
        <v>687</v>
      </c>
      <c r="E274" s="105" t="s">
        <v>937</v>
      </c>
      <c r="F274" s="105" t="s">
        <v>288</v>
      </c>
      <c r="G274" s="143" t="s">
        <v>978</v>
      </c>
      <c r="H274" s="143" t="s">
        <v>978</v>
      </c>
      <c r="I274" s="143" t="s">
        <v>978</v>
      </c>
      <c r="J274" s="104" t="s">
        <v>978</v>
      </c>
      <c r="K274" s="104" t="s">
        <v>978</v>
      </c>
      <c r="L274" s="104" t="s">
        <v>978</v>
      </c>
      <c r="M274" s="104" t="s">
        <v>978</v>
      </c>
      <c r="N274" s="104" t="s">
        <v>978</v>
      </c>
      <c r="O274" s="104" t="s">
        <v>978</v>
      </c>
      <c r="P274" s="104" t="s">
        <v>978</v>
      </c>
      <c r="Q274" s="104" t="s">
        <v>1012</v>
      </c>
      <c r="R274" s="104" t="s">
        <v>978</v>
      </c>
      <c r="S274" s="104" t="s">
        <v>978</v>
      </c>
      <c r="T274" s="104" t="s">
        <v>978</v>
      </c>
      <c r="U274" s="104" t="s">
        <v>978</v>
      </c>
      <c r="V274" s="104" t="s">
        <v>978</v>
      </c>
      <c r="W274" s="104" t="s">
        <v>978</v>
      </c>
      <c r="X274" s="104" t="s">
        <v>978</v>
      </c>
      <c r="Y274" s="104" t="s">
        <v>978</v>
      </c>
      <c r="Z274" s="104" t="s">
        <v>978</v>
      </c>
      <c r="AA274" s="104" t="s">
        <v>978</v>
      </c>
      <c r="AB274" s="104">
        <v>102256</v>
      </c>
      <c r="AC274" s="104">
        <f>AB274*(1+5.1%)</f>
        <v>107471.056</v>
      </c>
      <c r="AD274" s="104" t="s">
        <v>978</v>
      </c>
      <c r="AE274" s="104" t="s">
        <v>978</v>
      </c>
      <c r="AF274" s="104" t="s">
        <v>978</v>
      </c>
      <c r="AG274" s="104" t="s">
        <v>978</v>
      </c>
      <c r="AH274" s="104" t="s">
        <v>978</v>
      </c>
      <c r="AI274" s="104" t="s">
        <v>978</v>
      </c>
      <c r="AJ274" s="104" t="s">
        <v>978</v>
      </c>
      <c r="AK274" s="104" t="s">
        <v>978</v>
      </c>
      <c r="AL274" s="104">
        <f t="shared" si="130"/>
        <v>107471.056</v>
      </c>
      <c r="AM274" s="120" t="s">
        <v>978</v>
      </c>
      <c r="AN274" s="141">
        <v>100100</v>
      </c>
      <c r="AO274" s="119" t="s">
        <v>974</v>
      </c>
      <c r="AP274" s="103">
        <v>5000</v>
      </c>
      <c r="AQ274" s="142">
        <v>273700</v>
      </c>
      <c r="AR274" s="103" t="s">
        <v>974</v>
      </c>
      <c r="AS274" s="103" t="s">
        <v>974</v>
      </c>
      <c r="AT274" s="103" t="s">
        <v>974</v>
      </c>
      <c r="AU274" s="103">
        <f>+MIN(AN274,AQ274)</f>
        <v>100100</v>
      </c>
      <c r="AV274" s="158" t="s">
        <v>1076</v>
      </c>
      <c r="AW274" s="156">
        <f>+AU274</f>
        <v>100100</v>
      </c>
      <c r="AX274" s="121">
        <f t="shared" si="131"/>
        <v>100100</v>
      </c>
      <c r="AY274" s="163" t="s">
        <v>1080</v>
      </c>
      <c r="AZ274" s="160">
        <v>0</v>
      </c>
      <c r="BA274" s="138">
        <v>26</v>
      </c>
      <c r="BB274" s="138">
        <v>0</v>
      </c>
      <c r="BC274" s="139">
        <f t="shared" si="132"/>
        <v>26</v>
      </c>
      <c r="BD274" s="140">
        <f t="shared" si="128"/>
        <v>2602600</v>
      </c>
    </row>
    <row r="275" spans="1:56" s="125" customFormat="1" ht="101.25" x14ac:dyDescent="0.2">
      <c r="A275" s="150">
        <v>17</v>
      </c>
      <c r="B275" s="148">
        <v>272</v>
      </c>
      <c r="C275" s="105">
        <v>42142509</v>
      </c>
      <c r="D275" s="106" t="s">
        <v>400</v>
      </c>
      <c r="E275" s="105" t="s">
        <v>938</v>
      </c>
      <c r="F275" s="105" t="s">
        <v>288</v>
      </c>
      <c r="G275" s="143" t="s">
        <v>978</v>
      </c>
      <c r="H275" s="143" t="s">
        <v>978</v>
      </c>
      <c r="I275" s="143" t="s">
        <v>978</v>
      </c>
      <c r="J275" s="104" t="s">
        <v>978</v>
      </c>
      <c r="K275" s="104" t="s">
        <v>978</v>
      </c>
      <c r="L275" s="104" t="s">
        <v>978</v>
      </c>
      <c r="M275" s="104" t="s">
        <v>978</v>
      </c>
      <c r="N275" s="104" t="s">
        <v>978</v>
      </c>
      <c r="O275" s="104" t="s">
        <v>978</v>
      </c>
      <c r="P275" s="104" t="s">
        <v>978</v>
      </c>
      <c r="Q275" s="104" t="s">
        <v>1012</v>
      </c>
      <c r="R275" s="104" t="s">
        <v>978</v>
      </c>
      <c r="S275" s="104" t="s">
        <v>978</v>
      </c>
      <c r="T275" s="104" t="s">
        <v>978</v>
      </c>
      <c r="U275" s="104" t="s">
        <v>978</v>
      </c>
      <c r="V275" s="104" t="s">
        <v>978</v>
      </c>
      <c r="W275" s="104" t="s">
        <v>978</v>
      </c>
      <c r="X275" s="104" t="s">
        <v>978</v>
      </c>
      <c r="Y275" s="104" t="s">
        <v>978</v>
      </c>
      <c r="Z275" s="104" t="s">
        <v>978</v>
      </c>
      <c r="AA275" s="104" t="s">
        <v>978</v>
      </c>
      <c r="AB275" s="104" t="s">
        <v>978</v>
      </c>
      <c r="AC275" s="104" t="s">
        <v>978</v>
      </c>
      <c r="AD275" s="104" t="s">
        <v>978</v>
      </c>
      <c r="AE275" s="104" t="s">
        <v>978</v>
      </c>
      <c r="AF275" s="104" t="s">
        <v>978</v>
      </c>
      <c r="AG275" s="104" t="s">
        <v>978</v>
      </c>
      <c r="AH275" s="104" t="s">
        <v>978</v>
      </c>
      <c r="AI275" s="104" t="s">
        <v>978</v>
      </c>
      <c r="AJ275" s="104" t="s">
        <v>978</v>
      </c>
      <c r="AK275" s="104" t="s">
        <v>978</v>
      </c>
      <c r="AL275" s="104" t="s">
        <v>978</v>
      </c>
      <c r="AM275" s="120">
        <v>53000</v>
      </c>
      <c r="AN275" s="141">
        <v>143000</v>
      </c>
      <c r="AO275" s="119" t="s">
        <v>974</v>
      </c>
      <c r="AP275" s="103" t="s">
        <v>974</v>
      </c>
      <c r="AQ275" s="142">
        <v>49000</v>
      </c>
      <c r="AR275" s="103" t="s">
        <v>974</v>
      </c>
      <c r="AS275" s="103" t="s">
        <v>974</v>
      </c>
      <c r="AT275" s="103" t="s">
        <v>974</v>
      </c>
      <c r="AU275" s="103">
        <f t="shared" ref="AU275:AU295" si="133">+MIN(AN275:AT275)</f>
        <v>49000</v>
      </c>
      <c r="AV275" s="158"/>
      <c r="AW275" s="156">
        <f>+AVERAGE(AL275,AU275)</f>
        <v>49000</v>
      </c>
      <c r="AX275" s="121">
        <f t="shared" ref="AX275:AX291" si="134">+ROUND(AW275,0)</f>
        <v>49000</v>
      </c>
      <c r="AY275" s="163" t="s">
        <v>1078</v>
      </c>
      <c r="AZ275" s="160">
        <v>0</v>
      </c>
      <c r="BA275" s="138">
        <v>1</v>
      </c>
      <c r="BB275" s="138">
        <v>0</v>
      </c>
      <c r="BC275" s="139">
        <f t="shared" si="132"/>
        <v>1</v>
      </c>
      <c r="BD275" s="140">
        <f t="shared" si="128"/>
        <v>49000</v>
      </c>
    </row>
    <row r="276" spans="1:56" s="125" customFormat="1" ht="33.75" x14ac:dyDescent="0.2">
      <c r="A276" s="150">
        <v>17</v>
      </c>
      <c r="B276" s="148">
        <v>273</v>
      </c>
      <c r="C276" s="105">
        <v>42142609</v>
      </c>
      <c r="D276" s="106" t="s">
        <v>401</v>
      </c>
      <c r="E276" s="105" t="s">
        <v>781</v>
      </c>
      <c r="F276" s="105" t="s">
        <v>288</v>
      </c>
      <c r="G276" s="143" t="s">
        <v>978</v>
      </c>
      <c r="H276" s="143" t="s">
        <v>978</v>
      </c>
      <c r="I276" s="143" t="s">
        <v>978</v>
      </c>
      <c r="J276" s="104" t="s">
        <v>978</v>
      </c>
      <c r="K276" s="104" t="s">
        <v>978</v>
      </c>
      <c r="L276" s="104" t="s">
        <v>978</v>
      </c>
      <c r="M276" s="104" t="s">
        <v>978</v>
      </c>
      <c r="N276" s="104" t="s">
        <v>978</v>
      </c>
      <c r="O276" s="104" t="s">
        <v>978</v>
      </c>
      <c r="P276" s="104" t="s">
        <v>978</v>
      </c>
      <c r="Q276" s="104" t="s">
        <v>1012</v>
      </c>
      <c r="R276" s="104" t="s">
        <v>978</v>
      </c>
      <c r="S276" s="104" t="s">
        <v>978</v>
      </c>
      <c r="T276" s="104" t="s">
        <v>978</v>
      </c>
      <c r="U276" s="104" t="s">
        <v>978</v>
      </c>
      <c r="V276" s="104" t="s">
        <v>978</v>
      </c>
      <c r="W276" s="104" t="s">
        <v>978</v>
      </c>
      <c r="X276" s="104" t="s">
        <v>978</v>
      </c>
      <c r="Y276" s="104" t="s">
        <v>978</v>
      </c>
      <c r="Z276" s="104" t="s">
        <v>978</v>
      </c>
      <c r="AA276" s="104" t="s">
        <v>978</v>
      </c>
      <c r="AB276" s="104">
        <v>497968</v>
      </c>
      <c r="AC276" s="104">
        <f>AB276*(1+5.1%)</f>
        <v>523364.36799999996</v>
      </c>
      <c r="AD276" s="104" t="s">
        <v>978</v>
      </c>
      <c r="AE276" s="104" t="s">
        <v>978</v>
      </c>
      <c r="AF276" s="104" t="s">
        <v>978</v>
      </c>
      <c r="AG276" s="104" t="s">
        <v>978</v>
      </c>
      <c r="AH276" s="104" t="s">
        <v>978</v>
      </c>
      <c r="AI276" s="104" t="s">
        <v>978</v>
      </c>
      <c r="AJ276" s="104" t="s">
        <v>978</v>
      </c>
      <c r="AK276" s="104" t="s">
        <v>978</v>
      </c>
      <c r="AL276" s="104">
        <f t="shared" ref="AL276:AL291" si="135">+AVERAGE(K276,M276,O276,Q276,S276,U276,W276,Y276,AA276,AC276,AE276,AG276,AI276,AK276)</f>
        <v>523364.36799999996</v>
      </c>
      <c r="AM276" s="120" t="s">
        <v>978</v>
      </c>
      <c r="AN276" s="141">
        <v>747890</v>
      </c>
      <c r="AO276" s="119" t="s">
        <v>974</v>
      </c>
      <c r="AP276" s="103" t="s">
        <v>974</v>
      </c>
      <c r="AQ276" s="142">
        <v>589050</v>
      </c>
      <c r="AR276" s="103" t="s">
        <v>974</v>
      </c>
      <c r="AS276" s="103" t="s">
        <v>974</v>
      </c>
      <c r="AT276" s="103" t="s">
        <v>974</v>
      </c>
      <c r="AU276" s="103">
        <f t="shared" si="133"/>
        <v>589050</v>
      </c>
      <c r="AV276" s="158"/>
      <c r="AW276" s="156">
        <f>+AVERAGE(AL276,AU276)</f>
        <v>556207.18400000001</v>
      </c>
      <c r="AX276" s="121">
        <f t="shared" si="134"/>
        <v>556207</v>
      </c>
      <c r="AY276" s="163" t="s">
        <v>1073</v>
      </c>
      <c r="AZ276" s="160">
        <v>0</v>
      </c>
      <c r="BA276" s="138">
        <v>7</v>
      </c>
      <c r="BB276" s="138">
        <v>0</v>
      </c>
      <c r="BC276" s="139">
        <f t="shared" si="132"/>
        <v>7</v>
      </c>
      <c r="BD276" s="140">
        <f t="shared" si="128"/>
        <v>3893449</v>
      </c>
    </row>
    <row r="277" spans="1:56" s="125" customFormat="1" ht="33.75" x14ac:dyDescent="0.2">
      <c r="A277" s="150">
        <v>17</v>
      </c>
      <c r="B277" s="148">
        <v>274</v>
      </c>
      <c r="C277" s="105">
        <v>42312201</v>
      </c>
      <c r="D277" s="106" t="s">
        <v>688</v>
      </c>
      <c r="E277" s="110" t="s">
        <v>1022</v>
      </c>
      <c r="F277" s="105" t="s">
        <v>306</v>
      </c>
      <c r="G277" s="143" t="s">
        <v>978</v>
      </c>
      <c r="H277" s="143" t="s">
        <v>978</v>
      </c>
      <c r="I277" s="143" t="s">
        <v>978</v>
      </c>
      <c r="J277" s="104" t="s">
        <v>978</v>
      </c>
      <c r="K277" s="104" t="s">
        <v>978</v>
      </c>
      <c r="L277" s="104" t="s">
        <v>978</v>
      </c>
      <c r="M277" s="104" t="s">
        <v>978</v>
      </c>
      <c r="N277" s="104" t="s">
        <v>978</v>
      </c>
      <c r="O277" s="104" t="s">
        <v>978</v>
      </c>
      <c r="P277" s="104" t="s">
        <v>978</v>
      </c>
      <c r="Q277" s="104" t="s">
        <v>1012</v>
      </c>
      <c r="R277" s="104" t="s">
        <v>978</v>
      </c>
      <c r="S277" s="104" t="s">
        <v>978</v>
      </c>
      <c r="T277" s="104" t="s">
        <v>978</v>
      </c>
      <c r="U277" s="104" t="s">
        <v>978</v>
      </c>
      <c r="V277" s="104" t="s">
        <v>978</v>
      </c>
      <c r="W277" s="104" t="s">
        <v>978</v>
      </c>
      <c r="X277" s="104" t="s">
        <v>978</v>
      </c>
      <c r="Y277" s="104" t="s">
        <v>978</v>
      </c>
      <c r="Z277" s="104" t="s">
        <v>978</v>
      </c>
      <c r="AA277" s="104" t="s">
        <v>978</v>
      </c>
      <c r="AB277" s="104" t="s">
        <v>978</v>
      </c>
      <c r="AC277" s="104" t="s">
        <v>978</v>
      </c>
      <c r="AD277" s="104" t="s">
        <v>978</v>
      </c>
      <c r="AE277" s="104" t="s">
        <v>978</v>
      </c>
      <c r="AF277" s="104" t="s">
        <v>978</v>
      </c>
      <c r="AG277" s="104" t="s">
        <v>978</v>
      </c>
      <c r="AH277" s="104" t="s">
        <v>978</v>
      </c>
      <c r="AI277" s="104" t="s">
        <v>978</v>
      </c>
      <c r="AJ277" s="104" t="s">
        <v>978</v>
      </c>
      <c r="AK277" s="104" t="s">
        <v>978</v>
      </c>
      <c r="AL277" s="104" t="s">
        <v>978</v>
      </c>
      <c r="AM277" s="120" t="s">
        <v>978</v>
      </c>
      <c r="AN277" s="141">
        <v>429000</v>
      </c>
      <c r="AO277" s="119" t="s">
        <v>974</v>
      </c>
      <c r="AP277" s="103" t="s">
        <v>974</v>
      </c>
      <c r="AQ277" s="142">
        <v>280000</v>
      </c>
      <c r="AR277" s="103" t="s">
        <v>974</v>
      </c>
      <c r="AS277" s="103" t="s">
        <v>974</v>
      </c>
      <c r="AT277" s="103" t="s">
        <v>974</v>
      </c>
      <c r="AU277" s="103">
        <f t="shared" si="133"/>
        <v>280000</v>
      </c>
      <c r="AV277" s="158"/>
      <c r="AW277" s="156">
        <f>+AVERAGE(AL277,AU277)</f>
        <v>280000</v>
      </c>
      <c r="AX277" s="121">
        <f t="shared" si="134"/>
        <v>280000</v>
      </c>
      <c r="AY277" s="163" t="s">
        <v>1073</v>
      </c>
      <c r="AZ277" s="160">
        <v>2</v>
      </c>
      <c r="BA277" s="138">
        <v>5</v>
      </c>
      <c r="BB277" s="138">
        <v>0</v>
      </c>
      <c r="BC277" s="139">
        <f>+AZ277+BA277+BB277</f>
        <v>7</v>
      </c>
      <c r="BD277" s="140">
        <f t="shared" si="128"/>
        <v>1960000</v>
      </c>
    </row>
    <row r="278" spans="1:56" s="125" customFormat="1" ht="56.25" x14ac:dyDescent="0.2">
      <c r="A278" s="150">
        <v>17</v>
      </c>
      <c r="B278" s="148">
        <v>275</v>
      </c>
      <c r="C278" s="105">
        <v>42312201</v>
      </c>
      <c r="D278" s="111" t="s">
        <v>402</v>
      </c>
      <c r="E278" s="111" t="s">
        <v>939</v>
      </c>
      <c r="F278" s="111" t="s">
        <v>1060</v>
      </c>
      <c r="G278" s="143" t="s">
        <v>978</v>
      </c>
      <c r="H278" s="143" t="s">
        <v>978</v>
      </c>
      <c r="I278" s="143" t="s">
        <v>978</v>
      </c>
      <c r="J278" s="104" t="s">
        <v>978</v>
      </c>
      <c r="K278" s="104" t="s">
        <v>978</v>
      </c>
      <c r="L278" s="104" t="s">
        <v>978</v>
      </c>
      <c r="M278" s="104" t="s">
        <v>978</v>
      </c>
      <c r="N278" s="104" t="s">
        <v>978</v>
      </c>
      <c r="O278" s="104" t="s">
        <v>978</v>
      </c>
      <c r="P278" s="104" t="s">
        <v>978</v>
      </c>
      <c r="Q278" s="104" t="s">
        <v>1012</v>
      </c>
      <c r="R278" s="104" t="s">
        <v>978</v>
      </c>
      <c r="S278" s="104" t="s">
        <v>978</v>
      </c>
      <c r="T278" s="104">
        <v>237237</v>
      </c>
      <c r="U278" s="104">
        <f t="shared" ref="U278:U290" si="136">T278*(1+5.1%)</f>
        <v>249336.08699999997</v>
      </c>
      <c r="V278" s="104" t="s">
        <v>978</v>
      </c>
      <c r="W278" s="104" t="s">
        <v>978</v>
      </c>
      <c r="X278" s="104" t="s">
        <v>978</v>
      </c>
      <c r="Y278" s="104" t="s">
        <v>978</v>
      </c>
      <c r="Z278" s="104" t="s">
        <v>978</v>
      </c>
      <c r="AA278" s="104" t="s">
        <v>978</v>
      </c>
      <c r="AB278" s="104" t="s">
        <v>978</v>
      </c>
      <c r="AC278" s="104" t="s">
        <v>978</v>
      </c>
      <c r="AD278" s="104" t="s">
        <v>978</v>
      </c>
      <c r="AE278" s="104" t="s">
        <v>978</v>
      </c>
      <c r="AF278" s="104" t="s">
        <v>978</v>
      </c>
      <c r="AG278" s="104" t="s">
        <v>978</v>
      </c>
      <c r="AH278" s="104" t="s">
        <v>978</v>
      </c>
      <c r="AI278" s="104" t="s">
        <v>978</v>
      </c>
      <c r="AJ278" s="104" t="s">
        <v>978</v>
      </c>
      <c r="AK278" s="104" t="s">
        <v>978</v>
      </c>
      <c r="AL278" s="104">
        <f t="shared" si="135"/>
        <v>249336.08699999997</v>
      </c>
      <c r="AM278" s="120" t="s">
        <v>978</v>
      </c>
      <c r="AN278" s="141">
        <v>743600</v>
      </c>
      <c r="AO278" s="119" t="s">
        <v>974</v>
      </c>
      <c r="AP278" s="103" t="s">
        <v>974</v>
      </c>
      <c r="AQ278" s="103" t="s">
        <v>974</v>
      </c>
      <c r="AR278" s="103" t="s">
        <v>974</v>
      </c>
      <c r="AS278" s="103" t="s">
        <v>974</v>
      </c>
      <c r="AT278" s="103" t="s">
        <v>974</v>
      </c>
      <c r="AU278" s="103">
        <f t="shared" si="133"/>
        <v>743600</v>
      </c>
      <c r="AV278" s="158"/>
      <c r="AW278" s="156">
        <f>+AVERAGE(AL278,AU278)</f>
        <v>496468.04349999997</v>
      </c>
      <c r="AX278" s="121">
        <f t="shared" si="134"/>
        <v>496468</v>
      </c>
      <c r="AY278" s="163" t="s">
        <v>1073</v>
      </c>
      <c r="AZ278" s="160">
        <v>40</v>
      </c>
      <c r="BA278" s="138">
        <v>0</v>
      </c>
      <c r="BB278" s="138">
        <v>0</v>
      </c>
      <c r="BC278" s="139">
        <f>+AZ278+BA278+BB278</f>
        <v>40</v>
      </c>
      <c r="BD278" s="140">
        <f t="shared" si="128"/>
        <v>19858720</v>
      </c>
    </row>
    <row r="279" spans="1:56" s="125" customFormat="1" ht="45" x14ac:dyDescent="0.2">
      <c r="A279" s="150">
        <v>17</v>
      </c>
      <c r="B279" s="148">
        <v>276</v>
      </c>
      <c r="C279" s="105">
        <v>42312201</v>
      </c>
      <c r="D279" s="106" t="s">
        <v>298</v>
      </c>
      <c r="E279" s="105" t="s">
        <v>940</v>
      </c>
      <c r="F279" s="105" t="s">
        <v>306</v>
      </c>
      <c r="G279" s="143" t="s">
        <v>978</v>
      </c>
      <c r="H279" s="143" t="s">
        <v>978</v>
      </c>
      <c r="I279" s="143" t="s">
        <v>978</v>
      </c>
      <c r="J279" s="104" t="s">
        <v>978</v>
      </c>
      <c r="K279" s="104" t="s">
        <v>978</v>
      </c>
      <c r="L279" s="104" t="s">
        <v>978</v>
      </c>
      <c r="M279" s="104" t="s">
        <v>978</v>
      </c>
      <c r="N279" s="104" t="s">
        <v>978</v>
      </c>
      <c r="O279" s="104" t="s">
        <v>978</v>
      </c>
      <c r="P279" s="104" t="s">
        <v>978</v>
      </c>
      <c r="Q279" s="104" t="s">
        <v>1012</v>
      </c>
      <c r="R279" s="104" t="s">
        <v>978</v>
      </c>
      <c r="S279" s="104" t="s">
        <v>978</v>
      </c>
      <c r="T279" s="104">
        <v>144063</v>
      </c>
      <c r="U279" s="104">
        <f t="shared" si="136"/>
        <v>151410.21299999999</v>
      </c>
      <c r="V279" s="104" t="s">
        <v>978</v>
      </c>
      <c r="W279" s="104" t="s">
        <v>978</v>
      </c>
      <c r="X279" s="104" t="s">
        <v>978</v>
      </c>
      <c r="Y279" s="104" t="s">
        <v>978</v>
      </c>
      <c r="Z279" s="104" t="s">
        <v>978</v>
      </c>
      <c r="AA279" s="104" t="s">
        <v>978</v>
      </c>
      <c r="AB279" s="104" t="s">
        <v>978</v>
      </c>
      <c r="AC279" s="104" t="s">
        <v>978</v>
      </c>
      <c r="AD279" s="104" t="s">
        <v>978</v>
      </c>
      <c r="AE279" s="104" t="s">
        <v>978</v>
      </c>
      <c r="AF279" s="104" t="s">
        <v>978</v>
      </c>
      <c r="AG279" s="104" t="s">
        <v>978</v>
      </c>
      <c r="AH279" s="104" t="s">
        <v>978</v>
      </c>
      <c r="AI279" s="104" t="s">
        <v>978</v>
      </c>
      <c r="AJ279" s="104" t="s">
        <v>978</v>
      </c>
      <c r="AK279" s="104" t="s">
        <v>978</v>
      </c>
      <c r="AL279" s="104">
        <f t="shared" si="135"/>
        <v>151410.21299999999</v>
      </c>
      <c r="AM279" s="120" t="s">
        <v>978</v>
      </c>
      <c r="AN279" s="141">
        <v>429000</v>
      </c>
      <c r="AO279" s="119" t="s">
        <v>974</v>
      </c>
      <c r="AP279" s="103" t="s">
        <v>974</v>
      </c>
      <c r="AQ279" s="142">
        <v>220000</v>
      </c>
      <c r="AR279" s="103" t="s">
        <v>974</v>
      </c>
      <c r="AS279" s="103" t="s">
        <v>974</v>
      </c>
      <c r="AT279" s="103" t="s">
        <v>974</v>
      </c>
      <c r="AU279" s="103">
        <f t="shared" si="133"/>
        <v>220000</v>
      </c>
      <c r="AV279" s="158"/>
      <c r="AW279" s="156">
        <f>+AVERAGE(AL279,AU279)</f>
        <v>185705.10649999999</v>
      </c>
      <c r="AX279" s="121">
        <f t="shared" si="134"/>
        <v>185705</v>
      </c>
      <c r="AY279" s="163" t="s">
        <v>1073</v>
      </c>
      <c r="AZ279" s="160">
        <v>7</v>
      </c>
      <c r="BA279" s="138">
        <v>0</v>
      </c>
      <c r="BB279" s="138">
        <v>0</v>
      </c>
      <c r="BC279" s="139">
        <f>+AZ279+BA279+BB279</f>
        <v>7</v>
      </c>
      <c r="BD279" s="140">
        <f t="shared" si="128"/>
        <v>1299935</v>
      </c>
    </row>
    <row r="280" spans="1:56" s="125" customFormat="1" ht="45" x14ac:dyDescent="0.2">
      <c r="A280" s="150">
        <v>17</v>
      </c>
      <c r="B280" s="148">
        <v>277</v>
      </c>
      <c r="C280" s="105">
        <v>42312201</v>
      </c>
      <c r="D280" s="106" t="s">
        <v>403</v>
      </c>
      <c r="E280" s="105" t="s">
        <v>403</v>
      </c>
      <c r="F280" s="105" t="s">
        <v>306</v>
      </c>
      <c r="G280" s="143" t="s">
        <v>978</v>
      </c>
      <c r="H280" s="143" t="s">
        <v>978</v>
      </c>
      <c r="I280" s="143" t="s">
        <v>978</v>
      </c>
      <c r="J280" s="104" t="s">
        <v>978</v>
      </c>
      <c r="K280" s="104" t="s">
        <v>978</v>
      </c>
      <c r="L280" s="104" t="s">
        <v>978</v>
      </c>
      <c r="M280" s="104" t="s">
        <v>978</v>
      </c>
      <c r="N280" s="104" t="s">
        <v>978</v>
      </c>
      <c r="O280" s="104" t="s">
        <v>978</v>
      </c>
      <c r="P280" s="104" t="s">
        <v>978</v>
      </c>
      <c r="Q280" s="104" t="s">
        <v>1012</v>
      </c>
      <c r="R280" s="104" t="s">
        <v>978</v>
      </c>
      <c r="S280" s="104" t="s">
        <v>978</v>
      </c>
      <c r="T280" s="104" t="s">
        <v>978</v>
      </c>
      <c r="U280" s="104" t="s">
        <v>978</v>
      </c>
      <c r="V280" s="104" t="s">
        <v>978</v>
      </c>
      <c r="W280" s="104" t="s">
        <v>978</v>
      </c>
      <c r="X280" s="104" t="s">
        <v>978</v>
      </c>
      <c r="Y280" s="104" t="s">
        <v>978</v>
      </c>
      <c r="Z280" s="104" t="s">
        <v>978</v>
      </c>
      <c r="AA280" s="104" t="s">
        <v>978</v>
      </c>
      <c r="AB280" s="104" t="s">
        <v>978</v>
      </c>
      <c r="AC280" s="104" t="s">
        <v>978</v>
      </c>
      <c r="AD280" s="104" t="s">
        <v>978</v>
      </c>
      <c r="AE280" s="104" t="s">
        <v>978</v>
      </c>
      <c r="AF280" s="104" t="s">
        <v>978</v>
      </c>
      <c r="AG280" s="104" t="s">
        <v>978</v>
      </c>
      <c r="AH280" s="104" t="s">
        <v>978</v>
      </c>
      <c r="AI280" s="104" t="s">
        <v>978</v>
      </c>
      <c r="AJ280" s="104" t="s">
        <v>978</v>
      </c>
      <c r="AK280" s="104" t="s">
        <v>978</v>
      </c>
      <c r="AL280" s="104" t="s">
        <v>978</v>
      </c>
      <c r="AM280" s="120" t="s">
        <v>978</v>
      </c>
      <c r="AN280" s="141">
        <v>429000</v>
      </c>
      <c r="AO280" s="119" t="s">
        <v>974</v>
      </c>
      <c r="AP280" s="103" t="s">
        <v>974</v>
      </c>
      <c r="AQ280" s="142">
        <v>220000</v>
      </c>
      <c r="AR280" s="103" t="s">
        <v>974</v>
      </c>
      <c r="AS280" s="103" t="s">
        <v>974</v>
      </c>
      <c r="AT280" s="103" t="s">
        <v>974</v>
      </c>
      <c r="AU280" s="103">
        <f t="shared" si="133"/>
        <v>220000</v>
      </c>
      <c r="AV280" s="158"/>
      <c r="AW280" s="156">
        <f>+AVERAGE(I280,AL280,AU280)</f>
        <v>220000</v>
      </c>
      <c r="AX280" s="121">
        <f>+ROUND(AW280,0)</f>
        <v>220000</v>
      </c>
      <c r="AY280" s="163" t="s">
        <v>1085</v>
      </c>
      <c r="AZ280" s="160">
        <v>0</v>
      </c>
      <c r="BA280" s="138">
        <v>0</v>
      </c>
      <c r="BB280" s="138">
        <v>6</v>
      </c>
      <c r="BC280" s="139">
        <f>+BA280+BB280</f>
        <v>6</v>
      </c>
      <c r="BD280" s="140">
        <f t="shared" si="128"/>
        <v>1320000</v>
      </c>
    </row>
    <row r="281" spans="1:56" s="125" customFormat="1" ht="56.25" x14ac:dyDescent="0.2">
      <c r="A281" s="150">
        <v>17</v>
      </c>
      <c r="B281" s="148">
        <v>278</v>
      </c>
      <c r="C281" s="105">
        <v>42292904</v>
      </c>
      <c r="D281" s="106" t="s">
        <v>584</v>
      </c>
      <c r="E281" s="105" t="s">
        <v>941</v>
      </c>
      <c r="F281" s="105" t="s">
        <v>305</v>
      </c>
      <c r="G281" s="143" t="s">
        <v>978</v>
      </c>
      <c r="H281" s="143" t="s">
        <v>978</v>
      </c>
      <c r="I281" s="143" t="s">
        <v>978</v>
      </c>
      <c r="J281" s="104" t="s">
        <v>978</v>
      </c>
      <c r="K281" s="104" t="s">
        <v>978</v>
      </c>
      <c r="L281" s="104" t="s">
        <v>978</v>
      </c>
      <c r="M281" s="104" t="s">
        <v>978</v>
      </c>
      <c r="N281" s="104">
        <v>648000</v>
      </c>
      <c r="O281" s="104">
        <f t="shared" ref="O281:O290" si="137">N281*(1+5.2%)*(1+5.1%)</f>
        <v>716462.49599999993</v>
      </c>
      <c r="P281" s="104" t="s">
        <v>978</v>
      </c>
      <c r="Q281" s="104" t="s">
        <v>1012</v>
      </c>
      <c r="R281" s="104" t="s">
        <v>978</v>
      </c>
      <c r="S281" s="104" t="s">
        <v>978</v>
      </c>
      <c r="T281" s="104">
        <v>446250</v>
      </c>
      <c r="U281" s="104">
        <f t="shared" si="136"/>
        <v>469008.74999999994</v>
      </c>
      <c r="V281" s="104" t="s">
        <v>978</v>
      </c>
      <c r="W281" s="104" t="s">
        <v>978</v>
      </c>
      <c r="X281" s="104" t="s">
        <v>978</v>
      </c>
      <c r="Y281" s="104" t="s">
        <v>978</v>
      </c>
      <c r="Z281" s="104" t="s">
        <v>978</v>
      </c>
      <c r="AA281" s="104" t="s">
        <v>978</v>
      </c>
      <c r="AB281" s="104" t="s">
        <v>978</v>
      </c>
      <c r="AC281" s="104" t="s">
        <v>978</v>
      </c>
      <c r="AD281" s="104" t="s">
        <v>978</v>
      </c>
      <c r="AE281" s="104" t="s">
        <v>978</v>
      </c>
      <c r="AF281" s="104" t="s">
        <v>978</v>
      </c>
      <c r="AG281" s="104" t="s">
        <v>978</v>
      </c>
      <c r="AH281" s="104" t="s">
        <v>978</v>
      </c>
      <c r="AI281" s="104" t="s">
        <v>978</v>
      </c>
      <c r="AJ281" s="104" t="s">
        <v>978</v>
      </c>
      <c r="AK281" s="104" t="s">
        <v>978</v>
      </c>
      <c r="AL281" s="104">
        <f t="shared" si="135"/>
        <v>592735.62299999991</v>
      </c>
      <c r="AM281" s="120" t="s">
        <v>978</v>
      </c>
      <c r="AN281" s="141">
        <v>743600</v>
      </c>
      <c r="AO281" s="119" t="s">
        <v>974</v>
      </c>
      <c r="AP281" s="103" t="s">
        <v>974</v>
      </c>
      <c r="AQ281" s="142">
        <v>540000</v>
      </c>
      <c r="AR281" s="103" t="s">
        <v>974</v>
      </c>
      <c r="AS281" s="103" t="s">
        <v>974</v>
      </c>
      <c r="AT281" s="103" t="s">
        <v>974</v>
      </c>
      <c r="AU281" s="103">
        <f t="shared" si="133"/>
        <v>540000</v>
      </c>
      <c r="AV281" s="158"/>
      <c r="AW281" s="156">
        <f>+AU281</f>
        <v>540000</v>
      </c>
      <c r="AX281" s="121">
        <f t="shared" si="134"/>
        <v>540000</v>
      </c>
      <c r="AY281" s="163" t="s">
        <v>1080</v>
      </c>
      <c r="AZ281" s="160">
        <v>2</v>
      </c>
      <c r="BA281" s="138">
        <v>0</v>
      </c>
      <c r="BB281" s="138">
        <v>0</v>
      </c>
      <c r="BC281" s="139">
        <f t="shared" ref="BC281:BC286" si="138">+AZ281+BA281+BB281</f>
        <v>2</v>
      </c>
      <c r="BD281" s="140">
        <f t="shared" si="128"/>
        <v>1080000</v>
      </c>
    </row>
    <row r="282" spans="1:56" s="125" customFormat="1" ht="56.25" x14ac:dyDescent="0.2">
      <c r="A282" s="150">
        <v>17</v>
      </c>
      <c r="B282" s="148">
        <v>279</v>
      </c>
      <c r="C282" s="105">
        <v>42292904</v>
      </c>
      <c r="D282" s="106" t="s">
        <v>585</v>
      </c>
      <c r="E282" s="105" t="s">
        <v>942</v>
      </c>
      <c r="F282" s="105" t="s">
        <v>305</v>
      </c>
      <c r="G282" s="143" t="s">
        <v>978</v>
      </c>
      <c r="H282" s="143" t="s">
        <v>978</v>
      </c>
      <c r="I282" s="143" t="s">
        <v>978</v>
      </c>
      <c r="J282" s="104" t="s">
        <v>978</v>
      </c>
      <c r="K282" s="104" t="s">
        <v>978</v>
      </c>
      <c r="L282" s="104" t="s">
        <v>978</v>
      </c>
      <c r="M282" s="104" t="s">
        <v>978</v>
      </c>
      <c r="N282" s="104">
        <v>510683</v>
      </c>
      <c r="O282" s="104">
        <f t="shared" si="137"/>
        <v>564637.68031600001</v>
      </c>
      <c r="P282" s="104" t="s">
        <v>978</v>
      </c>
      <c r="Q282" s="104" t="s">
        <v>1012</v>
      </c>
      <c r="R282" s="104" t="s">
        <v>978</v>
      </c>
      <c r="S282" s="104" t="s">
        <v>978</v>
      </c>
      <c r="T282" s="104">
        <v>377400</v>
      </c>
      <c r="U282" s="104">
        <f t="shared" si="136"/>
        <v>396647.39999999997</v>
      </c>
      <c r="V282" s="104" t="s">
        <v>978</v>
      </c>
      <c r="W282" s="104" t="s">
        <v>978</v>
      </c>
      <c r="X282" s="104" t="s">
        <v>978</v>
      </c>
      <c r="Y282" s="104" t="s">
        <v>978</v>
      </c>
      <c r="Z282" s="104" t="s">
        <v>978</v>
      </c>
      <c r="AA282" s="104" t="s">
        <v>978</v>
      </c>
      <c r="AB282" s="104" t="s">
        <v>978</v>
      </c>
      <c r="AC282" s="104" t="s">
        <v>978</v>
      </c>
      <c r="AD282" s="104" t="s">
        <v>978</v>
      </c>
      <c r="AE282" s="104" t="s">
        <v>978</v>
      </c>
      <c r="AF282" s="104" t="s">
        <v>978</v>
      </c>
      <c r="AG282" s="104" t="s">
        <v>978</v>
      </c>
      <c r="AH282" s="104" t="s">
        <v>978</v>
      </c>
      <c r="AI282" s="104" t="s">
        <v>978</v>
      </c>
      <c r="AJ282" s="104" t="s">
        <v>978</v>
      </c>
      <c r="AK282" s="104" t="s">
        <v>978</v>
      </c>
      <c r="AL282" s="104">
        <f t="shared" si="135"/>
        <v>480642.54015799996</v>
      </c>
      <c r="AM282" s="120" t="s">
        <v>978</v>
      </c>
      <c r="AN282" s="141">
        <v>743600</v>
      </c>
      <c r="AO282" s="119" t="s">
        <v>974</v>
      </c>
      <c r="AP282" s="103" t="s">
        <v>974</v>
      </c>
      <c r="AQ282" s="142">
        <v>540000</v>
      </c>
      <c r="AR282" s="103" t="s">
        <v>974</v>
      </c>
      <c r="AS282" s="103" t="s">
        <v>974</v>
      </c>
      <c r="AT282" s="103" t="s">
        <v>974</v>
      </c>
      <c r="AU282" s="103">
        <f t="shared" si="133"/>
        <v>540000</v>
      </c>
      <c r="AV282" s="158"/>
      <c r="AW282" s="156">
        <f>+AVERAGE(AL282,AU282)</f>
        <v>510321.27007899998</v>
      </c>
      <c r="AX282" s="121">
        <f t="shared" si="134"/>
        <v>510321</v>
      </c>
      <c r="AY282" s="163" t="s">
        <v>1073</v>
      </c>
      <c r="AZ282" s="160">
        <v>8</v>
      </c>
      <c r="BA282" s="138">
        <v>0</v>
      </c>
      <c r="BB282" s="138">
        <v>0</v>
      </c>
      <c r="BC282" s="139">
        <f t="shared" si="138"/>
        <v>8</v>
      </c>
      <c r="BD282" s="140">
        <f t="shared" si="128"/>
        <v>4082568</v>
      </c>
    </row>
    <row r="283" spans="1:56" s="125" customFormat="1" ht="56.25" x14ac:dyDescent="0.2">
      <c r="A283" s="150">
        <v>17</v>
      </c>
      <c r="B283" s="148">
        <v>280</v>
      </c>
      <c r="C283" s="105">
        <v>42292904</v>
      </c>
      <c r="D283" s="106" t="s">
        <v>586</v>
      </c>
      <c r="E283" s="105" t="s">
        <v>943</v>
      </c>
      <c r="F283" s="105" t="s">
        <v>305</v>
      </c>
      <c r="G283" s="143" t="s">
        <v>978</v>
      </c>
      <c r="H283" s="143" t="s">
        <v>978</v>
      </c>
      <c r="I283" s="143" t="s">
        <v>978</v>
      </c>
      <c r="J283" s="104" t="s">
        <v>978</v>
      </c>
      <c r="K283" s="104" t="s">
        <v>978</v>
      </c>
      <c r="L283" s="104" t="s">
        <v>978</v>
      </c>
      <c r="M283" s="104" t="s">
        <v>978</v>
      </c>
      <c r="N283" s="104" t="s">
        <v>978</v>
      </c>
      <c r="O283" s="104" t="s">
        <v>978</v>
      </c>
      <c r="P283" s="104" t="s">
        <v>978</v>
      </c>
      <c r="Q283" s="104" t="s">
        <v>1012</v>
      </c>
      <c r="R283" s="104" t="s">
        <v>978</v>
      </c>
      <c r="S283" s="104" t="s">
        <v>978</v>
      </c>
      <c r="T283" s="104" t="s">
        <v>978</v>
      </c>
      <c r="U283" s="104" t="s">
        <v>978</v>
      </c>
      <c r="V283" s="104" t="s">
        <v>978</v>
      </c>
      <c r="W283" s="104" t="s">
        <v>978</v>
      </c>
      <c r="X283" s="104" t="s">
        <v>978</v>
      </c>
      <c r="Y283" s="104" t="s">
        <v>978</v>
      </c>
      <c r="Z283" s="104" t="s">
        <v>978</v>
      </c>
      <c r="AA283" s="104" t="s">
        <v>978</v>
      </c>
      <c r="AB283" s="104" t="s">
        <v>978</v>
      </c>
      <c r="AC283" s="104" t="s">
        <v>978</v>
      </c>
      <c r="AD283" s="104" t="s">
        <v>978</v>
      </c>
      <c r="AE283" s="104" t="s">
        <v>978</v>
      </c>
      <c r="AF283" s="104" t="s">
        <v>978</v>
      </c>
      <c r="AG283" s="104" t="s">
        <v>978</v>
      </c>
      <c r="AH283" s="104" t="s">
        <v>978</v>
      </c>
      <c r="AI283" s="104" t="s">
        <v>978</v>
      </c>
      <c r="AJ283" s="104" t="s">
        <v>978</v>
      </c>
      <c r="AK283" s="104" t="s">
        <v>978</v>
      </c>
      <c r="AL283" s="104" t="s">
        <v>978</v>
      </c>
      <c r="AM283" s="120" t="s">
        <v>978</v>
      </c>
      <c r="AN283" s="141">
        <v>743600</v>
      </c>
      <c r="AO283" s="119" t="s">
        <v>974</v>
      </c>
      <c r="AP283" s="103" t="s">
        <v>974</v>
      </c>
      <c r="AQ283" s="142">
        <v>540000</v>
      </c>
      <c r="AR283" s="103" t="s">
        <v>974</v>
      </c>
      <c r="AS283" s="103" t="s">
        <v>974</v>
      </c>
      <c r="AT283" s="103" t="s">
        <v>974</v>
      </c>
      <c r="AU283" s="103">
        <f t="shared" si="133"/>
        <v>540000</v>
      </c>
      <c r="AV283" s="158"/>
      <c r="AW283" s="156">
        <f>+AVERAGE(AL283,AU283)</f>
        <v>540000</v>
      </c>
      <c r="AX283" s="121">
        <f t="shared" si="134"/>
        <v>540000</v>
      </c>
      <c r="AY283" s="163" t="s">
        <v>1073</v>
      </c>
      <c r="AZ283" s="160">
        <v>3</v>
      </c>
      <c r="BA283" s="138">
        <v>0</v>
      </c>
      <c r="BB283" s="138">
        <v>0</v>
      </c>
      <c r="BC283" s="139">
        <f t="shared" si="138"/>
        <v>3</v>
      </c>
      <c r="BD283" s="140">
        <f t="shared" si="128"/>
        <v>1620000</v>
      </c>
    </row>
    <row r="284" spans="1:56" s="125" customFormat="1" ht="45" x14ac:dyDescent="0.2">
      <c r="A284" s="150">
        <v>17</v>
      </c>
      <c r="B284" s="148">
        <v>281</v>
      </c>
      <c r="C284" s="105">
        <v>42292904</v>
      </c>
      <c r="D284" s="111" t="s">
        <v>587</v>
      </c>
      <c r="E284" s="111" t="s">
        <v>587</v>
      </c>
      <c r="F284" s="111" t="s">
        <v>1061</v>
      </c>
      <c r="G284" s="143" t="s">
        <v>978</v>
      </c>
      <c r="H284" s="143" t="s">
        <v>978</v>
      </c>
      <c r="I284" s="143" t="s">
        <v>978</v>
      </c>
      <c r="J284" s="104" t="s">
        <v>978</v>
      </c>
      <c r="K284" s="104" t="s">
        <v>978</v>
      </c>
      <c r="L284" s="104" t="s">
        <v>978</v>
      </c>
      <c r="M284" s="104" t="s">
        <v>978</v>
      </c>
      <c r="N284" s="104">
        <v>242686</v>
      </c>
      <c r="O284" s="104">
        <f t="shared" si="137"/>
        <v>268326.26127200003</v>
      </c>
      <c r="P284" s="104" t="s">
        <v>978</v>
      </c>
      <c r="Q284" s="104" t="s">
        <v>1012</v>
      </c>
      <c r="R284" s="104" t="s">
        <v>978</v>
      </c>
      <c r="S284" s="104" t="s">
        <v>978</v>
      </c>
      <c r="T284" s="104" t="s">
        <v>978</v>
      </c>
      <c r="U284" s="104" t="s">
        <v>978</v>
      </c>
      <c r="V284" s="104" t="s">
        <v>978</v>
      </c>
      <c r="W284" s="104" t="s">
        <v>978</v>
      </c>
      <c r="X284" s="104" t="s">
        <v>978</v>
      </c>
      <c r="Y284" s="104" t="s">
        <v>978</v>
      </c>
      <c r="Z284" s="104" t="s">
        <v>978</v>
      </c>
      <c r="AA284" s="104" t="s">
        <v>978</v>
      </c>
      <c r="AB284" s="104" t="s">
        <v>978</v>
      </c>
      <c r="AC284" s="104" t="s">
        <v>978</v>
      </c>
      <c r="AD284" s="104" t="s">
        <v>978</v>
      </c>
      <c r="AE284" s="104" t="s">
        <v>978</v>
      </c>
      <c r="AF284" s="104" t="s">
        <v>978</v>
      </c>
      <c r="AG284" s="104" t="s">
        <v>978</v>
      </c>
      <c r="AH284" s="104" t="s">
        <v>978</v>
      </c>
      <c r="AI284" s="104" t="s">
        <v>978</v>
      </c>
      <c r="AJ284" s="104" t="s">
        <v>978</v>
      </c>
      <c r="AK284" s="104" t="s">
        <v>978</v>
      </c>
      <c r="AL284" s="104">
        <f t="shared" si="135"/>
        <v>268326.26127200003</v>
      </c>
      <c r="AM284" s="120" t="s">
        <v>978</v>
      </c>
      <c r="AN284" s="141">
        <v>228800</v>
      </c>
      <c r="AO284" s="119" t="s">
        <v>974</v>
      </c>
      <c r="AP284" s="103" t="s">
        <v>974</v>
      </c>
      <c r="AQ284" s="103">
        <f>140000*2</f>
        <v>280000</v>
      </c>
      <c r="AR284" s="103" t="s">
        <v>974</v>
      </c>
      <c r="AS284" s="103" t="s">
        <v>974</v>
      </c>
      <c r="AT284" s="103" t="s">
        <v>974</v>
      </c>
      <c r="AU284" s="103">
        <f t="shared" si="133"/>
        <v>228800</v>
      </c>
      <c r="AV284" s="158"/>
      <c r="AW284" s="156">
        <f>+AU284</f>
        <v>228800</v>
      </c>
      <c r="AX284" s="121">
        <f t="shared" si="134"/>
        <v>228800</v>
      </c>
      <c r="AY284" s="163" t="s">
        <v>1080</v>
      </c>
      <c r="AZ284" s="160">
        <v>2</v>
      </c>
      <c r="BA284" s="138">
        <v>0</v>
      </c>
      <c r="BB284" s="138">
        <v>0</v>
      </c>
      <c r="BC284" s="139">
        <f t="shared" si="138"/>
        <v>2</v>
      </c>
      <c r="BD284" s="140">
        <f t="shared" si="128"/>
        <v>457600</v>
      </c>
    </row>
    <row r="285" spans="1:56" s="125" customFormat="1" ht="45" x14ac:dyDescent="0.2">
      <c r="A285" s="150">
        <v>17</v>
      </c>
      <c r="B285" s="148">
        <v>282</v>
      </c>
      <c r="C285" s="105">
        <v>42292904</v>
      </c>
      <c r="D285" s="106" t="s">
        <v>588</v>
      </c>
      <c r="E285" s="105" t="s">
        <v>588</v>
      </c>
      <c r="F285" s="105" t="s">
        <v>306</v>
      </c>
      <c r="G285" s="143" t="s">
        <v>978</v>
      </c>
      <c r="H285" s="143" t="s">
        <v>978</v>
      </c>
      <c r="I285" s="143" t="s">
        <v>978</v>
      </c>
      <c r="J285" s="104" t="s">
        <v>978</v>
      </c>
      <c r="K285" s="104" t="s">
        <v>978</v>
      </c>
      <c r="L285" s="104" t="s">
        <v>978</v>
      </c>
      <c r="M285" s="104" t="s">
        <v>978</v>
      </c>
      <c r="N285" s="104">
        <v>300000</v>
      </c>
      <c r="O285" s="104">
        <f t="shared" si="137"/>
        <v>331695.59999999998</v>
      </c>
      <c r="P285" s="104" t="s">
        <v>978</v>
      </c>
      <c r="Q285" s="104" t="s">
        <v>1012</v>
      </c>
      <c r="R285" s="104" t="s">
        <v>978</v>
      </c>
      <c r="S285" s="104" t="s">
        <v>978</v>
      </c>
      <c r="T285" s="104" t="s">
        <v>978</v>
      </c>
      <c r="U285" s="104" t="s">
        <v>978</v>
      </c>
      <c r="V285" s="104" t="s">
        <v>978</v>
      </c>
      <c r="W285" s="104" t="s">
        <v>978</v>
      </c>
      <c r="X285" s="104" t="s">
        <v>978</v>
      </c>
      <c r="Y285" s="104" t="s">
        <v>978</v>
      </c>
      <c r="Z285" s="104" t="s">
        <v>978</v>
      </c>
      <c r="AA285" s="104" t="s">
        <v>978</v>
      </c>
      <c r="AB285" s="104" t="s">
        <v>978</v>
      </c>
      <c r="AC285" s="104" t="s">
        <v>978</v>
      </c>
      <c r="AD285" s="104" t="s">
        <v>978</v>
      </c>
      <c r="AE285" s="104" t="s">
        <v>978</v>
      </c>
      <c r="AF285" s="104" t="s">
        <v>978</v>
      </c>
      <c r="AG285" s="104" t="s">
        <v>978</v>
      </c>
      <c r="AH285" s="104" t="s">
        <v>978</v>
      </c>
      <c r="AI285" s="104" t="s">
        <v>978</v>
      </c>
      <c r="AJ285" s="104" t="s">
        <v>978</v>
      </c>
      <c r="AK285" s="104" t="s">
        <v>978</v>
      </c>
      <c r="AL285" s="104">
        <f t="shared" si="135"/>
        <v>331695.59999999998</v>
      </c>
      <c r="AM285" s="120" t="s">
        <v>978</v>
      </c>
      <c r="AN285" s="141">
        <v>429000</v>
      </c>
      <c r="AO285" s="119" t="s">
        <v>974</v>
      </c>
      <c r="AP285" s="103" t="s">
        <v>974</v>
      </c>
      <c r="AQ285" s="142">
        <v>280000</v>
      </c>
      <c r="AR285" s="103" t="s">
        <v>974</v>
      </c>
      <c r="AS285" s="103" t="s">
        <v>974</v>
      </c>
      <c r="AT285" s="103" t="s">
        <v>974</v>
      </c>
      <c r="AU285" s="103">
        <f t="shared" si="133"/>
        <v>280000</v>
      </c>
      <c r="AV285" s="158"/>
      <c r="AW285" s="156">
        <f>+AU285</f>
        <v>280000</v>
      </c>
      <c r="AX285" s="121">
        <f t="shared" si="134"/>
        <v>280000</v>
      </c>
      <c r="AY285" s="163" t="s">
        <v>1080</v>
      </c>
      <c r="AZ285" s="160">
        <v>5</v>
      </c>
      <c r="BA285" s="138">
        <v>0</v>
      </c>
      <c r="BB285" s="138">
        <v>0</v>
      </c>
      <c r="BC285" s="139">
        <f t="shared" si="138"/>
        <v>5</v>
      </c>
      <c r="BD285" s="140">
        <f t="shared" si="128"/>
        <v>1400000</v>
      </c>
    </row>
    <row r="286" spans="1:56" s="125" customFormat="1" ht="33.75" x14ac:dyDescent="0.2">
      <c r="A286" s="150">
        <v>17</v>
      </c>
      <c r="B286" s="148">
        <v>283</v>
      </c>
      <c r="C286" s="105">
        <v>42292904</v>
      </c>
      <c r="D286" s="106" t="s">
        <v>589</v>
      </c>
      <c r="E286" s="105" t="s">
        <v>589</v>
      </c>
      <c r="F286" s="105" t="s">
        <v>306</v>
      </c>
      <c r="G286" s="143" t="s">
        <v>978</v>
      </c>
      <c r="H286" s="143" t="s">
        <v>978</v>
      </c>
      <c r="I286" s="143" t="s">
        <v>978</v>
      </c>
      <c r="J286" s="104" t="s">
        <v>978</v>
      </c>
      <c r="K286" s="104" t="s">
        <v>978</v>
      </c>
      <c r="L286" s="104" t="s">
        <v>978</v>
      </c>
      <c r="M286" s="104" t="s">
        <v>978</v>
      </c>
      <c r="N286" s="104">
        <v>257926</v>
      </c>
      <c r="O286" s="104">
        <f t="shared" si="137"/>
        <v>285176.39775199996</v>
      </c>
      <c r="P286" s="104" t="s">
        <v>978</v>
      </c>
      <c r="Q286" s="104" t="s">
        <v>1012</v>
      </c>
      <c r="R286" s="104" t="s">
        <v>978</v>
      </c>
      <c r="S286" s="104" t="s">
        <v>978</v>
      </c>
      <c r="T286" s="104">
        <v>237237</v>
      </c>
      <c r="U286" s="104">
        <f t="shared" si="136"/>
        <v>249336.08699999997</v>
      </c>
      <c r="V286" s="104" t="s">
        <v>978</v>
      </c>
      <c r="W286" s="104" t="s">
        <v>978</v>
      </c>
      <c r="X286" s="104" t="s">
        <v>978</v>
      </c>
      <c r="Y286" s="104" t="s">
        <v>978</v>
      </c>
      <c r="Z286" s="104" t="s">
        <v>978</v>
      </c>
      <c r="AA286" s="104" t="s">
        <v>978</v>
      </c>
      <c r="AB286" s="104" t="s">
        <v>978</v>
      </c>
      <c r="AC286" s="104" t="s">
        <v>978</v>
      </c>
      <c r="AD286" s="104">
        <v>202327</v>
      </c>
      <c r="AE286" s="104">
        <f>AD286*(1+5.1%)</f>
        <v>212645.677</v>
      </c>
      <c r="AF286" s="104" t="s">
        <v>978</v>
      </c>
      <c r="AG286" s="104" t="s">
        <v>978</v>
      </c>
      <c r="AH286" s="104" t="s">
        <v>978</v>
      </c>
      <c r="AI286" s="104" t="s">
        <v>978</v>
      </c>
      <c r="AJ286" s="104" t="s">
        <v>978</v>
      </c>
      <c r="AK286" s="104" t="s">
        <v>978</v>
      </c>
      <c r="AL286" s="104">
        <f t="shared" si="135"/>
        <v>249052.720584</v>
      </c>
      <c r="AM286" s="120" t="s">
        <v>978</v>
      </c>
      <c r="AN286" s="141">
        <v>429000</v>
      </c>
      <c r="AO286" s="119" t="s">
        <v>974</v>
      </c>
      <c r="AP286" s="103" t="s">
        <v>974</v>
      </c>
      <c r="AQ286" s="142">
        <v>280000</v>
      </c>
      <c r="AR286" s="103" t="s">
        <v>974</v>
      </c>
      <c r="AS286" s="103" t="s">
        <v>974</v>
      </c>
      <c r="AT286" s="103" t="s">
        <v>974</v>
      </c>
      <c r="AU286" s="103">
        <f t="shared" si="133"/>
        <v>280000</v>
      </c>
      <c r="AV286" s="158"/>
      <c r="AW286" s="156">
        <f>+AVERAGE(AL286,AU286)</f>
        <v>264526.360292</v>
      </c>
      <c r="AX286" s="121">
        <f t="shared" si="134"/>
        <v>264526</v>
      </c>
      <c r="AY286" s="163" t="s">
        <v>1073</v>
      </c>
      <c r="AZ286" s="160">
        <v>29</v>
      </c>
      <c r="BA286" s="138">
        <v>5</v>
      </c>
      <c r="BB286" s="138">
        <v>0</v>
      </c>
      <c r="BC286" s="139">
        <f t="shared" si="138"/>
        <v>34</v>
      </c>
      <c r="BD286" s="140">
        <f t="shared" si="128"/>
        <v>8993884</v>
      </c>
    </row>
    <row r="287" spans="1:56" s="125" customFormat="1" ht="33.75" x14ac:dyDescent="0.2">
      <c r="A287" s="150">
        <v>17</v>
      </c>
      <c r="B287" s="148">
        <v>284</v>
      </c>
      <c r="C287" s="105">
        <v>42292904</v>
      </c>
      <c r="D287" s="106" t="s">
        <v>590</v>
      </c>
      <c r="E287" s="105" t="s">
        <v>590</v>
      </c>
      <c r="F287" s="105" t="s">
        <v>306</v>
      </c>
      <c r="G287" s="143" t="s">
        <v>978</v>
      </c>
      <c r="H287" s="143" t="s">
        <v>978</v>
      </c>
      <c r="I287" s="143" t="s">
        <v>978</v>
      </c>
      <c r="J287" s="104" t="s">
        <v>978</v>
      </c>
      <c r="K287" s="104" t="s">
        <v>978</v>
      </c>
      <c r="L287" s="104" t="s">
        <v>978</v>
      </c>
      <c r="M287" s="104" t="s">
        <v>978</v>
      </c>
      <c r="N287" s="104">
        <v>330480</v>
      </c>
      <c r="O287" s="104">
        <f t="shared" si="137"/>
        <v>365395.87296000001</v>
      </c>
      <c r="P287" s="104" t="s">
        <v>978</v>
      </c>
      <c r="Q287" s="104" t="s">
        <v>1012</v>
      </c>
      <c r="R287" s="104" t="s">
        <v>978</v>
      </c>
      <c r="S287" s="104" t="s">
        <v>978</v>
      </c>
      <c r="T287" s="104">
        <v>284376</v>
      </c>
      <c r="U287" s="104">
        <f t="shared" si="136"/>
        <v>298879.17599999998</v>
      </c>
      <c r="V287" s="104" t="s">
        <v>978</v>
      </c>
      <c r="W287" s="104" t="s">
        <v>978</v>
      </c>
      <c r="X287" s="104" t="s">
        <v>978</v>
      </c>
      <c r="Y287" s="104" t="s">
        <v>978</v>
      </c>
      <c r="Z287" s="104" t="s">
        <v>978</v>
      </c>
      <c r="AA287" s="104" t="s">
        <v>978</v>
      </c>
      <c r="AB287" s="104" t="s">
        <v>978</v>
      </c>
      <c r="AC287" s="104" t="s">
        <v>978</v>
      </c>
      <c r="AD287" s="104" t="s">
        <v>978</v>
      </c>
      <c r="AE287" s="104" t="s">
        <v>978</v>
      </c>
      <c r="AF287" s="104" t="s">
        <v>978</v>
      </c>
      <c r="AG287" s="104" t="s">
        <v>978</v>
      </c>
      <c r="AH287" s="104" t="s">
        <v>978</v>
      </c>
      <c r="AI287" s="104" t="s">
        <v>978</v>
      </c>
      <c r="AJ287" s="104" t="s">
        <v>978</v>
      </c>
      <c r="AK287" s="104" t="s">
        <v>978</v>
      </c>
      <c r="AL287" s="104">
        <f t="shared" si="135"/>
        <v>332137.52448000002</v>
      </c>
      <c r="AM287" s="120" t="s">
        <v>978</v>
      </c>
      <c r="AN287" s="141">
        <v>429000</v>
      </c>
      <c r="AO287" s="119" t="s">
        <v>974</v>
      </c>
      <c r="AP287" s="103" t="s">
        <v>974</v>
      </c>
      <c r="AQ287" s="142">
        <v>280000</v>
      </c>
      <c r="AR287" s="103" t="s">
        <v>974</v>
      </c>
      <c r="AS287" s="103" t="s">
        <v>974</v>
      </c>
      <c r="AT287" s="103" t="s">
        <v>974</v>
      </c>
      <c r="AU287" s="103">
        <f t="shared" si="133"/>
        <v>280000</v>
      </c>
      <c r="AV287" s="158"/>
      <c r="AW287" s="156">
        <f>+AU287</f>
        <v>280000</v>
      </c>
      <c r="AX287" s="121">
        <f t="shared" si="134"/>
        <v>280000</v>
      </c>
      <c r="AY287" s="163" t="s">
        <v>1080</v>
      </c>
      <c r="AZ287" s="160">
        <v>0</v>
      </c>
      <c r="BA287" s="138">
        <v>5</v>
      </c>
      <c r="BB287" s="138">
        <v>0</v>
      </c>
      <c r="BC287" s="139">
        <f>+BA287+BB287</f>
        <v>5</v>
      </c>
      <c r="BD287" s="140">
        <f t="shared" si="128"/>
        <v>1400000</v>
      </c>
    </row>
    <row r="288" spans="1:56" s="125" customFormat="1" ht="33.75" x14ac:dyDescent="0.2">
      <c r="A288" s="150">
        <v>17</v>
      </c>
      <c r="B288" s="148">
        <v>285</v>
      </c>
      <c r="C288" s="105">
        <v>42292904</v>
      </c>
      <c r="D288" s="106" t="s">
        <v>591</v>
      </c>
      <c r="E288" s="105" t="s">
        <v>591</v>
      </c>
      <c r="F288" s="105" t="s">
        <v>306</v>
      </c>
      <c r="G288" s="143" t="s">
        <v>978</v>
      </c>
      <c r="H288" s="143" t="s">
        <v>978</v>
      </c>
      <c r="I288" s="143" t="s">
        <v>978</v>
      </c>
      <c r="J288" s="104" t="s">
        <v>978</v>
      </c>
      <c r="K288" s="104" t="s">
        <v>978</v>
      </c>
      <c r="L288" s="104" t="s">
        <v>978</v>
      </c>
      <c r="M288" s="104" t="s">
        <v>978</v>
      </c>
      <c r="N288" s="104" t="s">
        <v>978</v>
      </c>
      <c r="O288" s="104" t="s">
        <v>978</v>
      </c>
      <c r="P288" s="104" t="s">
        <v>978</v>
      </c>
      <c r="Q288" s="104" t="s">
        <v>1012</v>
      </c>
      <c r="R288" s="104" t="s">
        <v>978</v>
      </c>
      <c r="S288" s="104" t="s">
        <v>978</v>
      </c>
      <c r="T288" s="104">
        <v>146248</v>
      </c>
      <c r="U288" s="104">
        <f t="shared" si="136"/>
        <v>153706.64799999999</v>
      </c>
      <c r="V288" s="104" t="s">
        <v>978</v>
      </c>
      <c r="W288" s="104" t="s">
        <v>978</v>
      </c>
      <c r="X288" s="104" t="s">
        <v>978</v>
      </c>
      <c r="Y288" s="104" t="s">
        <v>978</v>
      </c>
      <c r="Z288" s="104" t="s">
        <v>978</v>
      </c>
      <c r="AA288" s="104" t="s">
        <v>978</v>
      </c>
      <c r="AB288" s="104" t="s">
        <v>978</v>
      </c>
      <c r="AC288" s="104" t="s">
        <v>978</v>
      </c>
      <c r="AD288" s="104" t="s">
        <v>978</v>
      </c>
      <c r="AE288" s="104" t="s">
        <v>978</v>
      </c>
      <c r="AF288" s="104" t="s">
        <v>978</v>
      </c>
      <c r="AG288" s="104" t="s">
        <v>978</v>
      </c>
      <c r="AH288" s="104" t="s">
        <v>978</v>
      </c>
      <c r="AI288" s="104" t="s">
        <v>978</v>
      </c>
      <c r="AJ288" s="104" t="s">
        <v>978</v>
      </c>
      <c r="AK288" s="104" t="s">
        <v>978</v>
      </c>
      <c r="AL288" s="104">
        <f t="shared" si="135"/>
        <v>153706.64799999999</v>
      </c>
      <c r="AM288" s="120" t="s">
        <v>978</v>
      </c>
      <c r="AN288" s="141">
        <v>429000</v>
      </c>
      <c r="AO288" s="119" t="s">
        <v>974</v>
      </c>
      <c r="AP288" s="103" t="s">
        <v>974</v>
      </c>
      <c r="AQ288" s="142">
        <v>310000</v>
      </c>
      <c r="AR288" s="103" t="s">
        <v>974</v>
      </c>
      <c r="AS288" s="103" t="s">
        <v>974</v>
      </c>
      <c r="AT288" s="103" t="s">
        <v>974</v>
      </c>
      <c r="AU288" s="103">
        <f t="shared" si="133"/>
        <v>310000</v>
      </c>
      <c r="AV288" s="158"/>
      <c r="AW288" s="156">
        <f>+AVERAGE(AL288,AU288)</f>
        <v>231853.32399999999</v>
      </c>
      <c r="AX288" s="121">
        <f t="shared" si="134"/>
        <v>231853</v>
      </c>
      <c r="AY288" s="163" t="s">
        <v>1073</v>
      </c>
      <c r="AZ288" s="160">
        <v>3</v>
      </c>
      <c r="BA288" s="138">
        <v>0</v>
      </c>
      <c r="BB288" s="138">
        <v>0</v>
      </c>
      <c r="BC288" s="139">
        <f>+AZ288+BA288+BB288</f>
        <v>3</v>
      </c>
      <c r="BD288" s="140">
        <f t="shared" si="128"/>
        <v>695559</v>
      </c>
    </row>
    <row r="289" spans="1:56" s="125" customFormat="1" ht="33.75" x14ac:dyDescent="0.2">
      <c r="A289" s="150">
        <v>17</v>
      </c>
      <c r="B289" s="148">
        <v>286</v>
      </c>
      <c r="C289" s="105">
        <v>42292904</v>
      </c>
      <c r="D289" s="106" t="s">
        <v>592</v>
      </c>
      <c r="E289" s="105" t="s">
        <v>592</v>
      </c>
      <c r="F289" s="105" t="s">
        <v>306</v>
      </c>
      <c r="G289" s="143" t="s">
        <v>978</v>
      </c>
      <c r="H289" s="143" t="s">
        <v>978</v>
      </c>
      <c r="I289" s="143" t="s">
        <v>978</v>
      </c>
      <c r="J289" s="104" t="s">
        <v>978</v>
      </c>
      <c r="K289" s="104" t="s">
        <v>978</v>
      </c>
      <c r="L289" s="104" t="s">
        <v>978</v>
      </c>
      <c r="M289" s="104" t="s">
        <v>978</v>
      </c>
      <c r="N289" s="104">
        <v>260832</v>
      </c>
      <c r="O289" s="104">
        <f t="shared" si="137"/>
        <v>288389.422464</v>
      </c>
      <c r="P289" s="104" t="s">
        <v>978</v>
      </c>
      <c r="Q289" s="104" t="s">
        <v>1012</v>
      </c>
      <c r="R289" s="104" t="s">
        <v>978</v>
      </c>
      <c r="S289" s="104" t="s">
        <v>978</v>
      </c>
      <c r="T289" s="104">
        <v>153204</v>
      </c>
      <c r="U289" s="104">
        <f t="shared" si="136"/>
        <v>161017.40399999998</v>
      </c>
      <c r="V289" s="104" t="s">
        <v>978</v>
      </c>
      <c r="W289" s="104" t="s">
        <v>978</v>
      </c>
      <c r="X289" s="104" t="s">
        <v>978</v>
      </c>
      <c r="Y289" s="104" t="s">
        <v>978</v>
      </c>
      <c r="Z289" s="104" t="s">
        <v>978</v>
      </c>
      <c r="AA289" s="104" t="s">
        <v>978</v>
      </c>
      <c r="AB289" s="104" t="s">
        <v>978</v>
      </c>
      <c r="AC289" s="104" t="s">
        <v>978</v>
      </c>
      <c r="AD289" s="104" t="s">
        <v>978</v>
      </c>
      <c r="AE289" s="104" t="s">
        <v>978</v>
      </c>
      <c r="AF289" s="104" t="s">
        <v>978</v>
      </c>
      <c r="AG289" s="104" t="s">
        <v>978</v>
      </c>
      <c r="AH289" s="104" t="s">
        <v>978</v>
      </c>
      <c r="AI289" s="104" t="s">
        <v>978</v>
      </c>
      <c r="AJ289" s="104" t="s">
        <v>978</v>
      </c>
      <c r="AK289" s="104" t="s">
        <v>978</v>
      </c>
      <c r="AL289" s="104">
        <f t="shared" si="135"/>
        <v>224703.41323199999</v>
      </c>
      <c r="AM289" s="120" t="s">
        <v>978</v>
      </c>
      <c r="AN289" s="141">
        <v>429000</v>
      </c>
      <c r="AO289" s="119" t="s">
        <v>974</v>
      </c>
      <c r="AP289" s="103" t="s">
        <v>974</v>
      </c>
      <c r="AQ289" s="142">
        <v>310000</v>
      </c>
      <c r="AR289" s="103" t="s">
        <v>974</v>
      </c>
      <c r="AS289" s="103" t="s">
        <v>974</v>
      </c>
      <c r="AT289" s="103" t="s">
        <v>974</v>
      </c>
      <c r="AU289" s="103">
        <f t="shared" si="133"/>
        <v>310000</v>
      </c>
      <c r="AV289" s="158"/>
      <c r="AW289" s="156">
        <f>+AVERAGE(AL289,AU289)</f>
        <v>267351.70661599998</v>
      </c>
      <c r="AX289" s="121">
        <f t="shared" si="134"/>
        <v>267352</v>
      </c>
      <c r="AY289" s="163" t="s">
        <v>1073</v>
      </c>
      <c r="AZ289" s="160">
        <v>8</v>
      </c>
      <c r="BA289" s="138">
        <v>0</v>
      </c>
      <c r="BB289" s="138">
        <v>0</v>
      </c>
      <c r="BC289" s="139">
        <f>+AZ289+BA289+BB289</f>
        <v>8</v>
      </c>
      <c r="BD289" s="140">
        <f t="shared" si="128"/>
        <v>2138816</v>
      </c>
    </row>
    <row r="290" spans="1:56" s="125" customFormat="1" ht="22.5" x14ac:dyDescent="0.2">
      <c r="A290" s="150">
        <v>17</v>
      </c>
      <c r="B290" s="148">
        <v>287</v>
      </c>
      <c r="C290" s="105">
        <v>42292904</v>
      </c>
      <c r="D290" s="106" t="s">
        <v>593</v>
      </c>
      <c r="E290" s="105" t="s">
        <v>813</v>
      </c>
      <c r="F290" s="105" t="s">
        <v>286</v>
      </c>
      <c r="G290" s="143" t="s">
        <v>978</v>
      </c>
      <c r="H290" s="143" t="s">
        <v>978</v>
      </c>
      <c r="I290" s="143" t="s">
        <v>978</v>
      </c>
      <c r="J290" s="104" t="s">
        <v>978</v>
      </c>
      <c r="K290" s="104" t="s">
        <v>978</v>
      </c>
      <c r="L290" s="104" t="s">
        <v>978</v>
      </c>
      <c r="M290" s="104" t="s">
        <v>978</v>
      </c>
      <c r="N290" s="104">
        <v>225806</v>
      </c>
      <c r="O290" s="104">
        <f t="shared" si="137"/>
        <v>249662.85551200001</v>
      </c>
      <c r="P290" s="104" t="s">
        <v>978</v>
      </c>
      <c r="Q290" s="104" t="s">
        <v>1012</v>
      </c>
      <c r="R290" s="104" t="s">
        <v>978</v>
      </c>
      <c r="S290" s="104" t="s">
        <v>978</v>
      </c>
      <c r="T290" s="104">
        <v>177614</v>
      </c>
      <c r="U290" s="104">
        <f t="shared" si="136"/>
        <v>186672.31399999998</v>
      </c>
      <c r="V290" s="104" t="s">
        <v>978</v>
      </c>
      <c r="W290" s="104" t="s">
        <v>978</v>
      </c>
      <c r="X290" s="104" t="s">
        <v>978</v>
      </c>
      <c r="Y290" s="104" t="s">
        <v>978</v>
      </c>
      <c r="Z290" s="104" t="s">
        <v>978</v>
      </c>
      <c r="AA290" s="104" t="s">
        <v>978</v>
      </c>
      <c r="AB290" s="104" t="s">
        <v>978</v>
      </c>
      <c r="AC290" s="104" t="s">
        <v>978</v>
      </c>
      <c r="AD290" s="104" t="s">
        <v>978</v>
      </c>
      <c r="AE290" s="104" t="s">
        <v>978</v>
      </c>
      <c r="AF290" s="104" t="s">
        <v>978</v>
      </c>
      <c r="AG290" s="104" t="s">
        <v>978</v>
      </c>
      <c r="AH290" s="104" t="s">
        <v>978</v>
      </c>
      <c r="AI290" s="104" t="s">
        <v>978</v>
      </c>
      <c r="AJ290" s="104" t="s">
        <v>978</v>
      </c>
      <c r="AK290" s="104" t="s">
        <v>978</v>
      </c>
      <c r="AL290" s="104">
        <f t="shared" si="135"/>
        <v>218167.584756</v>
      </c>
      <c r="AM290" s="120" t="s">
        <v>978</v>
      </c>
      <c r="AN290" s="141">
        <v>290290</v>
      </c>
      <c r="AO290" s="119" t="s">
        <v>974</v>
      </c>
      <c r="AP290" s="103" t="s">
        <v>974</v>
      </c>
      <c r="AQ290" s="142">
        <v>150000</v>
      </c>
      <c r="AR290" s="103" t="s">
        <v>974</v>
      </c>
      <c r="AS290" s="103" t="s">
        <v>974</v>
      </c>
      <c r="AT290" s="103" t="s">
        <v>974</v>
      </c>
      <c r="AU290" s="103">
        <f t="shared" si="133"/>
        <v>150000</v>
      </c>
      <c r="AV290" s="158"/>
      <c r="AW290" s="156">
        <f>+AU290</f>
        <v>150000</v>
      </c>
      <c r="AX290" s="121">
        <f t="shared" si="134"/>
        <v>150000</v>
      </c>
      <c r="AY290" s="163" t="s">
        <v>1080</v>
      </c>
      <c r="AZ290" s="160">
        <v>150</v>
      </c>
      <c r="BA290" s="138">
        <v>0</v>
      </c>
      <c r="BB290" s="138">
        <v>0</v>
      </c>
      <c r="BC290" s="139">
        <f>+AZ290+BA290+BB290</f>
        <v>150</v>
      </c>
      <c r="BD290" s="140">
        <f t="shared" si="128"/>
        <v>22500000</v>
      </c>
    </row>
    <row r="291" spans="1:56" s="125" customFormat="1" ht="45" x14ac:dyDescent="0.2">
      <c r="A291" s="150">
        <v>17</v>
      </c>
      <c r="B291" s="148">
        <v>288</v>
      </c>
      <c r="C291" s="105">
        <v>42151900</v>
      </c>
      <c r="D291" s="106" t="s">
        <v>611</v>
      </c>
      <c r="E291" s="105" t="s">
        <v>814</v>
      </c>
      <c r="F291" s="105" t="s">
        <v>944</v>
      </c>
      <c r="G291" s="143" t="s">
        <v>978</v>
      </c>
      <c r="H291" s="143" t="s">
        <v>978</v>
      </c>
      <c r="I291" s="143" t="s">
        <v>978</v>
      </c>
      <c r="J291" s="104" t="s">
        <v>978</v>
      </c>
      <c r="K291" s="104" t="s">
        <v>978</v>
      </c>
      <c r="L291" s="104" t="s">
        <v>978</v>
      </c>
      <c r="M291" s="104" t="s">
        <v>978</v>
      </c>
      <c r="N291" s="104" t="s">
        <v>978</v>
      </c>
      <c r="O291" s="104" t="s">
        <v>978</v>
      </c>
      <c r="P291" s="104" t="s">
        <v>978</v>
      </c>
      <c r="Q291" s="104" t="s">
        <v>1012</v>
      </c>
      <c r="R291" s="104">
        <v>49094</v>
      </c>
      <c r="S291" s="104">
        <f>R291*(1+5.2%)*(1+5.1%)</f>
        <v>54280.879287999996</v>
      </c>
      <c r="T291" s="104" t="s">
        <v>978</v>
      </c>
      <c r="U291" s="104" t="s">
        <v>978</v>
      </c>
      <c r="V291" s="104" t="s">
        <v>978</v>
      </c>
      <c r="W291" s="104" t="s">
        <v>978</v>
      </c>
      <c r="X291" s="104" t="s">
        <v>978</v>
      </c>
      <c r="Y291" s="104" t="s">
        <v>978</v>
      </c>
      <c r="Z291" s="104" t="s">
        <v>978</v>
      </c>
      <c r="AA291" s="104" t="s">
        <v>978</v>
      </c>
      <c r="AB291" s="104" t="s">
        <v>978</v>
      </c>
      <c r="AC291" s="104" t="s">
        <v>978</v>
      </c>
      <c r="AD291" s="104" t="s">
        <v>978</v>
      </c>
      <c r="AE291" s="104" t="s">
        <v>978</v>
      </c>
      <c r="AF291" s="104" t="s">
        <v>978</v>
      </c>
      <c r="AG291" s="104" t="s">
        <v>978</v>
      </c>
      <c r="AH291" s="104" t="s">
        <v>978</v>
      </c>
      <c r="AI291" s="104" t="s">
        <v>978</v>
      </c>
      <c r="AJ291" s="104" t="s">
        <v>978</v>
      </c>
      <c r="AK291" s="104" t="s">
        <v>978</v>
      </c>
      <c r="AL291" s="104">
        <f t="shared" si="135"/>
        <v>54280.879287999996</v>
      </c>
      <c r="AM291" s="120">
        <v>53000</v>
      </c>
      <c r="AN291" s="141">
        <v>92950</v>
      </c>
      <c r="AO291" s="119" t="s">
        <v>974</v>
      </c>
      <c r="AP291" s="103" t="s">
        <v>974</v>
      </c>
      <c r="AQ291" s="142">
        <v>101150</v>
      </c>
      <c r="AR291" s="103" t="s">
        <v>974</v>
      </c>
      <c r="AS291" s="103" t="s">
        <v>974</v>
      </c>
      <c r="AT291" s="103" t="s">
        <v>974</v>
      </c>
      <c r="AU291" s="103">
        <f t="shared" si="133"/>
        <v>92950</v>
      </c>
      <c r="AV291" s="158"/>
      <c r="AW291" s="156">
        <f>+AVERAGE(AL291,AU291,AM291,I291)</f>
        <v>66743.626429333337</v>
      </c>
      <c r="AX291" s="121">
        <f t="shared" si="134"/>
        <v>66744</v>
      </c>
      <c r="AY291" s="163" t="s">
        <v>1085</v>
      </c>
      <c r="AZ291" s="160">
        <v>80</v>
      </c>
      <c r="BA291" s="138">
        <v>30</v>
      </c>
      <c r="BB291" s="138">
        <v>40</v>
      </c>
      <c r="BC291" s="139">
        <f>+AZ291+BA291+BB291</f>
        <v>150</v>
      </c>
      <c r="BD291" s="140">
        <f t="shared" si="128"/>
        <v>10011600</v>
      </c>
    </row>
    <row r="292" spans="1:56" s="125" customFormat="1" ht="33.75" x14ac:dyDescent="0.2">
      <c r="A292" s="150">
        <v>17</v>
      </c>
      <c r="B292" s="148">
        <v>289</v>
      </c>
      <c r="C292" s="105">
        <v>42291613</v>
      </c>
      <c r="D292" s="106" t="s">
        <v>614</v>
      </c>
      <c r="E292" s="105" t="s">
        <v>750</v>
      </c>
      <c r="F292" s="105" t="s">
        <v>288</v>
      </c>
      <c r="G292" s="143">
        <v>65093</v>
      </c>
      <c r="H292" s="143" t="s">
        <v>978</v>
      </c>
      <c r="I292" s="143">
        <f>+G292</f>
        <v>65093</v>
      </c>
      <c r="J292" s="104" t="s">
        <v>978</v>
      </c>
      <c r="K292" s="104" t="s">
        <v>978</v>
      </c>
      <c r="L292" s="104" t="s">
        <v>978</v>
      </c>
      <c r="M292" s="104" t="s">
        <v>978</v>
      </c>
      <c r="N292" s="104" t="s">
        <v>978</v>
      </c>
      <c r="O292" s="104" t="s">
        <v>978</v>
      </c>
      <c r="P292" s="104" t="s">
        <v>978</v>
      </c>
      <c r="Q292" s="104" t="s">
        <v>1012</v>
      </c>
      <c r="R292" s="104" t="s">
        <v>978</v>
      </c>
      <c r="S292" s="104" t="s">
        <v>978</v>
      </c>
      <c r="T292" s="104" t="s">
        <v>978</v>
      </c>
      <c r="U292" s="104" t="s">
        <v>978</v>
      </c>
      <c r="V292" s="104" t="s">
        <v>978</v>
      </c>
      <c r="W292" s="104" t="s">
        <v>978</v>
      </c>
      <c r="X292" s="104" t="s">
        <v>978</v>
      </c>
      <c r="Y292" s="104" t="s">
        <v>978</v>
      </c>
      <c r="Z292" s="104" t="s">
        <v>978</v>
      </c>
      <c r="AA292" s="104" t="s">
        <v>978</v>
      </c>
      <c r="AB292" s="104" t="s">
        <v>978</v>
      </c>
      <c r="AC292" s="104" t="s">
        <v>978</v>
      </c>
      <c r="AD292" s="104" t="s">
        <v>978</v>
      </c>
      <c r="AE292" s="104" t="s">
        <v>978</v>
      </c>
      <c r="AF292" s="104" t="s">
        <v>978</v>
      </c>
      <c r="AG292" s="104" t="s">
        <v>978</v>
      </c>
      <c r="AH292" s="104">
        <v>40141</v>
      </c>
      <c r="AI292" s="104">
        <f>AH292*(1+5.1%)</f>
        <v>42188.190999999999</v>
      </c>
      <c r="AJ292" s="104" t="s">
        <v>978</v>
      </c>
      <c r="AK292" s="104" t="s">
        <v>978</v>
      </c>
      <c r="AL292" s="104" t="s">
        <v>978</v>
      </c>
      <c r="AM292" s="120" t="s">
        <v>978</v>
      </c>
      <c r="AN292" s="141">
        <v>88660</v>
      </c>
      <c r="AO292" s="119" t="s">
        <v>974</v>
      </c>
      <c r="AP292" s="103" t="s">
        <v>974</v>
      </c>
      <c r="AQ292" s="142">
        <v>59500</v>
      </c>
      <c r="AR292" s="103" t="s">
        <v>974</v>
      </c>
      <c r="AS292" s="103" t="s">
        <v>974</v>
      </c>
      <c r="AT292" s="103" t="s">
        <v>974</v>
      </c>
      <c r="AU292" s="103">
        <f t="shared" si="133"/>
        <v>59500</v>
      </c>
      <c r="AV292" s="158"/>
      <c r="AW292" s="156">
        <f>AU292</f>
        <v>59500</v>
      </c>
      <c r="AX292" s="121">
        <f>+ROUND(AW292,0)</f>
        <v>59500</v>
      </c>
      <c r="AY292" s="163" t="s">
        <v>1074</v>
      </c>
      <c r="AZ292" s="160">
        <v>0</v>
      </c>
      <c r="BA292" s="138">
        <v>0</v>
      </c>
      <c r="BB292" s="138">
        <v>6</v>
      </c>
      <c r="BC292" s="139">
        <f>+BA292+BB292</f>
        <v>6</v>
      </c>
      <c r="BD292" s="140">
        <f t="shared" si="128"/>
        <v>357000</v>
      </c>
    </row>
    <row r="293" spans="1:56" s="125" customFormat="1" ht="78.75" x14ac:dyDescent="0.2">
      <c r="A293" s="150">
        <v>17</v>
      </c>
      <c r="B293" s="148">
        <v>290</v>
      </c>
      <c r="C293" s="105">
        <v>42271903</v>
      </c>
      <c r="D293" s="106" t="s">
        <v>615</v>
      </c>
      <c r="E293" s="105" t="s">
        <v>945</v>
      </c>
      <c r="F293" s="105" t="s">
        <v>286</v>
      </c>
      <c r="G293" s="143">
        <v>3844</v>
      </c>
      <c r="H293" s="143" t="s">
        <v>978</v>
      </c>
      <c r="I293" s="144" t="s">
        <v>978</v>
      </c>
      <c r="J293" s="104" t="s">
        <v>978</v>
      </c>
      <c r="K293" s="104" t="s">
        <v>978</v>
      </c>
      <c r="L293" s="104">
        <f>37584/10</f>
        <v>3758.4</v>
      </c>
      <c r="M293" s="104">
        <f>L293*(1+5.2%)*(1+5.1%)</f>
        <v>4155.4824767999999</v>
      </c>
      <c r="N293" s="104" t="s">
        <v>978</v>
      </c>
      <c r="O293" s="104" t="s">
        <v>978</v>
      </c>
      <c r="P293" s="104" t="s">
        <v>978</v>
      </c>
      <c r="Q293" s="104" t="s">
        <v>1012</v>
      </c>
      <c r="R293" s="104" t="s">
        <v>978</v>
      </c>
      <c r="S293" s="104" t="s">
        <v>978</v>
      </c>
      <c r="T293" s="104" t="s">
        <v>978</v>
      </c>
      <c r="U293" s="104" t="s">
        <v>978</v>
      </c>
      <c r="V293" s="104" t="s">
        <v>978</v>
      </c>
      <c r="W293" s="104" t="s">
        <v>978</v>
      </c>
      <c r="X293" s="104" t="s">
        <v>978</v>
      </c>
      <c r="Y293" s="104" t="s">
        <v>978</v>
      </c>
      <c r="Z293" s="104" t="s">
        <v>978</v>
      </c>
      <c r="AA293" s="104" t="s">
        <v>978</v>
      </c>
      <c r="AB293" s="104" t="s">
        <v>978</v>
      </c>
      <c r="AC293" s="104" t="s">
        <v>978</v>
      </c>
      <c r="AD293" s="104" t="s">
        <v>978</v>
      </c>
      <c r="AE293" s="104" t="s">
        <v>978</v>
      </c>
      <c r="AF293" s="104" t="s">
        <v>978</v>
      </c>
      <c r="AG293" s="104" t="s">
        <v>978</v>
      </c>
      <c r="AH293" s="104" t="s">
        <v>978</v>
      </c>
      <c r="AI293" s="104" t="s">
        <v>978</v>
      </c>
      <c r="AJ293" s="104" t="s">
        <v>978</v>
      </c>
      <c r="AK293" s="104" t="s">
        <v>978</v>
      </c>
      <c r="AL293" s="104">
        <f>+AVERAGE(K293,M293,O293,Q293,S293,U293,W293,Y293,AA293,AC293,AE293,AG293,AI293,AK293)</f>
        <v>4155.4824767999999</v>
      </c>
      <c r="AM293" s="120">
        <v>4200</v>
      </c>
      <c r="AN293" s="141">
        <v>35750</v>
      </c>
      <c r="AO293" s="119" t="s">
        <v>974</v>
      </c>
      <c r="AP293" s="103" t="s">
        <v>974</v>
      </c>
      <c r="AQ293" s="142">
        <v>4760</v>
      </c>
      <c r="AR293" s="103" t="s">
        <v>974</v>
      </c>
      <c r="AS293" s="103" t="s">
        <v>974</v>
      </c>
      <c r="AT293" s="103" t="s">
        <v>974</v>
      </c>
      <c r="AU293" s="103">
        <f t="shared" si="133"/>
        <v>4760</v>
      </c>
      <c r="AV293" s="158"/>
      <c r="AW293" s="156">
        <f>+AVERAGE(AL293,AU293,I293,AM293)</f>
        <v>4371.8274922666669</v>
      </c>
      <c r="AX293" s="121">
        <f t="shared" ref="AX293" si="139">+ROUND(AW293,0)</f>
        <v>4372</v>
      </c>
      <c r="AY293" s="163" t="s">
        <v>1085</v>
      </c>
      <c r="AZ293" s="160">
        <v>8</v>
      </c>
      <c r="BA293" s="138">
        <v>0</v>
      </c>
      <c r="BB293" s="138">
        <v>0</v>
      </c>
      <c r="BC293" s="139">
        <f>+AZ293+BA293+BB293</f>
        <v>8</v>
      </c>
      <c r="BD293" s="140">
        <f t="shared" si="128"/>
        <v>34976</v>
      </c>
    </row>
    <row r="294" spans="1:56" s="125" customFormat="1" ht="78.75" x14ac:dyDescent="0.2">
      <c r="A294" s="150">
        <v>17</v>
      </c>
      <c r="B294" s="148">
        <v>291</v>
      </c>
      <c r="C294" s="105">
        <v>42271903</v>
      </c>
      <c r="D294" s="106" t="s">
        <v>616</v>
      </c>
      <c r="E294" s="105" t="s">
        <v>945</v>
      </c>
      <c r="F294" s="105" t="s">
        <v>286</v>
      </c>
      <c r="G294" s="143">
        <v>3844</v>
      </c>
      <c r="H294" s="143" t="s">
        <v>978</v>
      </c>
      <c r="I294" s="143">
        <f>+AVERAGE(G294:H294)</f>
        <v>3844</v>
      </c>
      <c r="J294" s="104" t="s">
        <v>978</v>
      </c>
      <c r="K294" s="104" t="s">
        <v>978</v>
      </c>
      <c r="L294" s="104">
        <f>37698/10</f>
        <v>3769.8</v>
      </c>
      <c r="M294" s="104">
        <f>L294*(1+5.2%)*(1+5.1%)</f>
        <v>4168.0869096000006</v>
      </c>
      <c r="N294" s="104" t="s">
        <v>978</v>
      </c>
      <c r="O294" s="104" t="s">
        <v>978</v>
      </c>
      <c r="P294" s="104" t="s">
        <v>978</v>
      </c>
      <c r="Q294" s="104" t="s">
        <v>1012</v>
      </c>
      <c r="R294" s="104" t="s">
        <v>978</v>
      </c>
      <c r="S294" s="104" t="s">
        <v>978</v>
      </c>
      <c r="T294" s="104" t="s">
        <v>978</v>
      </c>
      <c r="U294" s="104" t="s">
        <v>978</v>
      </c>
      <c r="V294" s="104" t="s">
        <v>978</v>
      </c>
      <c r="W294" s="104" t="s">
        <v>978</v>
      </c>
      <c r="X294" s="104" t="s">
        <v>978</v>
      </c>
      <c r="Y294" s="104" t="s">
        <v>978</v>
      </c>
      <c r="Z294" s="104" t="s">
        <v>978</v>
      </c>
      <c r="AA294" s="104" t="s">
        <v>978</v>
      </c>
      <c r="AB294" s="104" t="s">
        <v>978</v>
      </c>
      <c r="AC294" s="104" t="s">
        <v>978</v>
      </c>
      <c r="AD294" s="104" t="s">
        <v>978</v>
      </c>
      <c r="AE294" s="104" t="s">
        <v>978</v>
      </c>
      <c r="AF294" s="104" t="s">
        <v>978</v>
      </c>
      <c r="AG294" s="104" t="s">
        <v>978</v>
      </c>
      <c r="AH294" s="104" t="s">
        <v>978</v>
      </c>
      <c r="AI294" s="104" t="s">
        <v>978</v>
      </c>
      <c r="AJ294" s="104" t="s">
        <v>978</v>
      </c>
      <c r="AK294" s="104" t="s">
        <v>978</v>
      </c>
      <c r="AL294" s="104">
        <f>+AVERAGE(K294,M294,O294,Q294,S294,U294,W294,Y294,AA294,AC294,AE294,AG294,AI294,AK294)</f>
        <v>4168.0869096000006</v>
      </c>
      <c r="AM294" s="120" t="s">
        <v>978</v>
      </c>
      <c r="AN294" s="141">
        <v>35750</v>
      </c>
      <c r="AO294" s="119" t="s">
        <v>974</v>
      </c>
      <c r="AP294" s="103" t="s">
        <v>974</v>
      </c>
      <c r="AQ294" s="142">
        <v>4760</v>
      </c>
      <c r="AR294" s="103" t="s">
        <v>974</v>
      </c>
      <c r="AS294" s="103" t="s">
        <v>974</v>
      </c>
      <c r="AT294" s="103" t="s">
        <v>974</v>
      </c>
      <c r="AU294" s="103">
        <f t="shared" si="133"/>
        <v>4760</v>
      </c>
      <c r="AV294" s="158"/>
      <c r="AW294" s="156">
        <f>+AVERAGE(I294,AL294,AU294)</f>
        <v>4257.3623032000005</v>
      </c>
      <c r="AX294" s="121">
        <f>+ROUND(AW294,0)</f>
        <v>4257</v>
      </c>
      <c r="AY294" s="163" t="s">
        <v>1085</v>
      </c>
      <c r="AZ294" s="160">
        <v>12</v>
      </c>
      <c r="BA294" s="138">
        <v>0</v>
      </c>
      <c r="BB294" s="138">
        <v>0</v>
      </c>
      <c r="BC294" s="139">
        <f>+AZ294+BA294+BB294</f>
        <v>12</v>
      </c>
      <c r="BD294" s="140">
        <f t="shared" si="128"/>
        <v>51084</v>
      </c>
    </row>
    <row r="295" spans="1:56" s="125" customFormat="1" ht="146.25" x14ac:dyDescent="0.2">
      <c r="A295" s="150">
        <v>17</v>
      </c>
      <c r="B295" s="148">
        <v>292</v>
      </c>
      <c r="C295" s="105">
        <v>42272008</v>
      </c>
      <c r="D295" s="106" t="s">
        <v>404</v>
      </c>
      <c r="E295" s="105" t="s">
        <v>946</v>
      </c>
      <c r="F295" s="105" t="s">
        <v>300</v>
      </c>
      <c r="G295" s="143" t="s">
        <v>978</v>
      </c>
      <c r="H295" s="143" t="s">
        <v>978</v>
      </c>
      <c r="I295" s="143" t="s">
        <v>978</v>
      </c>
      <c r="J295" s="104" t="s">
        <v>978</v>
      </c>
      <c r="K295" s="104" t="s">
        <v>978</v>
      </c>
      <c r="L295" s="104" t="s">
        <v>978</v>
      </c>
      <c r="M295" s="104" t="s">
        <v>978</v>
      </c>
      <c r="N295" s="104" t="s">
        <v>978</v>
      </c>
      <c r="O295" s="104" t="s">
        <v>978</v>
      </c>
      <c r="P295" s="104" t="s">
        <v>978</v>
      </c>
      <c r="Q295" s="104" t="s">
        <v>1012</v>
      </c>
      <c r="R295" s="104" t="s">
        <v>978</v>
      </c>
      <c r="S295" s="104" t="s">
        <v>978</v>
      </c>
      <c r="T295" s="104" t="s">
        <v>978</v>
      </c>
      <c r="U295" s="104" t="s">
        <v>978</v>
      </c>
      <c r="V295" s="104" t="s">
        <v>978</v>
      </c>
      <c r="W295" s="104" t="s">
        <v>978</v>
      </c>
      <c r="X295" s="104" t="s">
        <v>978</v>
      </c>
      <c r="Y295" s="104" t="s">
        <v>978</v>
      </c>
      <c r="Z295" s="104" t="s">
        <v>978</v>
      </c>
      <c r="AA295" s="104" t="s">
        <v>978</v>
      </c>
      <c r="AB295" s="104" t="s">
        <v>978</v>
      </c>
      <c r="AC295" s="104" t="s">
        <v>978</v>
      </c>
      <c r="AD295" s="104" t="s">
        <v>978</v>
      </c>
      <c r="AE295" s="104" t="s">
        <v>978</v>
      </c>
      <c r="AF295" s="104" t="s">
        <v>978</v>
      </c>
      <c r="AG295" s="104" t="s">
        <v>978</v>
      </c>
      <c r="AH295" s="104" t="s">
        <v>978</v>
      </c>
      <c r="AI295" s="104" t="s">
        <v>978</v>
      </c>
      <c r="AJ295" s="104" t="s">
        <v>978</v>
      </c>
      <c r="AK295" s="104" t="s">
        <v>978</v>
      </c>
      <c r="AL295" s="104" t="s">
        <v>978</v>
      </c>
      <c r="AM295" s="120" t="s">
        <v>978</v>
      </c>
      <c r="AN295" s="141">
        <v>493350</v>
      </c>
      <c r="AO295" s="119" t="s">
        <v>974</v>
      </c>
      <c r="AP295" s="103" t="s">
        <v>974</v>
      </c>
      <c r="AQ295" s="142">
        <v>35000</v>
      </c>
      <c r="AR295" s="103" t="s">
        <v>974</v>
      </c>
      <c r="AS295" s="103" t="s">
        <v>974</v>
      </c>
      <c r="AT295" s="103" t="s">
        <v>974</v>
      </c>
      <c r="AU295" s="103">
        <f t="shared" si="133"/>
        <v>35000</v>
      </c>
      <c r="AV295" s="158"/>
      <c r="AW295" s="156">
        <f>+AVERAGE(AL295,AU295,I295,AM295)</f>
        <v>35000</v>
      </c>
      <c r="AX295" s="121">
        <f t="shared" ref="AX295" si="140">+ROUND(AW295,0)</f>
        <v>35000</v>
      </c>
      <c r="AY295" s="163" t="s">
        <v>1085</v>
      </c>
      <c r="AZ295" s="160">
        <v>0</v>
      </c>
      <c r="BA295" s="138">
        <v>1</v>
      </c>
      <c r="BB295" s="138">
        <v>0</v>
      </c>
      <c r="BC295" s="139">
        <f>+BA295+BB295</f>
        <v>1</v>
      </c>
      <c r="BD295" s="140">
        <f t="shared" si="128"/>
        <v>35000</v>
      </c>
    </row>
    <row r="296" spans="1:56" s="125" customFormat="1" ht="67.5" x14ac:dyDescent="0.2">
      <c r="A296" s="150">
        <v>17</v>
      </c>
      <c r="B296" s="148">
        <v>293</v>
      </c>
      <c r="C296" s="105">
        <v>42311523</v>
      </c>
      <c r="D296" s="106" t="s">
        <v>405</v>
      </c>
      <c r="E296" s="105" t="s">
        <v>947</v>
      </c>
      <c r="F296" s="105" t="s">
        <v>460</v>
      </c>
      <c r="G296" s="143">
        <f>5919*12</f>
        <v>71028</v>
      </c>
      <c r="H296" s="143" t="s">
        <v>978</v>
      </c>
      <c r="I296" s="143">
        <f t="shared" ref="I296:I317" si="141">+AVERAGE(G296:H296)</f>
        <v>71028</v>
      </c>
      <c r="J296" s="104" t="s">
        <v>978</v>
      </c>
      <c r="K296" s="104" t="s">
        <v>978</v>
      </c>
      <c r="L296" s="104" t="s">
        <v>978</v>
      </c>
      <c r="M296" s="104" t="s">
        <v>978</v>
      </c>
      <c r="N296" s="104" t="s">
        <v>978</v>
      </c>
      <c r="O296" s="104" t="s">
        <v>978</v>
      </c>
      <c r="P296" s="104" t="s">
        <v>978</v>
      </c>
      <c r="Q296" s="104" t="s">
        <v>1012</v>
      </c>
      <c r="R296" s="104" t="s">
        <v>978</v>
      </c>
      <c r="S296" s="104" t="s">
        <v>978</v>
      </c>
      <c r="T296" s="104" t="s">
        <v>978</v>
      </c>
      <c r="U296" s="104" t="s">
        <v>978</v>
      </c>
      <c r="V296" s="104">
        <f>5724*12</f>
        <v>68688</v>
      </c>
      <c r="W296" s="104">
        <f>V296*(1+5.1%)</f>
        <v>72191.087999999989</v>
      </c>
      <c r="X296" s="104" t="s">
        <v>978</v>
      </c>
      <c r="Y296" s="104" t="s">
        <v>978</v>
      </c>
      <c r="Z296" s="104" t="s">
        <v>978</v>
      </c>
      <c r="AA296" s="104" t="s">
        <v>978</v>
      </c>
      <c r="AB296" s="104">
        <v>26074</v>
      </c>
      <c r="AC296" s="104">
        <f t="shared" ref="AC296:AC318" si="142">AB296*(1+5.1%)</f>
        <v>27403.773999999998</v>
      </c>
      <c r="AD296" s="104" t="s">
        <v>978</v>
      </c>
      <c r="AE296" s="104" t="s">
        <v>978</v>
      </c>
      <c r="AF296" s="104" t="s">
        <v>978</v>
      </c>
      <c r="AG296" s="104" t="s">
        <v>978</v>
      </c>
      <c r="AH296" s="104" t="s">
        <v>978</v>
      </c>
      <c r="AI296" s="104" t="s">
        <v>978</v>
      </c>
      <c r="AJ296" s="104" t="s">
        <v>978</v>
      </c>
      <c r="AK296" s="104" t="s">
        <v>978</v>
      </c>
      <c r="AL296" s="104">
        <f t="shared" ref="AL296:AL318" si="143">+AVERAGE(K296,M296,O296,Q296,S296,U296,W296,Y296,AA296,AC296,AE296,AG296,AI296,AK296)</f>
        <v>49797.430999999997</v>
      </c>
      <c r="AM296" s="120" t="s">
        <v>978</v>
      </c>
      <c r="AN296" s="141">
        <v>125840</v>
      </c>
      <c r="AO296" s="119" t="s">
        <v>974</v>
      </c>
      <c r="AP296" s="103">
        <v>5000</v>
      </c>
      <c r="AQ296" s="142">
        <v>65000</v>
      </c>
      <c r="AR296" s="103" t="s">
        <v>974</v>
      </c>
      <c r="AS296" s="103" t="s">
        <v>974</v>
      </c>
      <c r="AT296" s="103" t="s">
        <v>974</v>
      </c>
      <c r="AU296" s="103">
        <f>+MIN(AN296,AO296,AQ296,AR296,AS296,AT296)</f>
        <v>65000</v>
      </c>
      <c r="AV296" s="158" t="s">
        <v>1076</v>
      </c>
      <c r="AW296" s="156">
        <f>+AU296</f>
        <v>65000</v>
      </c>
      <c r="AX296" s="121">
        <f t="shared" ref="AX296:AX323" si="144">+ROUND(AW296,0)</f>
        <v>65000</v>
      </c>
      <c r="AY296" s="163" t="s">
        <v>1082</v>
      </c>
      <c r="AZ296" s="160">
        <v>0</v>
      </c>
      <c r="BA296" s="138">
        <v>4</v>
      </c>
      <c r="BB296" s="138">
        <v>0</v>
      </c>
      <c r="BC296" s="139">
        <f>+BA296+BB296</f>
        <v>4</v>
      </c>
      <c r="BD296" s="140">
        <f t="shared" si="128"/>
        <v>260000</v>
      </c>
    </row>
    <row r="297" spans="1:56" s="125" customFormat="1" ht="78.75" x14ac:dyDescent="0.2">
      <c r="A297" s="150">
        <v>17</v>
      </c>
      <c r="B297" s="148">
        <v>294</v>
      </c>
      <c r="C297" s="105">
        <v>42311523</v>
      </c>
      <c r="D297" s="106" t="s">
        <v>406</v>
      </c>
      <c r="E297" s="105" t="s">
        <v>1038</v>
      </c>
      <c r="F297" s="105" t="s">
        <v>460</v>
      </c>
      <c r="G297" s="143">
        <f>7084*12</f>
        <v>85008</v>
      </c>
      <c r="H297" s="143" t="s">
        <v>978</v>
      </c>
      <c r="I297" s="143">
        <f t="shared" si="141"/>
        <v>85008</v>
      </c>
      <c r="J297" s="104" t="s">
        <v>978</v>
      </c>
      <c r="K297" s="104" t="s">
        <v>978</v>
      </c>
      <c r="L297" s="104" t="s">
        <v>978</v>
      </c>
      <c r="M297" s="104" t="s">
        <v>978</v>
      </c>
      <c r="N297" s="104" t="s">
        <v>978</v>
      </c>
      <c r="O297" s="104" t="s">
        <v>978</v>
      </c>
      <c r="P297" s="104" t="s">
        <v>978</v>
      </c>
      <c r="Q297" s="104" t="s">
        <v>1012</v>
      </c>
      <c r="R297" s="104" t="s">
        <v>978</v>
      </c>
      <c r="S297" s="104" t="s">
        <v>978</v>
      </c>
      <c r="T297" s="104" t="s">
        <v>978</v>
      </c>
      <c r="U297" s="104" t="s">
        <v>978</v>
      </c>
      <c r="V297" s="104">
        <f>7688*12</f>
        <v>92256</v>
      </c>
      <c r="W297" s="104">
        <f>V297*(1+5.1%)</f>
        <v>96961.055999999997</v>
      </c>
      <c r="X297" s="104" t="s">
        <v>978</v>
      </c>
      <c r="Y297" s="104" t="s">
        <v>978</v>
      </c>
      <c r="Z297" s="104" t="s">
        <v>978</v>
      </c>
      <c r="AA297" s="104" t="s">
        <v>978</v>
      </c>
      <c r="AB297" s="104">
        <v>36676</v>
      </c>
      <c r="AC297" s="104">
        <f t="shared" si="142"/>
        <v>38546.475999999995</v>
      </c>
      <c r="AD297" s="104" t="s">
        <v>978</v>
      </c>
      <c r="AE297" s="104" t="s">
        <v>978</v>
      </c>
      <c r="AF297" s="104" t="s">
        <v>978</v>
      </c>
      <c r="AG297" s="104" t="s">
        <v>978</v>
      </c>
      <c r="AH297" s="104" t="s">
        <v>978</v>
      </c>
      <c r="AI297" s="104" t="s">
        <v>978</v>
      </c>
      <c r="AJ297" s="104" t="s">
        <v>978</v>
      </c>
      <c r="AK297" s="104" t="s">
        <v>978</v>
      </c>
      <c r="AL297" s="104">
        <f t="shared" si="143"/>
        <v>67753.766000000003</v>
      </c>
      <c r="AM297" s="120" t="s">
        <v>978</v>
      </c>
      <c r="AN297" s="141">
        <v>137280</v>
      </c>
      <c r="AO297" s="119" t="s">
        <v>974</v>
      </c>
      <c r="AP297" s="103">
        <v>6000</v>
      </c>
      <c r="AQ297" s="142">
        <v>72000</v>
      </c>
      <c r="AR297" s="103" t="s">
        <v>974</v>
      </c>
      <c r="AS297" s="103" t="s">
        <v>974</v>
      </c>
      <c r="AT297" s="103" t="s">
        <v>974</v>
      </c>
      <c r="AU297" s="103">
        <f>+MIN(AN297,AO297,AQ297,AR297,AS297,AT297)</f>
        <v>72000</v>
      </c>
      <c r="AV297" s="158" t="s">
        <v>1076</v>
      </c>
      <c r="AW297" s="156">
        <f>+AVERAGE(AL297,AU297)</f>
        <v>69876.883000000002</v>
      </c>
      <c r="AX297" s="121">
        <f t="shared" si="144"/>
        <v>69877</v>
      </c>
      <c r="AY297" s="163" t="s">
        <v>1074</v>
      </c>
      <c r="AZ297" s="160">
        <v>0</v>
      </c>
      <c r="BA297" s="138">
        <v>4</v>
      </c>
      <c r="BB297" s="138">
        <v>0</v>
      </c>
      <c r="BC297" s="139">
        <f>+BA297+BB297</f>
        <v>4</v>
      </c>
      <c r="BD297" s="140">
        <f t="shared" si="128"/>
        <v>279508</v>
      </c>
    </row>
    <row r="298" spans="1:56" s="125" customFormat="1" ht="90" x14ac:dyDescent="0.2">
      <c r="A298" s="150">
        <v>17</v>
      </c>
      <c r="B298" s="148">
        <v>295</v>
      </c>
      <c r="C298" s="105">
        <v>42311523</v>
      </c>
      <c r="D298" s="106" t="s">
        <v>407</v>
      </c>
      <c r="E298" s="105" t="s">
        <v>948</v>
      </c>
      <c r="F298" s="105" t="s">
        <v>460</v>
      </c>
      <c r="G298" s="143">
        <f>8759*12</f>
        <v>105108</v>
      </c>
      <c r="H298" s="143" t="s">
        <v>978</v>
      </c>
      <c r="I298" s="143">
        <f t="shared" si="141"/>
        <v>105108</v>
      </c>
      <c r="J298" s="104" t="s">
        <v>978</v>
      </c>
      <c r="K298" s="104" t="s">
        <v>978</v>
      </c>
      <c r="L298" s="104" t="s">
        <v>978</v>
      </c>
      <c r="M298" s="104" t="s">
        <v>978</v>
      </c>
      <c r="N298" s="104" t="s">
        <v>978</v>
      </c>
      <c r="O298" s="104" t="s">
        <v>978</v>
      </c>
      <c r="P298" s="104" t="s">
        <v>978</v>
      </c>
      <c r="Q298" s="104" t="s">
        <v>1012</v>
      </c>
      <c r="R298" s="104" t="s">
        <v>978</v>
      </c>
      <c r="S298" s="104" t="s">
        <v>978</v>
      </c>
      <c r="T298" s="104" t="s">
        <v>978</v>
      </c>
      <c r="U298" s="104" t="s">
        <v>978</v>
      </c>
      <c r="V298" s="104">
        <f>9209*12</f>
        <v>110508</v>
      </c>
      <c r="W298" s="104">
        <f>V298*(1+5.1%)</f>
        <v>116143.908</v>
      </c>
      <c r="X298" s="104" t="s">
        <v>978</v>
      </c>
      <c r="Y298" s="104" t="s">
        <v>978</v>
      </c>
      <c r="Z298" s="104" t="s">
        <v>978</v>
      </c>
      <c r="AA298" s="104" t="s">
        <v>978</v>
      </c>
      <c r="AB298" s="104">
        <v>45057</v>
      </c>
      <c r="AC298" s="104">
        <f t="shared" si="142"/>
        <v>47354.906999999999</v>
      </c>
      <c r="AD298" s="104" t="s">
        <v>978</v>
      </c>
      <c r="AE298" s="104" t="s">
        <v>978</v>
      </c>
      <c r="AF298" s="104" t="s">
        <v>978</v>
      </c>
      <c r="AG298" s="104" t="s">
        <v>978</v>
      </c>
      <c r="AH298" s="104" t="s">
        <v>978</v>
      </c>
      <c r="AI298" s="104" t="s">
        <v>978</v>
      </c>
      <c r="AJ298" s="104" t="s">
        <v>978</v>
      </c>
      <c r="AK298" s="104" t="s">
        <v>978</v>
      </c>
      <c r="AL298" s="104">
        <f t="shared" si="143"/>
        <v>81749.407500000001</v>
      </c>
      <c r="AM298" s="120" t="s">
        <v>978</v>
      </c>
      <c r="AN298" s="141">
        <v>148720</v>
      </c>
      <c r="AO298" s="119" t="s">
        <v>974</v>
      </c>
      <c r="AP298" s="103">
        <v>7000</v>
      </c>
      <c r="AQ298" s="142">
        <v>86000</v>
      </c>
      <c r="AR298" s="103" t="s">
        <v>974</v>
      </c>
      <c r="AS298" s="103" t="s">
        <v>974</v>
      </c>
      <c r="AT298" s="103" t="s">
        <v>974</v>
      </c>
      <c r="AU298" s="103">
        <f>+MIN(AN298,AO298,AQ298,AR298,AS298,AT298)</f>
        <v>86000</v>
      </c>
      <c r="AV298" s="158" t="s">
        <v>1076</v>
      </c>
      <c r="AW298" s="156">
        <f>+AVERAGE(AL298,AU298)</f>
        <v>83874.703750000001</v>
      </c>
      <c r="AX298" s="121">
        <f t="shared" si="144"/>
        <v>83875</v>
      </c>
      <c r="AY298" s="163" t="s">
        <v>1074</v>
      </c>
      <c r="AZ298" s="160">
        <v>0</v>
      </c>
      <c r="BA298" s="138">
        <v>8</v>
      </c>
      <c r="BB298" s="138">
        <v>0</v>
      </c>
      <c r="BC298" s="139">
        <f>+BA298+BB298</f>
        <v>8</v>
      </c>
      <c r="BD298" s="140">
        <f t="shared" si="128"/>
        <v>671000</v>
      </c>
    </row>
    <row r="299" spans="1:56" s="125" customFormat="1" ht="90" x14ac:dyDescent="0.2">
      <c r="A299" s="150">
        <v>17</v>
      </c>
      <c r="B299" s="148">
        <v>296</v>
      </c>
      <c r="C299" s="105">
        <v>42311523</v>
      </c>
      <c r="D299" s="106" t="s">
        <v>408</v>
      </c>
      <c r="E299" s="105" t="s">
        <v>949</v>
      </c>
      <c r="F299" s="105" t="s">
        <v>460</v>
      </c>
      <c r="G299" s="143">
        <f>10602*12</f>
        <v>127224</v>
      </c>
      <c r="H299" s="143" t="s">
        <v>978</v>
      </c>
      <c r="I299" s="143">
        <f t="shared" si="141"/>
        <v>127224</v>
      </c>
      <c r="J299" s="104" t="s">
        <v>978</v>
      </c>
      <c r="K299" s="104" t="s">
        <v>978</v>
      </c>
      <c r="L299" s="104" t="s">
        <v>978</v>
      </c>
      <c r="M299" s="104" t="s">
        <v>978</v>
      </c>
      <c r="N299" s="104" t="s">
        <v>978</v>
      </c>
      <c r="O299" s="104" t="s">
        <v>978</v>
      </c>
      <c r="P299" s="104" t="s">
        <v>978</v>
      </c>
      <c r="Q299" s="104" t="s">
        <v>1012</v>
      </c>
      <c r="R299" s="104" t="s">
        <v>978</v>
      </c>
      <c r="S299" s="104" t="s">
        <v>978</v>
      </c>
      <c r="T299" s="104" t="s">
        <v>978</v>
      </c>
      <c r="U299" s="104" t="s">
        <v>978</v>
      </c>
      <c r="V299" s="104">
        <f>11311*12</f>
        <v>135732</v>
      </c>
      <c r="W299" s="104">
        <f>V299*(1+5.1%)</f>
        <v>142654.33199999999</v>
      </c>
      <c r="X299" s="104" t="s">
        <v>978</v>
      </c>
      <c r="Y299" s="104" t="s">
        <v>978</v>
      </c>
      <c r="Z299" s="104" t="s">
        <v>978</v>
      </c>
      <c r="AA299" s="104" t="s">
        <v>978</v>
      </c>
      <c r="AB299" s="104">
        <v>65650</v>
      </c>
      <c r="AC299" s="104">
        <f t="shared" si="142"/>
        <v>68998.149999999994</v>
      </c>
      <c r="AD299" s="104" t="s">
        <v>978</v>
      </c>
      <c r="AE299" s="104" t="s">
        <v>978</v>
      </c>
      <c r="AF299" s="104" t="s">
        <v>978</v>
      </c>
      <c r="AG299" s="104" t="s">
        <v>978</v>
      </c>
      <c r="AH299" s="104" t="s">
        <v>978</v>
      </c>
      <c r="AI299" s="104" t="s">
        <v>978</v>
      </c>
      <c r="AJ299" s="104" t="s">
        <v>978</v>
      </c>
      <c r="AK299" s="104" t="s">
        <v>978</v>
      </c>
      <c r="AL299" s="104">
        <f t="shared" si="143"/>
        <v>105826.24099999999</v>
      </c>
      <c r="AM299" s="120" t="s">
        <v>978</v>
      </c>
      <c r="AN299" s="141">
        <v>157300</v>
      </c>
      <c r="AO299" s="119" t="s">
        <v>974</v>
      </c>
      <c r="AP299" s="103">
        <v>8000</v>
      </c>
      <c r="AQ299" s="142">
        <v>98000</v>
      </c>
      <c r="AR299" s="103" t="s">
        <v>974</v>
      </c>
      <c r="AS299" s="103" t="s">
        <v>974</v>
      </c>
      <c r="AT299" s="103" t="s">
        <v>974</v>
      </c>
      <c r="AU299" s="103">
        <f>+MIN(AN299,AO299,AQ299,AR299,AS299,AT299)</f>
        <v>98000</v>
      </c>
      <c r="AV299" s="158" t="s">
        <v>1076</v>
      </c>
      <c r="AW299" s="156">
        <f>+AU299</f>
        <v>98000</v>
      </c>
      <c r="AX299" s="121">
        <f t="shared" si="144"/>
        <v>98000</v>
      </c>
      <c r="AY299" s="163" t="s">
        <v>1082</v>
      </c>
      <c r="AZ299" s="160">
        <v>0</v>
      </c>
      <c r="BA299" s="138">
        <v>14</v>
      </c>
      <c r="BB299" s="138">
        <v>0</v>
      </c>
      <c r="BC299" s="139">
        <f>+BA299+BB299</f>
        <v>14</v>
      </c>
      <c r="BD299" s="140">
        <f t="shared" si="128"/>
        <v>1372000</v>
      </c>
    </row>
    <row r="300" spans="1:56" s="125" customFormat="1" ht="67.5" x14ac:dyDescent="0.2">
      <c r="A300" s="150">
        <v>17</v>
      </c>
      <c r="B300" s="148">
        <v>297</v>
      </c>
      <c r="C300" s="105">
        <v>42293505</v>
      </c>
      <c r="D300" s="111" t="s">
        <v>409</v>
      </c>
      <c r="E300" s="146" t="s">
        <v>782</v>
      </c>
      <c r="F300" s="111" t="s">
        <v>1062</v>
      </c>
      <c r="G300" s="143" t="s">
        <v>978</v>
      </c>
      <c r="H300" s="143" t="s">
        <v>978</v>
      </c>
      <c r="I300" s="143" t="s">
        <v>978</v>
      </c>
      <c r="J300" s="104" t="s">
        <v>978</v>
      </c>
      <c r="K300" s="104" t="s">
        <v>978</v>
      </c>
      <c r="L300" s="104" t="s">
        <v>978</v>
      </c>
      <c r="M300" s="104" t="s">
        <v>978</v>
      </c>
      <c r="N300" s="104" t="s">
        <v>978</v>
      </c>
      <c r="O300" s="104" t="s">
        <v>978</v>
      </c>
      <c r="P300" s="104" t="s">
        <v>978</v>
      </c>
      <c r="Q300" s="104" t="s">
        <v>1012</v>
      </c>
      <c r="R300" s="104" t="s">
        <v>978</v>
      </c>
      <c r="S300" s="104" t="s">
        <v>978</v>
      </c>
      <c r="T300" s="104" t="s">
        <v>978</v>
      </c>
      <c r="U300" s="104" t="s">
        <v>978</v>
      </c>
      <c r="V300" s="104" t="s">
        <v>978</v>
      </c>
      <c r="W300" s="104" t="s">
        <v>978</v>
      </c>
      <c r="X300" s="104" t="s">
        <v>978</v>
      </c>
      <c r="Y300" s="104" t="s">
        <v>978</v>
      </c>
      <c r="Z300" s="104" t="s">
        <v>978</v>
      </c>
      <c r="AA300" s="104" t="s">
        <v>978</v>
      </c>
      <c r="AB300" s="104" t="s">
        <v>978</v>
      </c>
      <c r="AC300" s="104" t="s">
        <v>978</v>
      </c>
      <c r="AD300" s="104" t="s">
        <v>978</v>
      </c>
      <c r="AE300" s="104" t="s">
        <v>978</v>
      </c>
      <c r="AF300" s="104" t="s">
        <v>978</v>
      </c>
      <c r="AG300" s="104" t="s">
        <v>978</v>
      </c>
      <c r="AH300" s="104" t="s">
        <v>978</v>
      </c>
      <c r="AI300" s="104" t="s">
        <v>978</v>
      </c>
      <c r="AJ300" s="104" t="s">
        <v>978</v>
      </c>
      <c r="AK300" s="104" t="s">
        <v>978</v>
      </c>
      <c r="AL300" s="104" t="s">
        <v>978</v>
      </c>
      <c r="AM300" s="120" t="s">
        <v>978</v>
      </c>
      <c r="AN300" s="141">
        <v>1250000</v>
      </c>
      <c r="AO300" s="119" t="s">
        <v>974</v>
      </c>
      <c r="AP300" s="103" t="s">
        <v>974</v>
      </c>
      <c r="AQ300" s="103">
        <f>900000/30*12</f>
        <v>360000</v>
      </c>
      <c r="AR300" s="103" t="s">
        <v>974</v>
      </c>
      <c r="AS300" s="103" t="s">
        <v>974</v>
      </c>
      <c r="AT300" s="103" t="s">
        <v>974</v>
      </c>
      <c r="AU300" s="103">
        <f>+MIN(AN300:AT300)</f>
        <v>360000</v>
      </c>
      <c r="AV300" s="157"/>
      <c r="AW300" s="121">
        <f t="shared" ref="AW300:AW318" si="145">+AVERAGE(AL300,AU300)</f>
        <v>360000</v>
      </c>
      <c r="AX300" s="121">
        <f t="shared" si="144"/>
        <v>360000</v>
      </c>
      <c r="AY300" s="163" t="s">
        <v>1073</v>
      </c>
      <c r="AZ300" s="160">
        <v>180</v>
      </c>
      <c r="BA300" s="138">
        <v>75</v>
      </c>
      <c r="BB300" s="138">
        <v>0</v>
      </c>
      <c r="BC300" s="139">
        <f>+AZ300+BA300+BB300</f>
        <v>255</v>
      </c>
      <c r="BD300" s="140">
        <f t="shared" si="128"/>
        <v>91800000</v>
      </c>
    </row>
    <row r="301" spans="1:56" s="125" customFormat="1" ht="45" x14ac:dyDescent="0.2">
      <c r="A301" s="150">
        <v>17</v>
      </c>
      <c r="B301" s="148">
        <v>298</v>
      </c>
      <c r="C301" s="105">
        <v>42142108</v>
      </c>
      <c r="D301" s="106" t="s">
        <v>410</v>
      </c>
      <c r="E301" s="105" t="s">
        <v>950</v>
      </c>
      <c r="F301" s="105" t="s">
        <v>464</v>
      </c>
      <c r="G301" s="143" t="s">
        <v>978</v>
      </c>
      <c r="H301" s="143" t="s">
        <v>978</v>
      </c>
      <c r="I301" s="143" t="s">
        <v>978</v>
      </c>
      <c r="J301" s="104" t="s">
        <v>978</v>
      </c>
      <c r="K301" s="104" t="s">
        <v>978</v>
      </c>
      <c r="L301" s="104" t="s">
        <v>978</v>
      </c>
      <c r="M301" s="104" t="s">
        <v>978</v>
      </c>
      <c r="N301" s="104" t="s">
        <v>978</v>
      </c>
      <c r="O301" s="104" t="s">
        <v>978</v>
      </c>
      <c r="P301" s="104" t="s">
        <v>978</v>
      </c>
      <c r="Q301" s="104" t="s">
        <v>1012</v>
      </c>
      <c r="R301" s="104" t="s">
        <v>978</v>
      </c>
      <c r="S301" s="104" t="s">
        <v>978</v>
      </c>
      <c r="T301" s="104" t="s">
        <v>978</v>
      </c>
      <c r="U301" s="104" t="s">
        <v>978</v>
      </c>
      <c r="V301" s="104" t="s">
        <v>978</v>
      </c>
      <c r="W301" s="104" t="s">
        <v>978</v>
      </c>
      <c r="X301" s="104" t="s">
        <v>978</v>
      </c>
      <c r="Y301" s="104" t="s">
        <v>978</v>
      </c>
      <c r="Z301" s="104" t="s">
        <v>978</v>
      </c>
      <c r="AA301" s="104" t="s">
        <v>978</v>
      </c>
      <c r="AB301" s="104" t="s">
        <v>978</v>
      </c>
      <c r="AC301" s="104" t="s">
        <v>978</v>
      </c>
      <c r="AD301" s="104" t="s">
        <v>978</v>
      </c>
      <c r="AE301" s="104" t="s">
        <v>978</v>
      </c>
      <c r="AF301" s="104" t="s">
        <v>978</v>
      </c>
      <c r="AG301" s="104" t="s">
        <v>978</v>
      </c>
      <c r="AH301" s="104" t="s">
        <v>978</v>
      </c>
      <c r="AI301" s="104" t="s">
        <v>978</v>
      </c>
      <c r="AJ301" s="104" t="s">
        <v>978</v>
      </c>
      <c r="AK301" s="104" t="s">
        <v>978</v>
      </c>
      <c r="AL301" s="104" t="s">
        <v>978</v>
      </c>
      <c r="AM301" s="120" t="s">
        <v>978</v>
      </c>
      <c r="AN301" s="141">
        <v>150150</v>
      </c>
      <c r="AO301" s="119" t="s">
        <v>974</v>
      </c>
      <c r="AP301" s="103" t="s">
        <v>974</v>
      </c>
      <c r="AQ301" s="142">
        <v>148750</v>
      </c>
      <c r="AR301" s="103" t="s">
        <v>974</v>
      </c>
      <c r="AS301" s="103" t="s">
        <v>974</v>
      </c>
      <c r="AT301" s="103" t="s">
        <v>974</v>
      </c>
      <c r="AU301" s="103">
        <f>+MIN(AN301:AT301)</f>
        <v>148750</v>
      </c>
      <c r="AV301" s="103"/>
      <c r="AW301" s="121">
        <f t="shared" si="145"/>
        <v>148750</v>
      </c>
      <c r="AX301" s="121">
        <f t="shared" si="144"/>
        <v>148750</v>
      </c>
      <c r="AY301" s="163" t="s">
        <v>1073</v>
      </c>
      <c r="AZ301" s="160">
        <v>10</v>
      </c>
      <c r="BA301" s="138">
        <v>15</v>
      </c>
      <c r="BB301" s="138">
        <v>0</v>
      </c>
      <c r="BC301" s="139">
        <f>+AZ301+BA301+BB301</f>
        <v>25</v>
      </c>
      <c r="BD301" s="140">
        <f t="shared" si="128"/>
        <v>3718750</v>
      </c>
    </row>
    <row r="302" spans="1:56" s="125" customFormat="1" ht="45" x14ac:dyDescent="0.2">
      <c r="A302" s="150">
        <v>17</v>
      </c>
      <c r="B302" s="148">
        <v>299</v>
      </c>
      <c r="C302" s="105">
        <v>42142108</v>
      </c>
      <c r="D302" s="106" t="s">
        <v>689</v>
      </c>
      <c r="E302" s="105" t="s">
        <v>950</v>
      </c>
      <c r="F302" s="105" t="s">
        <v>465</v>
      </c>
      <c r="G302" s="143" t="s">
        <v>978</v>
      </c>
      <c r="H302" s="143" t="s">
        <v>978</v>
      </c>
      <c r="I302" s="143" t="s">
        <v>978</v>
      </c>
      <c r="J302" s="104" t="s">
        <v>978</v>
      </c>
      <c r="K302" s="104" t="s">
        <v>978</v>
      </c>
      <c r="L302" s="104" t="s">
        <v>978</v>
      </c>
      <c r="M302" s="104" t="s">
        <v>978</v>
      </c>
      <c r="N302" s="104" t="s">
        <v>978</v>
      </c>
      <c r="O302" s="104" t="s">
        <v>978</v>
      </c>
      <c r="P302" s="104" t="s">
        <v>978</v>
      </c>
      <c r="Q302" s="104" t="s">
        <v>1012</v>
      </c>
      <c r="R302" s="104" t="s">
        <v>978</v>
      </c>
      <c r="S302" s="104" t="s">
        <v>978</v>
      </c>
      <c r="T302" s="104" t="s">
        <v>978</v>
      </c>
      <c r="U302" s="104" t="s">
        <v>978</v>
      </c>
      <c r="V302" s="104" t="s">
        <v>978</v>
      </c>
      <c r="W302" s="104" t="s">
        <v>978</v>
      </c>
      <c r="X302" s="104" t="s">
        <v>978</v>
      </c>
      <c r="Y302" s="104" t="s">
        <v>978</v>
      </c>
      <c r="Z302" s="104" t="s">
        <v>978</v>
      </c>
      <c r="AA302" s="104" t="s">
        <v>978</v>
      </c>
      <c r="AB302" s="104" t="s">
        <v>978</v>
      </c>
      <c r="AC302" s="104" t="s">
        <v>978</v>
      </c>
      <c r="AD302" s="104" t="s">
        <v>978</v>
      </c>
      <c r="AE302" s="104" t="s">
        <v>978</v>
      </c>
      <c r="AF302" s="104" t="s">
        <v>978</v>
      </c>
      <c r="AG302" s="104" t="s">
        <v>978</v>
      </c>
      <c r="AH302" s="104" t="s">
        <v>978</v>
      </c>
      <c r="AI302" s="104" t="s">
        <v>978</v>
      </c>
      <c r="AJ302" s="104" t="s">
        <v>978</v>
      </c>
      <c r="AK302" s="104" t="s">
        <v>978</v>
      </c>
      <c r="AL302" s="104" t="s">
        <v>978</v>
      </c>
      <c r="AM302" s="120" t="s">
        <v>978</v>
      </c>
      <c r="AN302" s="141">
        <v>157300</v>
      </c>
      <c r="AO302" s="119" t="s">
        <v>974</v>
      </c>
      <c r="AP302" s="103" t="s">
        <v>974</v>
      </c>
      <c r="AQ302" s="142">
        <v>148750</v>
      </c>
      <c r="AR302" s="103" t="s">
        <v>974</v>
      </c>
      <c r="AS302" s="103" t="s">
        <v>974</v>
      </c>
      <c r="AT302" s="103" t="s">
        <v>974</v>
      </c>
      <c r="AU302" s="103">
        <f>+MIN(AN302:AT302)</f>
        <v>148750</v>
      </c>
      <c r="AV302" s="103"/>
      <c r="AW302" s="121">
        <f t="shared" si="145"/>
        <v>148750</v>
      </c>
      <c r="AX302" s="121">
        <f t="shared" si="144"/>
        <v>148750</v>
      </c>
      <c r="AY302" s="163" t="s">
        <v>1073</v>
      </c>
      <c r="AZ302" s="160">
        <v>10</v>
      </c>
      <c r="BA302" s="138">
        <v>10</v>
      </c>
      <c r="BB302" s="138">
        <v>0</v>
      </c>
      <c r="BC302" s="139">
        <f>+AZ302+BA302+BB302</f>
        <v>20</v>
      </c>
      <c r="BD302" s="140">
        <f t="shared" si="128"/>
        <v>2975000</v>
      </c>
    </row>
    <row r="303" spans="1:56" s="125" customFormat="1" ht="123.75" x14ac:dyDescent="0.2">
      <c r="A303" s="150">
        <v>17</v>
      </c>
      <c r="B303" s="148">
        <v>300</v>
      </c>
      <c r="C303" s="105">
        <v>42141802</v>
      </c>
      <c r="D303" s="106" t="s">
        <v>951</v>
      </c>
      <c r="E303" s="105" t="s">
        <v>952</v>
      </c>
      <c r="F303" s="105" t="s">
        <v>466</v>
      </c>
      <c r="G303" s="143" t="s">
        <v>978</v>
      </c>
      <c r="H303" s="143" t="s">
        <v>978</v>
      </c>
      <c r="I303" s="143" t="s">
        <v>978</v>
      </c>
      <c r="J303" s="104" t="s">
        <v>978</v>
      </c>
      <c r="K303" s="104" t="s">
        <v>978</v>
      </c>
      <c r="L303" s="104" t="s">
        <v>978</v>
      </c>
      <c r="M303" s="104" t="s">
        <v>978</v>
      </c>
      <c r="N303" s="104" t="s">
        <v>978</v>
      </c>
      <c r="O303" s="104" t="s">
        <v>978</v>
      </c>
      <c r="P303" s="104" t="s">
        <v>978</v>
      </c>
      <c r="Q303" s="104" t="s">
        <v>1012</v>
      </c>
      <c r="R303" s="104" t="s">
        <v>978</v>
      </c>
      <c r="S303" s="104" t="s">
        <v>978</v>
      </c>
      <c r="T303" s="104" t="s">
        <v>978</v>
      </c>
      <c r="U303" s="104" t="s">
        <v>978</v>
      </c>
      <c r="V303" s="104" t="s">
        <v>978</v>
      </c>
      <c r="W303" s="104" t="s">
        <v>978</v>
      </c>
      <c r="X303" s="104" t="s">
        <v>978</v>
      </c>
      <c r="Y303" s="104" t="s">
        <v>978</v>
      </c>
      <c r="Z303" s="104" t="s">
        <v>978</v>
      </c>
      <c r="AA303" s="104" t="s">
        <v>978</v>
      </c>
      <c r="AB303" s="104" t="s">
        <v>978</v>
      </c>
      <c r="AC303" s="104" t="s">
        <v>978</v>
      </c>
      <c r="AD303" s="104" t="s">
        <v>978</v>
      </c>
      <c r="AE303" s="104" t="s">
        <v>978</v>
      </c>
      <c r="AF303" s="104" t="s">
        <v>978</v>
      </c>
      <c r="AG303" s="104" t="s">
        <v>978</v>
      </c>
      <c r="AH303" s="104" t="s">
        <v>978</v>
      </c>
      <c r="AI303" s="104" t="s">
        <v>978</v>
      </c>
      <c r="AJ303" s="104" t="s">
        <v>978</v>
      </c>
      <c r="AK303" s="104" t="s">
        <v>978</v>
      </c>
      <c r="AL303" s="104" t="s">
        <v>978</v>
      </c>
      <c r="AM303" s="120" t="s">
        <v>978</v>
      </c>
      <c r="AN303" s="141">
        <v>78650</v>
      </c>
      <c r="AO303" s="119" t="s">
        <v>974</v>
      </c>
      <c r="AP303" s="103" t="s">
        <v>974</v>
      </c>
      <c r="AQ303" s="142">
        <v>101150</v>
      </c>
      <c r="AR303" s="103" t="s">
        <v>974</v>
      </c>
      <c r="AS303" s="103" t="s">
        <v>974</v>
      </c>
      <c r="AT303" s="103" t="s">
        <v>974</v>
      </c>
      <c r="AU303" s="103">
        <f>+MIN(AN303:AT303)</f>
        <v>78650</v>
      </c>
      <c r="AV303" s="103"/>
      <c r="AW303" s="121">
        <f t="shared" si="145"/>
        <v>78650</v>
      </c>
      <c r="AX303" s="121">
        <f t="shared" si="144"/>
        <v>78650</v>
      </c>
      <c r="AY303" s="163" t="s">
        <v>1073</v>
      </c>
      <c r="AZ303" s="160">
        <v>0</v>
      </c>
      <c r="BA303" s="138">
        <v>200</v>
      </c>
      <c r="BB303" s="138">
        <v>0</v>
      </c>
      <c r="BC303" s="139">
        <f>+BA303+BB303</f>
        <v>200</v>
      </c>
      <c r="BD303" s="140">
        <f t="shared" si="128"/>
        <v>15730000</v>
      </c>
    </row>
    <row r="304" spans="1:56" s="125" customFormat="1" ht="135" x14ac:dyDescent="0.2">
      <c r="A304" s="150">
        <v>17</v>
      </c>
      <c r="B304" s="148">
        <v>301</v>
      </c>
      <c r="C304" s="105">
        <v>42271709</v>
      </c>
      <c r="D304" s="106" t="s">
        <v>690</v>
      </c>
      <c r="E304" s="105" t="s">
        <v>953</v>
      </c>
      <c r="F304" s="105" t="s">
        <v>286</v>
      </c>
      <c r="G304" s="143" t="s">
        <v>978</v>
      </c>
      <c r="H304" s="143" t="s">
        <v>978</v>
      </c>
      <c r="I304" s="143" t="s">
        <v>978</v>
      </c>
      <c r="J304" s="104" t="s">
        <v>978</v>
      </c>
      <c r="K304" s="104" t="s">
        <v>978</v>
      </c>
      <c r="L304" s="104">
        <f>1537</f>
        <v>1537</v>
      </c>
      <c r="M304" s="104">
        <f t="shared" ref="M304:M316" si="146">L304*(1+5.2%)*(1+5.1%)</f>
        <v>1699.3871239999999</v>
      </c>
      <c r="N304" s="104" t="s">
        <v>978</v>
      </c>
      <c r="O304" s="104" t="s">
        <v>978</v>
      </c>
      <c r="P304" s="104" t="s">
        <v>978</v>
      </c>
      <c r="Q304" s="104" t="s">
        <v>1012</v>
      </c>
      <c r="R304" s="104" t="s">
        <v>978</v>
      </c>
      <c r="S304" s="104" t="s">
        <v>978</v>
      </c>
      <c r="T304" s="104" t="s">
        <v>978</v>
      </c>
      <c r="U304" s="104" t="s">
        <v>978</v>
      </c>
      <c r="V304" s="104" t="s">
        <v>978</v>
      </c>
      <c r="W304" s="104" t="s">
        <v>978</v>
      </c>
      <c r="X304" s="104" t="s">
        <v>978</v>
      </c>
      <c r="Y304" s="104" t="s">
        <v>978</v>
      </c>
      <c r="Z304" s="104" t="s">
        <v>978</v>
      </c>
      <c r="AA304" s="104" t="s">
        <v>978</v>
      </c>
      <c r="AB304" s="104" t="s">
        <v>978</v>
      </c>
      <c r="AC304" s="104" t="s">
        <v>978</v>
      </c>
      <c r="AD304" s="104">
        <f>1327</f>
        <v>1327</v>
      </c>
      <c r="AE304" s="104">
        <f t="shared" ref="AE304:AE309" si="147">AD304*(1+5.1%)</f>
        <v>1394.6769999999999</v>
      </c>
      <c r="AF304" s="104" t="s">
        <v>978</v>
      </c>
      <c r="AG304" s="104" t="s">
        <v>978</v>
      </c>
      <c r="AH304" s="104">
        <f>78654/50</f>
        <v>1573.08</v>
      </c>
      <c r="AI304" s="104">
        <f t="shared" ref="AI304:AI305" si="148">AH304*(1+5.1%)</f>
        <v>1653.3070799999998</v>
      </c>
      <c r="AJ304" s="104" t="s">
        <v>978</v>
      </c>
      <c r="AK304" s="104" t="s">
        <v>978</v>
      </c>
      <c r="AL304" s="104">
        <f>+AVERAGE(K304,M304,O304,Q304,S304,U304,W304,Y304,AA304,AC304,AE304,AG304,AI304,AK304)</f>
        <v>1582.4570679999997</v>
      </c>
      <c r="AM304" s="120">
        <v>2428</v>
      </c>
      <c r="AN304" s="141">
        <f>694980/50</f>
        <v>13899.6</v>
      </c>
      <c r="AO304" s="119">
        <v>2104.3166666666666</v>
      </c>
      <c r="AP304" s="103" t="s">
        <v>974</v>
      </c>
      <c r="AQ304" s="142">
        <f>107100/50</f>
        <v>2142</v>
      </c>
      <c r="AR304" s="103" t="s">
        <v>974</v>
      </c>
      <c r="AS304" s="103" t="s">
        <v>974</v>
      </c>
      <c r="AT304" s="103" t="s">
        <v>974</v>
      </c>
      <c r="AU304" s="103">
        <f>MIN(AN304:AT304)</f>
        <v>2104.3166666666666</v>
      </c>
      <c r="AV304" s="103"/>
      <c r="AW304" s="121">
        <f t="shared" si="145"/>
        <v>1843.3868673333332</v>
      </c>
      <c r="AX304" s="121">
        <f t="shared" si="144"/>
        <v>1843</v>
      </c>
      <c r="AY304" s="163" t="s">
        <v>1079</v>
      </c>
      <c r="AZ304" s="160">
        <v>636</v>
      </c>
      <c r="BA304" s="138">
        <v>120</v>
      </c>
      <c r="BB304" s="138">
        <v>0</v>
      </c>
      <c r="BC304" s="139">
        <f>+AZ304+BA304+BB304</f>
        <v>756</v>
      </c>
      <c r="BD304" s="140">
        <f t="shared" si="128"/>
        <v>1393308</v>
      </c>
    </row>
    <row r="305" spans="1:56" s="125" customFormat="1" ht="180" x14ac:dyDescent="0.2">
      <c r="A305" s="150">
        <v>17</v>
      </c>
      <c r="B305" s="148">
        <v>302</v>
      </c>
      <c r="C305" s="105">
        <v>42271709</v>
      </c>
      <c r="D305" s="106" t="s">
        <v>691</v>
      </c>
      <c r="E305" s="105" t="s">
        <v>954</v>
      </c>
      <c r="F305" s="105" t="s">
        <v>286</v>
      </c>
      <c r="G305" s="143" t="s">
        <v>978</v>
      </c>
      <c r="H305" s="143" t="s">
        <v>978</v>
      </c>
      <c r="I305" s="143" t="s">
        <v>978</v>
      </c>
      <c r="J305" s="104" t="s">
        <v>978</v>
      </c>
      <c r="K305" s="104" t="s">
        <v>978</v>
      </c>
      <c r="L305" s="104">
        <f>1569</f>
        <v>1569</v>
      </c>
      <c r="M305" s="104">
        <f t="shared" si="146"/>
        <v>1734.7679879999998</v>
      </c>
      <c r="N305" s="104" t="s">
        <v>978</v>
      </c>
      <c r="O305" s="104" t="s">
        <v>978</v>
      </c>
      <c r="P305" s="104" t="s">
        <v>978</v>
      </c>
      <c r="Q305" s="104" t="s">
        <v>1012</v>
      </c>
      <c r="R305" s="104" t="s">
        <v>978</v>
      </c>
      <c r="S305" s="104" t="s">
        <v>978</v>
      </c>
      <c r="T305" s="104" t="s">
        <v>978</v>
      </c>
      <c r="U305" s="104" t="s">
        <v>978</v>
      </c>
      <c r="V305" s="104" t="s">
        <v>978</v>
      </c>
      <c r="W305" s="104" t="s">
        <v>978</v>
      </c>
      <c r="X305" s="104" t="s">
        <v>978</v>
      </c>
      <c r="Y305" s="104" t="s">
        <v>978</v>
      </c>
      <c r="Z305" s="104" t="s">
        <v>978</v>
      </c>
      <c r="AA305" s="104" t="s">
        <v>978</v>
      </c>
      <c r="AB305" s="104" t="s">
        <v>978</v>
      </c>
      <c r="AC305" s="104" t="s">
        <v>978</v>
      </c>
      <c r="AD305" s="104">
        <f>1327</f>
        <v>1327</v>
      </c>
      <c r="AE305" s="104">
        <f t="shared" si="147"/>
        <v>1394.6769999999999</v>
      </c>
      <c r="AF305" s="104" t="s">
        <v>978</v>
      </c>
      <c r="AG305" s="104" t="s">
        <v>978</v>
      </c>
      <c r="AH305" s="104">
        <f>62424/50</f>
        <v>1248.48</v>
      </c>
      <c r="AI305" s="104">
        <f t="shared" si="148"/>
        <v>1312.15248</v>
      </c>
      <c r="AJ305" s="104" t="s">
        <v>978</v>
      </c>
      <c r="AK305" s="104" t="s">
        <v>978</v>
      </c>
      <c r="AL305" s="104">
        <f>+AVERAGE(K305,M305,O305,Q305,S305,U305,W305,Y305,AA305,AC305,AE305,AG305,AI305,AK305)</f>
        <v>1480.5324893333334</v>
      </c>
      <c r="AM305" s="120">
        <v>2428</v>
      </c>
      <c r="AN305" s="141">
        <f>694980/50</f>
        <v>13899.6</v>
      </c>
      <c r="AO305" s="119">
        <v>2859.9666666666667</v>
      </c>
      <c r="AP305" s="103" t="s">
        <v>974</v>
      </c>
      <c r="AQ305" s="142">
        <f>101150/50</f>
        <v>2023</v>
      </c>
      <c r="AR305" s="103" t="s">
        <v>974</v>
      </c>
      <c r="AS305" s="103" t="s">
        <v>974</v>
      </c>
      <c r="AT305" s="103" t="s">
        <v>974</v>
      </c>
      <c r="AU305" s="103">
        <f>MIN(AN305:AT305)</f>
        <v>2023</v>
      </c>
      <c r="AV305" s="103"/>
      <c r="AW305" s="121">
        <f t="shared" si="145"/>
        <v>1751.7662446666668</v>
      </c>
      <c r="AX305" s="121">
        <f t="shared" si="144"/>
        <v>1752</v>
      </c>
      <c r="AY305" s="163" t="s">
        <v>1079</v>
      </c>
      <c r="AZ305" s="160">
        <v>250</v>
      </c>
      <c r="BA305" s="138">
        <v>560</v>
      </c>
      <c r="BB305" s="138">
        <v>0</v>
      </c>
      <c r="BC305" s="139">
        <f>+AZ305+BA305+BB305</f>
        <v>810</v>
      </c>
      <c r="BD305" s="140">
        <f t="shared" si="128"/>
        <v>1419120</v>
      </c>
    </row>
    <row r="306" spans="1:56" s="125" customFormat="1" ht="123.75" x14ac:dyDescent="0.2">
      <c r="A306" s="150">
        <v>17</v>
      </c>
      <c r="B306" s="148">
        <v>303</v>
      </c>
      <c r="C306" s="105">
        <v>42271708</v>
      </c>
      <c r="D306" s="106" t="s">
        <v>411</v>
      </c>
      <c r="E306" s="105" t="s">
        <v>955</v>
      </c>
      <c r="F306" s="105" t="s">
        <v>286</v>
      </c>
      <c r="G306" s="143" t="s">
        <v>978</v>
      </c>
      <c r="H306" s="143" t="s">
        <v>978</v>
      </c>
      <c r="I306" s="143" t="s">
        <v>978</v>
      </c>
      <c r="J306" s="104" t="s">
        <v>978</v>
      </c>
      <c r="K306" s="104" t="s">
        <v>978</v>
      </c>
      <c r="L306" s="104" t="s">
        <v>978</v>
      </c>
      <c r="M306" s="104" t="s">
        <v>978</v>
      </c>
      <c r="N306" s="104" t="s">
        <v>978</v>
      </c>
      <c r="O306" s="104" t="s">
        <v>978</v>
      </c>
      <c r="P306" s="104" t="s">
        <v>978</v>
      </c>
      <c r="Q306" s="104" t="s">
        <v>1012</v>
      </c>
      <c r="R306" s="104" t="s">
        <v>978</v>
      </c>
      <c r="S306" s="104" t="s">
        <v>978</v>
      </c>
      <c r="T306" s="104" t="s">
        <v>978</v>
      </c>
      <c r="U306" s="104" t="s">
        <v>978</v>
      </c>
      <c r="V306" s="104" t="s">
        <v>978</v>
      </c>
      <c r="W306" s="104" t="s">
        <v>978</v>
      </c>
      <c r="X306" s="104" t="s">
        <v>978</v>
      </c>
      <c r="Y306" s="104" t="s">
        <v>978</v>
      </c>
      <c r="Z306" s="104" t="s">
        <v>978</v>
      </c>
      <c r="AA306" s="104" t="s">
        <v>978</v>
      </c>
      <c r="AB306" s="104" t="s">
        <v>978</v>
      </c>
      <c r="AC306" s="104" t="s">
        <v>978</v>
      </c>
      <c r="AD306" s="104">
        <v>2338</v>
      </c>
      <c r="AE306" s="104">
        <f t="shared" si="147"/>
        <v>2457.2379999999998</v>
      </c>
      <c r="AF306" s="104" t="s">
        <v>978</v>
      </c>
      <c r="AG306" s="104" t="s">
        <v>978</v>
      </c>
      <c r="AH306" s="104" t="s">
        <v>978</v>
      </c>
      <c r="AI306" s="104" t="s">
        <v>978</v>
      </c>
      <c r="AJ306" s="104" t="s">
        <v>978</v>
      </c>
      <c r="AK306" s="104" t="s">
        <v>978</v>
      </c>
      <c r="AL306" s="104">
        <f t="shared" si="143"/>
        <v>2457.2379999999998</v>
      </c>
      <c r="AM306" s="120" t="s">
        <v>978</v>
      </c>
      <c r="AN306" s="141">
        <v>12155</v>
      </c>
      <c r="AO306" s="119" t="s">
        <v>974</v>
      </c>
      <c r="AP306" s="103" t="s">
        <v>974</v>
      </c>
      <c r="AQ306" s="142">
        <v>4760</v>
      </c>
      <c r="AR306" s="103" t="s">
        <v>974</v>
      </c>
      <c r="AS306" s="103" t="s">
        <v>974</v>
      </c>
      <c r="AT306" s="103" t="s">
        <v>974</v>
      </c>
      <c r="AU306" s="103">
        <f t="shared" ref="AU306:AU345" si="149">+MIN(AN306:AT306)</f>
        <v>4760</v>
      </c>
      <c r="AV306" s="103"/>
      <c r="AW306" s="121">
        <f t="shared" si="145"/>
        <v>3608.6189999999997</v>
      </c>
      <c r="AX306" s="121">
        <f t="shared" si="144"/>
        <v>3609</v>
      </c>
      <c r="AY306" s="163" t="s">
        <v>1073</v>
      </c>
      <c r="AZ306" s="160">
        <v>0</v>
      </c>
      <c r="BA306" s="138">
        <v>60</v>
      </c>
      <c r="BB306" s="138">
        <v>0</v>
      </c>
      <c r="BC306" s="139">
        <f>+BA306+BB306</f>
        <v>60</v>
      </c>
      <c r="BD306" s="140">
        <f t="shared" si="128"/>
        <v>216540</v>
      </c>
    </row>
    <row r="307" spans="1:56" s="125" customFormat="1" ht="123.75" x14ac:dyDescent="0.2">
      <c r="A307" s="150">
        <v>17</v>
      </c>
      <c r="B307" s="148">
        <v>304</v>
      </c>
      <c r="C307" s="105">
        <v>42271708</v>
      </c>
      <c r="D307" s="106" t="s">
        <v>412</v>
      </c>
      <c r="E307" s="105" t="s">
        <v>956</v>
      </c>
      <c r="F307" s="105" t="s">
        <v>286</v>
      </c>
      <c r="G307" s="143" t="s">
        <v>978</v>
      </c>
      <c r="H307" s="143" t="s">
        <v>978</v>
      </c>
      <c r="I307" s="143" t="s">
        <v>978</v>
      </c>
      <c r="J307" s="104" t="s">
        <v>978</v>
      </c>
      <c r="K307" s="104" t="s">
        <v>978</v>
      </c>
      <c r="L307" s="104" t="s">
        <v>978</v>
      </c>
      <c r="M307" s="104" t="s">
        <v>978</v>
      </c>
      <c r="N307" s="104" t="s">
        <v>978</v>
      </c>
      <c r="O307" s="104" t="s">
        <v>978</v>
      </c>
      <c r="P307" s="104" t="s">
        <v>978</v>
      </c>
      <c r="Q307" s="104" t="s">
        <v>1012</v>
      </c>
      <c r="R307" s="104" t="s">
        <v>978</v>
      </c>
      <c r="S307" s="104" t="s">
        <v>978</v>
      </c>
      <c r="T307" s="104" t="s">
        <v>978</v>
      </c>
      <c r="U307" s="104" t="s">
        <v>978</v>
      </c>
      <c r="V307" s="104" t="s">
        <v>978</v>
      </c>
      <c r="W307" s="104" t="s">
        <v>978</v>
      </c>
      <c r="X307" s="104" t="s">
        <v>978</v>
      </c>
      <c r="Y307" s="104" t="s">
        <v>978</v>
      </c>
      <c r="Z307" s="104" t="s">
        <v>978</v>
      </c>
      <c r="AA307" s="104" t="s">
        <v>978</v>
      </c>
      <c r="AB307" s="104" t="s">
        <v>978</v>
      </c>
      <c r="AC307" s="104" t="s">
        <v>978</v>
      </c>
      <c r="AD307" s="104">
        <v>2338</v>
      </c>
      <c r="AE307" s="104">
        <f t="shared" si="147"/>
        <v>2457.2379999999998</v>
      </c>
      <c r="AF307" s="104" t="s">
        <v>978</v>
      </c>
      <c r="AG307" s="104" t="s">
        <v>978</v>
      </c>
      <c r="AH307" s="104" t="s">
        <v>978</v>
      </c>
      <c r="AI307" s="104" t="s">
        <v>978</v>
      </c>
      <c r="AJ307" s="104" t="s">
        <v>978</v>
      </c>
      <c r="AK307" s="104" t="s">
        <v>978</v>
      </c>
      <c r="AL307" s="104">
        <f t="shared" si="143"/>
        <v>2457.2379999999998</v>
      </c>
      <c r="AM307" s="120" t="s">
        <v>978</v>
      </c>
      <c r="AN307" s="141">
        <v>12155</v>
      </c>
      <c r="AO307" s="119" t="s">
        <v>974</v>
      </c>
      <c r="AP307" s="103" t="s">
        <v>974</v>
      </c>
      <c r="AQ307" s="142">
        <v>4760</v>
      </c>
      <c r="AR307" s="103" t="s">
        <v>974</v>
      </c>
      <c r="AS307" s="103" t="s">
        <v>974</v>
      </c>
      <c r="AT307" s="103" t="s">
        <v>974</v>
      </c>
      <c r="AU307" s="103">
        <f t="shared" si="149"/>
        <v>4760</v>
      </c>
      <c r="AV307" s="103"/>
      <c r="AW307" s="121">
        <f t="shared" si="145"/>
        <v>3608.6189999999997</v>
      </c>
      <c r="AX307" s="121">
        <f t="shared" si="144"/>
        <v>3609</v>
      </c>
      <c r="AY307" s="163" t="s">
        <v>1073</v>
      </c>
      <c r="AZ307" s="160">
        <v>0</v>
      </c>
      <c r="BA307" s="138">
        <v>6</v>
      </c>
      <c r="BB307" s="138">
        <v>0</v>
      </c>
      <c r="BC307" s="139">
        <f>+BA307+BB307</f>
        <v>6</v>
      </c>
      <c r="BD307" s="140">
        <f t="shared" si="128"/>
        <v>21654</v>
      </c>
    </row>
    <row r="308" spans="1:56" s="125" customFormat="1" ht="201.75" customHeight="1" x14ac:dyDescent="0.2">
      <c r="A308" s="150">
        <v>17</v>
      </c>
      <c r="B308" s="148">
        <v>305</v>
      </c>
      <c r="C308" s="105">
        <v>42272301</v>
      </c>
      <c r="D308" s="106" t="s">
        <v>692</v>
      </c>
      <c r="E308" s="105" t="s">
        <v>1045</v>
      </c>
      <c r="F308" s="105" t="s">
        <v>286</v>
      </c>
      <c r="G308" s="143">
        <v>100316</v>
      </c>
      <c r="H308" s="143" t="s">
        <v>978</v>
      </c>
      <c r="I308" s="143">
        <f t="shared" si="141"/>
        <v>100316</v>
      </c>
      <c r="J308" s="104" t="s">
        <v>978</v>
      </c>
      <c r="K308" s="104" t="s">
        <v>978</v>
      </c>
      <c r="L308" s="104">
        <v>65365</v>
      </c>
      <c r="M308" s="104">
        <f t="shared" si="146"/>
        <v>72270.942979999993</v>
      </c>
      <c r="N308" s="104" t="s">
        <v>978</v>
      </c>
      <c r="O308" s="104" t="s">
        <v>978</v>
      </c>
      <c r="P308" s="104" t="s">
        <v>978</v>
      </c>
      <c r="Q308" s="104" t="s">
        <v>1012</v>
      </c>
      <c r="R308" s="104" t="s">
        <v>978</v>
      </c>
      <c r="S308" s="104" t="s">
        <v>978</v>
      </c>
      <c r="T308" s="104" t="s">
        <v>978</v>
      </c>
      <c r="U308" s="104" t="s">
        <v>978</v>
      </c>
      <c r="V308" s="104" t="s">
        <v>978</v>
      </c>
      <c r="W308" s="104" t="s">
        <v>978</v>
      </c>
      <c r="X308" s="104" t="s">
        <v>978</v>
      </c>
      <c r="Y308" s="104" t="s">
        <v>978</v>
      </c>
      <c r="Z308" s="104" t="s">
        <v>978</v>
      </c>
      <c r="AA308" s="104" t="s">
        <v>978</v>
      </c>
      <c r="AB308" s="104" t="s">
        <v>978</v>
      </c>
      <c r="AC308" s="104" t="s">
        <v>978</v>
      </c>
      <c r="AD308" s="104">
        <v>57007</v>
      </c>
      <c r="AE308" s="104">
        <f t="shared" si="147"/>
        <v>59914.356999999996</v>
      </c>
      <c r="AF308" s="104" t="s">
        <v>978</v>
      </c>
      <c r="AG308" s="104" t="s">
        <v>978</v>
      </c>
      <c r="AH308" s="104">
        <v>82049</v>
      </c>
      <c r="AI308" s="104">
        <f t="shared" ref="AI308:AI316" si="150">AH308*(1+5.1%)</f>
        <v>86233.498999999996</v>
      </c>
      <c r="AJ308" s="104" t="s">
        <v>978</v>
      </c>
      <c r="AK308" s="104" t="s">
        <v>978</v>
      </c>
      <c r="AL308" s="104">
        <f t="shared" si="143"/>
        <v>72806.26632666665</v>
      </c>
      <c r="AM308" s="120">
        <v>95000</v>
      </c>
      <c r="AN308" s="141">
        <v>185900</v>
      </c>
      <c r="AO308" s="119">
        <v>81713.333333333343</v>
      </c>
      <c r="AP308" s="103" t="s">
        <v>974</v>
      </c>
      <c r="AQ308" s="142">
        <v>101150</v>
      </c>
      <c r="AR308" s="103" t="s">
        <v>974</v>
      </c>
      <c r="AS308" s="103" t="s">
        <v>974</v>
      </c>
      <c r="AT308" s="103" t="s">
        <v>974</v>
      </c>
      <c r="AU308" s="103">
        <f t="shared" si="149"/>
        <v>81713.333333333343</v>
      </c>
      <c r="AV308" s="103"/>
      <c r="AW308" s="121">
        <f t="shared" si="145"/>
        <v>77259.799830000004</v>
      </c>
      <c r="AX308" s="121">
        <f t="shared" si="144"/>
        <v>77260</v>
      </c>
      <c r="AY308" s="163" t="s">
        <v>1084</v>
      </c>
      <c r="AZ308" s="160">
        <v>0</v>
      </c>
      <c r="BA308" s="138">
        <v>6</v>
      </c>
      <c r="BB308" s="138">
        <v>0</v>
      </c>
      <c r="BC308" s="139">
        <f>+BA308+BB308</f>
        <v>6</v>
      </c>
      <c r="BD308" s="140">
        <f t="shared" si="128"/>
        <v>463560</v>
      </c>
    </row>
    <row r="309" spans="1:56" s="125" customFormat="1" ht="180" x14ac:dyDescent="0.2">
      <c r="A309" s="150">
        <v>17</v>
      </c>
      <c r="B309" s="148">
        <v>306</v>
      </c>
      <c r="C309" s="105">
        <v>42272301</v>
      </c>
      <c r="D309" s="106" t="s">
        <v>693</v>
      </c>
      <c r="E309" s="105" t="s">
        <v>783</v>
      </c>
      <c r="F309" s="105" t="s">
        <v>286</v>
      </c>
      <c r="G309" s="143">
        <v>102292</v>
      </c>
      <c r="H309" s="143" t="s">
        <v>978</v>
      </c>
      <c r="I309" s="143">
        <f t="shared" si="141"/>
        <v>102292</v>
      </c>
      <c r="J309" s="104" t="s">
        <v>978</v>
      </c>
      <c r="K309" s="104" t="s">
        <v>978</v>
      </c>
      <c r="L309" s="104">
        <v>65365</v>
      </c>
      <c r="M309" s="104">
        <f t="shared" si="146"/>
        <v>72270.942979999993</v>
      </c>
      <c r="N309" s="104" t="s">
        <v>978</v>
      </c>
      <c r="O309" s="104" t="s">
        <v>978</v>
      </c>
      <c r="P309" s="104" t="s">
        <v>978</v>
      </c>
      <c r="Q309" s="104" t="s">
        <v>1012</v>
      </c>
      <c r="R309" s="104" t="s">
        <v>978</v>
      </c>
      <c r="S309" s="104" t="s">
        <v>978</v>
      </c>
      <c r="T309" s="104" t="s">
        <v>978</v>
      </c>
      <c r="U309" s="104" t="s">
        <v>978</v>
      </c>
      <c r="V309" s="104" t="s">
        <v>978</v>
      </c>
      <c r="W309" s="104" t="s">
        <v>978</v>
      </c>
      <c r="X309" s="104" t="s">
        <v>978</v>
      </c>
      <c r="Y309" s="104" t="s">
        <v>978</v>
      </c>
      <c r="Z309" s="104" t="s">
        <v>978</v>
      </c>
      <c r="AA309" s="104" t="s">
        <v>978</v>
      </c>
      <c r="AB309" s="104" t="s">
        <v>978</v>
      </c>
      <c r="AC309" s="104" t="s">
        <v>978</v>
      </c>
      <c r="AD309" s="104">
        <v>57007</v>
      </c>
      <c r="AE309" s="104">
        <f t="shared" si="147"/>
        <v>59914.356999999996</v>
      </c>
      <c r="AF309" s="104" t="s">
        <v>978</v>
      </c>
      <c r="AG309" s="104" t="s">
        <v>978</v>
      </c>
      <c r="AH309" s="104">
        <v>84193</v>
      </c>
      <c r="AI309" s="104">
        <f t="shared" si="150"/>
        <v>88486.842999999993</v>
      </c>
      <c r="AJ309" s="104" t="s">
        <v>978</v>
      </c>
      <c r="AK309" s="104" t="s">
        <v>978</v>
      </c>
      <c r="AL309" s="104">
        <f t="shared" si="143"/>
        <v>73557.380993333325</v>
      </c>
      <c r="AM309" s="120">
        <v>95000</v>
      </c>
      <c r="AN309" s="141">
        <v>185900</v>
      </c>
      <c r="AO309" s="119">
        <v>83756.166666666686</v>
      </c>
      <c r="AP309" s="103" t="s">
        <v>974</v>
      </c>
      <c r="AQ309" s="142">
        <v>101150</v>
      </c>
      <c r="AR309" s="103" t="s">
        <v>974</v>
      </c>
      <c r="AS309" s="103" t="s">
        <v>974</v>
      </c>
      <c r="AT309" s="103" t="s">
        <v>974</v>
      </c>
      <c r="AU309" s="103">
        <f t="shared" si="149"/>
        <v>83756.166666666686</v>
      </c>
      <c r="AV309" s="103"/>
      <c r="AW309" s="121">
        <f t="shared" si="145"/>
        <v>78656.773830000006</v>
      </c>
      <c r="AX309" s="121">
        <f t="shared" si="144"/>
        <v>78657</v>
      </c>
      <c r="AY309" s="163" t="s">
        <v>1084</v>
      </c>
      <c r="AZ309" s="160">
        <v>0</v>
      </c>
      <c r="BA309" s="138">
        <v>3</v>
      </c>
      <c r="BB309" s="138">
        <v>0</v>
      </c>
      <c r="BC309" s="139">
        <f>+BA309+BB309</f>
        <v>3</v>
      </c>
      <c r="BD309" s="140">
        <f t="shared" si="128"/>
        <v>235971</v>
      </c>
    </row>
    <row r="310" spans="1:56" s="125" customFormat="1" ht="101.25" x14ac:dyDescent="0.2">
      <c r="A310" s="150">
        <v>17</v>
      </c>
      <c r="B310" s="148">
        <v>307</v>
      </c>
      <c r="C310" s="105">
        <v>42271903</v>
      </c>
      <c r="D310" s="106" t="s">
        <v>413</v>
      </c>
      <c r="E310" s="105" t="s">
        <v>957</v>
      </c>
      <c r="F310" s="105" t="s">
        <v>458</v>
      </c>
      <c r="G310" s="143">
        <f t="shared" ref="G310:G317" si="151">4974*10</f>
        <v>49740</v>
      </c>
      <c r="H310" s="143" t="s">
        <v>978</v>
      </c>
      <c r="I310" s="143">
        <f t="shared" si="141"/>
        <v>49740</v>
      </c>
      <c r="J310" s="104" t="s">
        <v>978</v>
      </c>
      <c r="K310" s="104" t="s">
        <v>978</v>
      </c>
      <c r="L310" s="104">
        <f>37584</f>
        <v>37584</v>
      </c>
      <c r="M310" s="104">
        <f t="shared" si="146"/>
        <v>41554.824767999999</v>
      </c>
      <c r="N310" s="104" t="s">
        <v>978</v>
      </c>
      <c r="O310" s="104" t="s">
        <v>978</v>
      </c>
      <c r="P310" s="104" t="s">
        <v>978</v>
      </c>
      <c r="Q310" s="104" t="s">
        <v>1012</v>
      </c>
      <c r="R310" s="104" t="s">
        <v>978</v>
      </c>
      <c r="S310" s="104" t="s">
        <v>978</v>
      </c>
      <c r="T310" s="104" t="s">
        <v>978</v>
      </c>
      <c r="U310" s="104" t="s">
        <v>978</v>
      </c>
      <c r="V310" s="104" t="s">
        <v>978</v>
      </c>
      <c r="W310" s="104" t="s">
        <v>978</v>
      </c>
      <c r="X310" s="104" t="s">
        <v>978</v>
      </c>
      <c r="Y310" s="104" t="s">
        <v>978</v>
      </c>
      <c r="Z310" s="104" t="s">
        <v>978</v>
      </c>
      <c r="AA310" s="104" t="s">
        <v>978</v>
      </c>
      <c r="AB310" s="104">
        <f>3047*10</f>
        <v>30470</v>
      </c>
      <c r="AC310" s="104">
        <f t="shared" si="142"/>
        <v>32023.969999999998</v>
      </c>
      <c r="AD310" s="104" t="s">
        <v>978</v>
      </c>
      <c r="AE310" s="104" t="s">
        <v>978</v>
      </c>
      <c r="AF310" s="104" t="s">
        <v>978</v>
      </c>
      <c r="AG310" s="104" t="s">
        <v>978</v>
      </c>
      <c r="AH310" s="104">
        <v>2774.8</v>
      </c>
      <c r="AI310" s="104">
        <f t="shared" si="150"/>
        <v>2916.3148000000001</v>
      </c>
      <c r="AJ310" s="104" t="s">
        <v>978</v>
      </c>
      <c r="AK310" s="104" t="s">
        <v>978</v>
      </c>
      <c r="AL310" s="104">
        <f t="shared" si="143"/>
        <v>25498.369855999994</v>
      </c>
      <c r="AM310" s="120">
        <v>64811</v>
      </c>
      <c r="AN310" s="141">
        <v>35750</v>
      </c>
      <c r="AO310" s="119" t="s">
        <v>974</v>
      </c>
      <c r="AP310" s="103" t="s">
        <v>974</v>
      </c>
      <c r="AQ310" s="142">
        <f t="shared" ref="AQ310:AQ318" si="152">4760*10</f>
        <v>47600</v>
      </c>
      <c r="AR310" s="103" t="s">
        <v>974</v>
      </c>
      <c r="AS310" s="103" t="s">
        <v>974</v>
      </c>
      <c r="AT310" s="103" t="s">
        <v>974</v>
      </c>
      <c r="AU310" s="103">
        <f t="shared" si="149"/>
        <v>35750</v>
      </c>
      <c r="AV310" s="103"/>
      <c r="AW310" s="121">
        <f t="shared" si="145"/>
        <v>30624.184927999995</v>
      </c>
      <c r="AX310" s="121">
        <f t="shared" si="144"/>
        <v>30624</v>
      </c>
      <c r="AY310" s="163" t="s">
        <v>1084</v>
      </c>
      <c r="AZ310" s="160">
        <v>8</v>
      </c>
      <c r="BA310" s="138">
        <v>1</v>
      </c>
      <c r="BB310" s="138">
        <v>0</v>
      </c>
      <c r="BC310" s="139">
        <f t="shared" ref="BC310:BC315" si="153">+AZ310+BA310+BB310</f>
        <v>9</v>
      </c>
      <c r="BD310" s="140">
        <f t="shared" si="128"/>
        <v>275616</v>
      </c>
    </row>
    <row r="311" spans="1:56" s="125" customFormat="1" ht="101.25" x14ac:dyDescent="0.2">
      <c r="A311" s="150">
        <v>17</v>
      </c>
      <c r="B311" s="148">
        <v>308</v>
      </c>
      <c r="C311" s="105">
        <v>42271903</v>
      </c>
      <c r="D311" s="106" t="s">
        <v>414</v>
      </c>
      <c r="E311" s="105" t="s">
        <v>957</v>
      </c>
      <c r="F311" s="105" t="s">
        <v>458</v>
      </c>
      <c r="G311" s="143">
        <f t="shared" si="151"/>
        <v>49740</v>
      </c>
      <c r="H311" s="143" t="s">
        <v>978</v>
      </c>
      <c r="I311" s="143">
        <f t="shared" si="141"/>
        <v>49740</v>
      </c>
      <c r="J311" s="104" t="s">
        <v>978</v>
      </c>
      <c r="K311" s="104" t="s">
        <v>978</v>
      </c>
      <c r="L311" s="104">
        <f>37584</f>
        <v>37584</v>
      </c>
      <c r="M311" s="104">
        <f t="shared" si="146"/>
        <v>41554.824767999999</v>
      </c>
      <c r="N311" s="104" t="s">
        <v>978</v>
      </c>
      <c r="O311" s="104" t="s">
        <v>978</v>
      </c>
      <c r="P311" s="104" t="s">
        <v>978</v>
      </c>
      <c r="Q311" s="104" t="s">
        <v>1012</v>
      </c>
      <c r="R311" s="104" t="s">
        <v>978</v>
      </c>
      <c r="S311" s="104" t="s">
        <v>978</v>
      </c>
      <c r="T311" s="104" t="s">
        <v>978</v>
      </c>
      <c r="U311" s="104" t="s">
        <v>978</v>
      </c>
      <c r="V311" s="104" t="s">
        <v>978</v>
      </c>
      <c r="W311" s="104" t="s">
        <v>978</v>
      </c>
      <c r="X311" s="104" t="s">
        <v>978</v>
      </c>
      <c r="Y311" s="104" t="s">
        <v>978</v>
      </c>
      <c r="Z311" s="104" t="s">
        <v>978</v>
      </c>
      <c r="AA311" s="104" t="s">
        <v>978</v>
      </c>
      <c r="AB311" s="104">
        <f>3047*10</f>
        <v>30470</v>
      </c>
      <c r="AC311" s="104">
        <f t="shared" si="142"/>
        <v>32023.969999999998</v>
      </c>
      <c r="AD311" s="104" t="s">
        <v>978</v>
      </c>
      <c r="AE311" s="104" t="s">
        <v>978</v>
      </c>
      <c r="AF311" s="104" t="s">
        <v>978</v>
      </c>
      <c r="AG311" s="104" t="s">
        <v>978</v>
      </c>
      <c r="AH311" s="104">
        <v>2774.8</v>
      </c>
      <c r="AI311" s="104">
        <f t="shared" si="150"/>
        <v>2916.3148000000001</v>
      </c>
      <c r="AJ311" s="104" t="s">
        <v>978</v>
      </c>
      <c r="AK311" s="104" t="s">
        <v>978</v>
      </c>
      <c r="AL311" s="104">
        <f t="shared" si="143"/>
        <v>25498.369855999994</v>
      </c>
      <c r="AM311" s="120">
        <v>64811</v>
      </c>
      <c r="AN311" s="141">
        <v>35750</v>
      </c>
      <c r="AO311" s="119" t="s">
        <v>974</v>
      </c>
      <c r="AP311" s="103" t="s">
        <v>974</v>
      </c>
      <c r="AQ311" s="142">
        <f t="shared" si="152"/>
        <v>47600</v>
      </c>
      <c r="AR311" s="103" t="s">
        <v>974</v>
      </c>
      <c r="AS311" s="103" t="s">
        <v>974</v>
      </c>
      <c r="AT311" s="103" t="s">
        <v>974</v>
      </c>
      <c r="AU311" s="103">
        <f t="shared" si="149"/>
        <v>35750</v>
      </c>
      <c r="AV311" s="103"/>
      <c r="AW311" s="121">
        <f t="shared" si="145"/>
        <v>30624.184927999995</v>
      </c>
      <c r="AX311" s="121">
        <f t="shared" si="144"/>
        <v>30624</v>
      </c>
      <c r="AY311" s="163" t="s">
        <v>1084</v>
      </c>
      <c r="AZ311" s="160">
        <v>8</v>
      </c>
      <c r="BA311" s="138">
        <v>1</v>
      </c>
      <c r="BB311" s="138">
        <v>0</v>
      </c>
      <c r="BC311" s="139">
        <f t="shared" si="153"/>
        <v>9</v>
      </c>
      <c r="BD311" s="140">
        <f t="shared" si="128"/>
        <v>275616</v>
      </c>
    </row>
    <row r="312" spans="1:56" s="125" customFormat="1" ht="101.25" x14ac:dyDescent="0.2">
      <c r="A312" s="150">
        <v>17</v>
      </c>
      <c r="B312" s="148">
        <v>309</v>
      </c>
      <c r="C312" s="105">
        <v>42271903</v>
      </c>
      <c r="D312" s="106" t="s">
        <v>415</v>
      </c>
      <c r="E312" s="105" t="s">
        <v>957</v>
      </c>
      <c r="F312" s="105" t="s">
        <v>458</v>
      </c>
      <c r="G312" s="143">
        <f t="shared" si="151"/>
        <v>49740</v>
      </c>
      <c r="H312" s="143" t="s">
        <v>978</v>
      </c>
      <c r="I312" s="143">
        <f t="shared" si="141"/>
        <v>49740</v>
      </c>
      <c r="J312" s="104" t="s">
        <v>978</v>
      </c>
      <c r="K312" s="104" t="s">
        <v>978</v>
      </c>
      <c r="L312" s="104">
        <f>45309</f>
        <v>45309</v>
      </c>
      <c r="M312" s="104">
        <f t="shared" si="146"/>
        <v>50095.986467999996</v>
      </c>
      <c r="N312" s="104" t="s">
        <v>978</v>
      </c>
      <c r="O312" s="104" t="s">
        <v>978</v>
      </c>
      <c r="P312" s="104" t="s">
        <v>978</v>
      </c>
      <c r="Q312" s="104" t="s">
        <v>1012</v>
      </c>
      <c r="R312" s="104" t="s">
        <v>978</v>
      </c>
      <c r="S312" s="104" t="s">
        <v>978</v>
      </c>
      <c r="T312" s="104" t="s">
        <v>978</v>
      </c>
      <c r="U312" s="104" t="s">
        <v>978</v>
      </c>
      <c r="V312" s="104" t="s">
        <v>978</v>
      </c>
      <c r="W312" s="104" t="s">
        <v>978</v>
      </c>
      <c r="X312" s="104" t="s">
        <v>978</v>
      </c>
      <c r="Y312" s="104" t="s">
        <v>978</v>
      </c>
      <c r="Z312" s="104" t="s">
        <v>978</v>
      </c>
      <c r="AA312" s="104" t="s">
        <v>978</v>
      </c>
      <c r="AB312" s="104">
        <f>3151*10</f>
        <v>31510</v>
      </c>
      <c r="AC312" s="104">
        <f t="shared" si="142"/>
        <v>33117.009999999995</v>
      </c>
      <c r="AD312" s="104" t="s">
        <v>978</v>
      </c>
      <c r="AE312" s="104" t="s">
        <v>978</v>
      </c>
      <c r="AF312" s="104" t="s">
        <v>978</v>
      </c>
      <c r="AG312" s="104" t="s">
        <v>978</v>
      </c>
      <c r="AH312" s="104">
        <v>2861.1</v>
      </c>
      <c r="AI312" s="104">
        <f t="shared" si="150"/>
        <v>3007.0160999999998</v>
      </c>
      <c r="AJ312" s="104" t="s">
        <v>978</v>
      </c>
      <c r="AK312" s="104" t="s">
        <v>978</v>
      </c>
      <c r="AL312" s="104">
        <f t="shared" si="143"/>
        <v>28740.004189333329</v>
      </c>
      <c r="AM312" s="120">
        <v>64811</v>
      </c>
      <c r="AN312" s="141">
        <v>35750</v>
      </c>
      <c r="AO312" s="119" t="s">
        <v>974</v>
      </c>
      <c r="AP312" s="103" t="s">
        <v>974</v>
      </c>
      <c r="AQ312" s="142">
        <f t="shared" si="152"/>
        <v>47600</v>
      </c>
      <c r="AR312" s="103" t="s">
        <v>974</v>
      </c>
      <c r="AS312" s="103" t="s">
        <v>974</v>
      </c>
      <c r="AT312" s="103" t="s">
        <v>974</v>
      </c>
      <c r="AU312" s="103">
        <f t="shared" si="149"/>
        <v>35750</v>
      </c>
      <c r="AV312" s="103"/>
      <c r="AW312" s="121">
        <f t="shared" si="145"/>
        <v>32245.002094666663</v>
      </c>
      <c r="AX312" s="121">
        <f t="shared" si="144"/>
        <v>32245</v>
      </c>
      <c r="AY312" s="163" t="s">
        <v>1084</v>
      </c>
      <c r="AZ312" s="160">
        <v>8</v>
      </c>
      <c r="BA312" s="138">
        <v>1</v>
      </c>
      <c r="BB312" s="138">
        <v>0</v>
      </c>
      <c r="BC312" s="139">
        <f t="shared" si="153"/>
        <v>9</v>
      </c>
      <c r="BD312" s="140">
        <f t="shared" si="128"/>
        <v>290205</v>
      </c>
    </row>
    <row r="313" spans="1:56" s="125" customFormat="1" ht="101.25" x14ac:dyDescent="0.2">
      <c r="A313" s="150">
        <v>17</v>
      </c>
      <c r="B313" s="148">
        <v>310</v>
      </c>
      <c r="C313" s="105">
        <v>42271903</v>
      </c>
      <c r="D313" s="106" t="s">
        <v>416</v>
      </c>
      <c r="E313" s="105" t="s">
        <v>957</v>
      </c>
      <c r="F313" s="105" t="s">
        <v>458</v>
      </c>
      <c r="G313" s="143">
        <f t="shared" si="151"/>
        <v>49740</v>
      </c>
      <c r="H313" s="143" t="s">
        <v>978</v>
      </c>
      <c r="I313" s="143">
        <f t="shared" si="141"/>
        <v>49740</v>
      </c>
      <c r="J313" s="104" t="s">
        <v>978</v>
      </c>
      <c r="K313" s="104" t="s">
        <v>978</v>
      </c>
      <c r="L313" s="104">
        <f>37698</f>
        <v>37698</v>
      </c>
      <c r="M313" s="104">
        <f t="shared" si="146"/>
        <v>41680.869096000002</v>
      </c>
      <c r="N313" s="104" t="s">
        <v>978</v>
      </c>
      <c r="O313" s="104" t="s">
        <v>978</v>
      </c>
      <c r="P313" s="104" t="s">
        <v>978</v>
      </c>
      <c r="Q313" s="104" t="s">
        <v>1012</v>
      </c>
      <c r="R313" s="104" t="s">
        <v>978</v>
      </c>
      <c r="S313" s="104" t="s">
        <v>978</v>
      </c>
      <c r="T313" s="104" t="s">
        <v>978</v>
      </c>
      <c r="U313" s="104" t="s">
        <v>978</v>
      </c>
      <c r="V313" s="104" t="s">
        <v>978</v>
      </c>
      <c r="W313" s="104" t="s">
        <v>978</v>
      </c>
      <c r="X313" s="104" t="s">
        <v>978</v>
      </c>
      <c r="Y313" s="104" t="s">
        <v>978</v>
      </c>
      <c r="Z313" s="104" t="s">
        <v>978</v>
      </c>
      <c r="AA313" s="104" t="s">
        <v>978</v>
      </c>
      <c r="AB313" s="104">
        <f>3186*10</f>
        <v>31860</v>
      </c>
      <c r="AC313" s="104">
        <f t="shared" si="142"/>
        <v>33484.86</v>
      </c>
      <c r="AD313" s="104" t="s">
        <v>978</v>
      </c>
      <c r="AE313" s="104" t="s">
        <v>978</v>
      </c>
      <c r="AF313" s="104" t="s">
        <v>978</v>
      </c>
      <c r="AG313" s="104" t="s">
        <v>978</v>
      </c>
      <c r="AH313" s="104">
        <v>2778.9</v>
      </c>
      <c r="AI313" s="104">
        <f t="shared" si="150"/>
        <v>2920.6239</v>
      </c>
      <c r="AJ313" s="104" t="s">
        <v>978</v>
      </c>
      <c r="AK313" s="104" t="s">
        <v>978</v>
      </c>
      <c r="AL313" s="104">
        <f t="shared" si="143"/>
        <v>26028.784331999999</v>
      </c>
      <c r="AM313" s="120">
        <v>64811</v>
      </c>
      <c r="AN313" s="141">
        <v>35750</v>
      </c>
      <c r="AO313" s="119" t="s">
        <v>974</v>
      </c>
      <c r="AP313" s="103" t="s">
        <v>974</v>
      </c>
      <c r="AQ313" s="142">
        <f t="shared" si="152"/>
        <v>47600</v>
      </c>
      <c r="AR313" s="103" t="s">
        <v>974</v>
      </c>
      <c r="AS313" s="103" t="s">
        <v>974</v>
      </c>
      <c r="AT313" s="103" t="s">
        <v>974</v>
      </c>
      <c r="AU313" s="103">
        <f t="shared" si="149"/>
        <v>35750</v>
      </c>
      <c r="AV313" s="103"/>
      <c r="AW313" s="121">
        <f t="shared" si="145"/>
        <v>30889.392165999998</v>
      </c>
      <c r="AX313" s="121">
        <f t="shared" si="144"/>
        <v>30889</v>
      </c>
      <c r="AY313" s="163" t="s">
        <v>1084</v>
      </c>
      <c r="AZ313" s="160">
        <v>8</v>
      </c>
      <c r="BA313" s="138">
        <v>1</v>
      </c>
      <c r="BB313" s="138">
        <v>0</v>
      </c>
      <c r="BC313" s="139">
        <f t="shared" si="153"/>
        <v>9</v>
      </c>
      <c r="BD313" s="140">
        <f t="shared" si="128"/>
        <v>278001</v>
      </c>
    </row>
    <row r="314" spans="1:56" s="125" customFormat="1" ht="101.25" x14ac:dyDescent="0.2">
      <c r="A314" s="150">
        <v>17</v>
      </c>
      <c r="B314" s="148">
        <v>311</v>
      </c>
      <c r="C314" s="105">
        <v>42271903</v>
      </c>
      <c r="D314" s="106" t="s">
        <v>417</v>
      </c>
      <c r="E314" s="105" t="s">
        <v>957</v>
      </c>
      <c r="F314" s="105" t="s">
        <v>458</v>
      </c>
      <c r="G314" s="143">
        <f t="shared" si="151"/>
        <v>49740</v>
      </c>
      <c r="H314" s="143" t="s">
        <v>978</v>
      </c>
      <c r="I314" s="143">
        <f t="shared" si="141"/>
        <v>49740</v>
      </c>
      <c r="J314" s="104" t="s">
        <v>978</v>
      </c>
      <c r="K314" s="104" t="s">
        <v>978</v>
      </c>
      <c r="L314" s="104">
        <f>38135</f>
        <v>38135</v>
      </c>
      <c r="M314" s="104">
        <f t="shared" si="146"/>
        <v>42164.039020000004</v>
      </c>
      <c r="N314" s="104" t="s">
        <v>978</v>
      </c>
      <c r="O314" s="104" t="s">
        <v>978</v>
      </c>
      <c r="P314" s="104" t="s">
        <v>978</v>
      </c>
      <c r="Q314" s="104" t="s">
        <v>1012</v>
      </c>
      <c r="R314" s="104" t="s">
        <v>978</v>
      </c>
      <c r="S314" s="104" t="s">
        <v>978</v>
      </c>
      <c r="T314" s="104" t="s">
        <v>978</v>
      </c>
      <c r="U314" s="104" t="s">
        <v>978</v>
      </c>
      <c r="V314" s="104" t="s">
        <v>978</v>
      </c>
      <c r="W314" s="104" t="s">
        <v>978</v>
      </c>
      <c r="X314" s="104" t="s">
        <v>978</v>
      </c>
      <c r="Y314" s="104" t="s">
        <v>978</v>
      </c>
      <c r="Z314" s="104" t="s">
        <v>978</v>
      </c>
      <c r="AA314" s="104" t="s">
        <v>978</v>
      </c>
      <c r="AB314" s="104">
        <f>3047*10</f>
        <v>30470</v>
      </c>
      <c r="AC314" s="104">
        <f t="shared" si="142"/>
        <v>32023.969999999998</v>
      </c>
      <c r="AD314" s="104" t="s">
        <v>978</v>
      </c>
      <c r="AE314" s="104" t="s">
        <v>978</v>
      </c>
      <c r="AF314" s="104" t="s">
        <v>978</v>
      </c>
      <c r="AG314" s="104" t="s">
        <v>978</v>
      </c>
      <c r="AH314" s="104">
        <v>2794.6</v>
      </c>
      <c r="AI314" s="104">
        <f t="shared" si="150"/>
        <v>2937.1245999999996</v>
      </c>
      <c r="AJ314" s="104" t="s">
        <v>978</v>
      </c>
      <c r="AK314" s="104" t="s">
        <v>978</v>
      </c>
      <c r="AL314" s="104">
        <f t="shared" si="143"/>
        <v>25708.377873333331</v>
      </c>
      <c r="AM314" s="120">
        <v>64811</v>
      </c>
      <c r="AN314" s="141">
        <v>35750</v>
      </c>
      <c r="AO314" s="119" t="s">
        <v>974</v>
      </c>
      <c r="AP314" s="103" t="s">
        <v>974</v>
      </c>
      <c r="AQ314" s="142">
        <f t="shared" si="152"/>
        <v>47600</v>
      </c>
      <c r="AR314" s="103" t="s">
        <v>974</v>
      </c>
      <c r="AS314" s="103" t="s">
        <v>974</v>
      </c>
      <c r="AT314" s="103" t="s">
        <v>974</v>
      </c>
      <c r="AU314" s="103">
        <f t="shared" si="149"/>
        <v>35750</v>
      </c>
      <c r="AV314" s="103"/>
      <c r="AW314" s="121">
        <f t="shared" si="145"/>
        <v>30729.188936666666</v>
      </c>
      <c r="AX314" s="121">
        <f t="shared" si="144"/>
        <v>30729</v>
      </c>
      <c r="AY314" s="163" t="s">
        <v>1084</v>
      </c>
      <c r="AZ314" s="160">
        <v>3</v>
      </c>
      <c r="BA314" s="138">
        <v>1</v>
      </c>
      <c r="BB314" s="138">
        <v>0</v>
      </c>
      <c r="BC314" s="139">
        <f t="shared" si="153"/>
        <v>4</v>
      </c>
      <c r="BD314" s="140">
        <f t="shared" si="128"/>
        <v>122916</v>
      </c>
    </row>
    <row r="315" spans="1:56" s="125" customFormat="1" ht="101.25" x14ac:dyDescent="0.2">
      <c r="A315" s="150">
        <v>17</v>
      </c>
      <c r="B315" s="148">
        <v>312</v>
      </c>
      <c r="C315" s="105">
        <v>42271903</v>
      </c>
      <c r="D315" s="106" t="s">
        <v>418</v>
      </c>
      <c r="E315" s="105" t="s">
        <v>957</v>
      </c>
      <c r="F315" s="105" t="s">
        <v>458</v>
      </c>
      <c r="G315" s="143">
        <f t="shared" si="151"/>
        <v>49740</v>
      </c>
      <c r="H315" s="143" t="s">
        <v>978</v>
      </c>
      <c r="I315" s="143">
        <f t="shared" si="141"/>
        <v>49740</v>
      </c>
      <c r="J315" s="104" t="s">
        <v>978</v>
      </c>
      <c r="K315" s="104" t="s">
        <v>978</v>
      </c>
      <c r="L315" s="104">
        <f>38135</f>
        <v>38135</v>
      </c>
      <c r="M315" s="104">
        <f t="shared" si="146"/>
        <v>42164.039020000004</v>
      </c>
      <c r="N315" s="104" t="s">
        <v>978</v>
      </c>
      <c r="O315" s="104" t="s">
        <v>978</v>
      </c>
      <c r="P315" s="104" t="s">
        <v>978</v>
      </c>
      <c r="Q315" s="104" t="s">
        <v>1012</v>
      </c>
      <c r="R315" s="104" t="s">
        <v>978</v>
      </c>
      <c r="S315" s="104" t="s">
        <v>978</v>
      </c>
      <c r="T315" s="104" t="s">
        <v>978</v>
      </c>
      <c r="U315" s="104" t="s">
        <v>978</v>
      </c>
      <c r="V315" s="104" t="s">
        <v>978</v>
      </c>
      <c r="W315" s="104" t="s">
        <v>978</v>
      </c>
      <c r="X315" s="104" t="s">
        <v>978</v>
      </c>
      <c r="Y315" s="104" t="s">
        <v>978</v>
      </c>
      <c r="Z315" s="104" t="s">
        <v>978</v>
      </c>
      <c r="AA315" s="104" t="s">
        <v>978</v>
      </c>
      <c r="AB315" s="104">
        <f>3047*10</f>
        <v>30470</v>
      </c>
      <c r="AC315" s="104">
        <f t="shared" si="142"/>
        <v>32023.969999999998</v>
      </c>
      <c r="AD315" s="104" t="s">
        <v>978</v>
      </c>
      <c r="AE315" s="104" t="s">
        <v>978</v>
      </c>
      <c r="AF315" s="104" t="s">
        <v>978</v>
      </c>
      <c r="AG315" s="104" t="s">
        <v>978</v>
      </c>
      <c r="AH315" s="104">
        <v>2794.6</v>
      </c>
      <c r="AI315" s="104">
        <f t="shared" si="150"/>
        <v>2937.1245999999996</v>
      </c>
      <c r="AJ315" s="104" t="s">
        <v>978</v>
      </c>
      <c r="AK315" s="104" t="s">
        <v>978</v>
      </c>
      <c r="AL315" s="104">
        <f t="shared" si="143"/>
        <v>25708.377873333331</v>
      </c>
      <c r="AM315" s="120">
        <v>64811</v>
      </c>
      <c r="AN315" s="141">
        <v>35750</v>
      </c>
      <c r="AO315" s="119" t="s">
        <v>974</v>
      </c>
      <c r="AP315" s="103" t="s">
        <v>974</v>
      </c>
      <c r="AQ315" s="142">
        <f t="shared" si="152"/>
        <v>47600</v>
      </c>
      <c r="AR315" s="103" t="s">
        <v>974</v>
      </c>
      <c r="AS315" s="103" t="s">
        <v>974</v>
      </c>
      <c r="AT315" s="103" t="s">
        <v>974</v>
      </c>
      <c r="AU315" s="103">
        <f t="shared" si="149"/>
        <v>35750</v>
      </c>
      <c r="AV315" s="103"/>
      <c r="AW315" s="121">
        <f t="shared" si="145"/>
        <v>30729.188936666666</v>
      </c>
      <c r="AX315" s="121">
        <f t="shared" si="144"/>
        <v>30729</v>
      </c>
      <c r="AY315" s="163" t="s">
        <v>1084</v>
      </c>
      <c r="AZ315" s="160">
        <v>4</v>
      </c>
      <c r="BA315" s="138">
        <v>1</v>
      </c>
      <c r="BB315" s="138">
        <v>0</v>
      </c>
      <c r="BC315" s="139">
        <f t="shared" si="153"/>
        <v>5</v>
      </c>
      <c r="BD315" s="140">
        <f t="shared" si="128"/>
        <v>153645</v>
      </c>
    </row>
    <row r="316" spans="1:56" s="125" customFormat="1" ht="101.25" x14ac:dyDescent="0.2">
      <c r="A316" s="150">
        <v>17</v>
      </c>
      <c r="B316" s="148">
        <v>313</v>
      </c>
      <c r="C316" s="105">
        <v>42271903</v>
      </c>
      <c r="D316" s="106" t="s">
        <v>419</v>
      </c>
      <c r="E316" s="105" t="s">
        <v>957</v>
      </c>
      <c r="F316" s="105" t="s">
        <v>458</v>
      </c>
      <c r="G316" s="143">
        <f t="shared" si="151"/>
        <v>49740</v>
      </c>
      <c r="H316" s="143" t="s">
        <v>978</v>
      </c>
      <c r="I316" s="143">
        <f t="shared" si="141"/>
        <v>49740</v>
      </c>
      <c r="J316" s="104" t="s">
        <v>978</v>
      </c>
      <c r="K316" s="104" t="s">
        <v>978</v>
      </c>
      <c r="L316" s="104">
        <f>37698</f>
        <v>37698</v>
      </c>
      <c r="M316" s="104">
        <f t="shared" si="146"/>
        <v>41680.869096000002</v>
      </c>
      <c r="N316" s="104" t="s">
        <v>978</v>
      </c>
      <c r="O316" s="104" t="s">
        <v>978</v>
      </c>
      <c r="P316" s="104" t="s">
        <v>978</v>
      </c>
      <c r="Q316" s="104" t="s">
        <v>1012</v>
      </c>
      <c r="R316" s="104" t="s">
        <v>978</v>
      </c>
      <c r="S316" s="104" t="s">
        <v>978</v>
      </c>
      <c r="T316" s="104" t="s">
        <v>978</v>
      </c>
      <c r="U316" s="104" t="s">
        <v>978</v>
      </c>
      <c r="V316" s="104" t="s">
        <v>978</v>
      </c>
      <c r="W316" s="104" t="s">
        <v>978</v>
      </c>
      <c r="X316" s="104" t="s">
        <v>978</v>
      </c>
      <c r="Y316" s="104" t="s">
        <v>978</v>
      </c>
      <c r="Z316" s="104" t="s">
        <v>978</v>
      </c>
      <c r="AA316" s="104" t="s">
        <v>978</v>
      </c>
      <c r="AB316" s="104">
        <f>3047*10</f>
        <v>30470</v>
      </c>
      <c r="AC316" s="104">
        <f t="shared" si="142"/>
        <v>32023.969999999998</v>
      </c>
      <c r="AD316" s="104" t="s">
        <v>978</v>
      </c>
      <c r="AE316" s="104" t="s">
        <v>978</v>
      </c>
      <c r="AF316" s="104" t="s">
        <v>978</v>
      </c>
      <c r="AG316" s="104" t="s">
        <v>978</v>
      </c>
      <c r="AH316" s="104">
        <v>2776.9</v>
      </c>
      <c r="AI316" s="104">
        <f t="shared" si="150"/>
        <v>2918.5218999999997</v>
      </c>
      <c r="AJ316" s="104" t="s">
        <v>978</v>
      </c>
      <c r="AK316" s="104" t="s">
        <v>978</v>
      </c>
      <c r="AL316" s="104">
        <f t="shared" si="143"/>
        <v>25541.120332000002</v>
      </c>
      <c r="AM316" s="120">
        <v>64811</v>
      </c>
      <c r="AN316" s="141">
        <v>35750</v>
      </c>
      <c r="AO316" s="119" t="s">
        <v>974</v>
      </c>
      <c r="AP316" s="103" t="s">
        <v>974</v>
      </c>
      <c r="AQ316" s="142">
        <f t="shared" si="152"/>
        <v>47600</v>
      </c>
      <c r="AR316" s="103" t="s">
        <v>974</v>
      </c>
      <c r="AS316" s="103" t="s">
        <v>974</v>
      </c>
      <c r="AT316" s="103" t="s">
        <v>974</v>
      </c>
      <c r="AU316" s="103">
        <f t="shared" si="149"/>
        <v>35750</v>
      </c>
      <c r="AV316" s="103"/>
      <c r="AW316" s="121">
        <f t="shared" si="145"/>
        <v>30645.560166000003</v>
      </c>
      <c r="AX316" s="121">
        <f t="shared" si="144"/>
        <v>30646</v>
      </c>
      <c r="AY316" s="163" t="s">
        <v>1084</v>
      </c>
      <c r="AZ316" s="160">
        <v>0</v>
      </c>
      <c r="BA316" s="138">
        <v>1</v>
      </c>
      <c r="BB316" s="138">
        <v>0</v>
      </c>
      <c r="BC316" s="139">
        <f t="shared" ref="BC316:BC323" si="154">+BA316+BB316</f>
        <v>1</v>
      </c>
      <c r="BD316" s="140">
        <f t="shared" si="128"/>
        <v>30646</v>
      </c>
    </row>
    <row r="317" spans="1:56" s="125" customFormat="1" ht="101.25" x14ac:dyDescent="0.2">
      <c r="A317" s="150">
        <v>17</v>
      </c>
      <c r="B317" s="148">
        <v>314</v>
      </c>
      <c r="C317" s="105">
        <v>42271903</v>
      </c>
      <c r="D317" s="106" t="s">
        <v>420</v>
      </c>
      <c r="E317" s="105" t="s">
        <v>957</v>
      </c>
      <c r="F317" s="105" t="s">
        <v>458</v>
      </c>
      <c r="G317" s="143">
        <f t="shared" si="151"/>
        <v>49740</v>
      </c>
      <c r="H317" s="143" t="s">
        <v>978</v>
      </c>
      <c r="I317" s="143">
        <f t="shared" si="141"/>
        <v>49740</v>
      </c>
      <c r="J317" s="104" t="s">
        <v>978</v>
      </c>
      <c r="K317" s="104" t="s">
        <v>978</v>
      </c>
      <c r="L317" s="104" t="s">
        <v>978</v>
      </c>
      <c r="M317" s="104" t="s">
        <v>978</v>
      </c>
      <c r="N317" s="104" t="s">
        <v>978</v>
      </c>
      <c r="O317" s="104" t="s">
        <v>978</v>
      </c>
      <c r="P317" s="104" t="s">
        <v>978</v>
      </c>
      <c r="Q317" s="104" t="s">
        <v>1012</v>
      </c>
      <c r="R317" s="104" t="s">
        <v>978</v>
      </c>
      <c r="S317" s="104" t="s">
        <v>978</v>
      </c>
      <c r="T317" s="104" t="s">
        <v>978</v>
      </c>
      <c r="U317" s="104" t="s">
        <v>978</v>
      </c>
      <c r="V317" s="104" t="s">
        <v>978</v>
      </c>
      <c r="W317" s="104" t="s">
        <v>978</v>
      </c>
      <c r="X317" s="104" t="s">
        <v>978</v>
      </c>
      <c r="Y317" s="104" t="s">
        <v>978</v>
      </c>
      <c r="Z317" s="104" t="s">
        <v>978</v>
      </c>
      <c r="AA317" s="104" t="s">
        <v>978</v>
      </c>
      <c r="AB317" s="104">
        <f>3186*10</f>
        <v>31860</v>
      </c>
      <c r="AC317" s="104">
        <f t="shared" si="142"/>
        <v>33484.86</v>
      </c>
      <c r="AD317" s="104" t="s">
        <v>978</v>
      </c>
      <c r="AE317" s="104" t="s">
        <v>978</v>
      </c>
      <c r="AF317" s="104" t="s">
        <v>978</v>
      </c>
      <c r="AG317" s="104" t="s">
        <v>978</v>
      </c>
      <c r="AH317" s="104" t="s">
        <v>978</v>
      </c>
      <c r="AI317" s="104" t="s">
        <v>978</v>
      </c>
      <c r="AJ317" s="104" t="s">
        <v>978</v>
      </c>
      <c r="AK317" s="104" t="s">
        <v>978</v>
      </c>
      <c r="AL317" s="104">
        <f t="shared" si="143"/>
        <v>33484.86</v>
      </c>
      <c r="AM317" s="120">
        <v>64811</v>
      </c>
      <c r="AN317" s="141">
        <v>35750</v>
      </c>
      <c r="AO317" s="119" t="s">
        <v>974</v>
      </c>
      <c r="AP317" s="103" t="s">
        <v>974</v>
      </c>
      <c r="AQ317" s="142">
        <f t="shared" si="152"/>
        <v>47600</v>
      </c>
      <c r="AR317" s="103" t="s">
        <v>974</v>
      </c>
      <c r="AS317" s="103" t="s">
        <v>974</v>
      </c>
      <c r="AT317" s="103" t="s">
        <v>974</v>
      </c>
      <c r="AU317" s="103">
        <f t="shared" si="149"/>
        <v>35750</v>
      </c>
      <c r="AV317" s="103"/>
      <c r="AW317" s="121">
        <f t="shared" si="145"/>
        <v>34617.43</v>
      </c>
      <c r="AX317" s="121">
        <f t="shared" si="144"/>
        <v>34617</v>
      </c>
      <c r="AY317" s="163" t="s">
        <v>1084</v>
      </c>
      <c r="AZ317" s="160">
        <v>0</v>
      </c>
      <c r="BA317" s="138">
        <v>1</v>
      </c>
      <c r="BB317" s="138">
        <v>0</v>
      </c>
      <c r="BC317" s="139">
        <f t="shared" si="154"/>
        <v>1</v>
      </c>
      <c r="BD317" s="140">
        <f t="shared" si="128"/>
        <v>34617</v>
      </c>
    </row>
    <row r="318" spans="1:56" s="125" customFormat="1" ht="101.25" x14ac:dyDescent="0.2">
      <c r="A318" s="150">
        <v>17</v>
      </c>
      <c r="B318" s="148">
        <v>315</v>
      </c>
      <c r="C318" s="105">
        <v>42271903</v>
      </c>
      <c r="D318" s="106" t="s">
        <v>421</v>
      </c>
      <c r="E318" s="105" t="s">
        <v>957</v>
      </c>
      <c r="F318" s="105" t="s">
        <v>458</v>
      </c>
      <c r="G318" s="143" t="s">
        <v>978</v>
      </c>
      <c r="H318" s="143" t="s">
        <v>978</v>
      </c>
      <c r="I318" s="143" t="s">
        <v>978</v>
      </c>
      <c r="J318" s="104" t="s">
        <v>978</v>
      </c>
      <c r="K318" s="104" t="s">
        <v>978</v>
      </c>
      <c r="L318" s="104" t="s">
        <v>978</v>
      </c>
      <c r="M318" s="104" t="s">
        <v>978</v>
      </c>
      <c r="N318" s="104" t="s">
        <v>978</v>
      </c>
      <c r="O318" s="104" t="s">
        <v>978</v>
      </c>
      <c r="P318" s="104" t="s">
        <v>978</v>
      </c>
      <c r="Q318" s="104" t="s">
        <v>1012</v>
      </c>
      <c r="R318" s="104" t="s">
        <v>978</v>
      </c>
      <c r="S318" s="104" t="s">
        <v>978</v>
      </c>
      <c r="T318" s="104" t="s">
        <v>978</v>
      </c>
      <c r="U318" s="104" t="s">
        <v>978</v>
      </c>
      <c r="V318" s="104" t="s">
        <v>978</v>
      </c>
      <c r="W318" s="104" t="s">
        <v>978</v>
      </c>
      <c r="X318" s="104" t="s">
        <v>978</v>
      </c>
      <c r="Y318" s="104" t="s">
        <v>978</v>
      </c>
      <c r="Z318" s="104" t="s">
        <v>978</v>
      </c>
      <c r="AA318" s="104" t="s">
        <v>978</v>
      </c>
      <c r="AB318" s="104">
        <f>3047*10</f>
        <v>30470</v>
      </c>
      <c r="AC318" s="104">
        <f t="shared" si="142"/>
        <v>32023.969999999998</v>
      </c>
      <c r="AD318" s="104" t="s">
        <v>978</v>
      </c>
      <c r="AE318" s="104" t="s">
        <v>978</v>
      </c>
      <c r="AF318" s="104" t="s">
        <v>978</v>
      </c>
      <c r="AG318" s="104" t="s">
        <v>978</v>
      </c>
      <c r="AH318" s="104" t="s">
        <v>978</v>
      </c>
      <c r="AI318" s="104" t="s">
        <v>978</v>
      </c>
      <c r="AJ318" s="104" t="s">
        <v>978</v>
      </c>
      <c r="AK318" s="104" t="s">
        <v>978</v>
      </c>
      <c r="AL318" s="104">
        <f t="shared" si="143"/>
        <v>32023.969999999998</v>
      </c>
      <c r="AM318" s="120">
        <v>64811</v>
      </c>
      <c r="AN318" s="141">
        <v>35750</v>
      </c>
      <c r="AO318" s="119" t="s">
        <v>974</v>
      </c>
      <c r="AP318" s="103" t="s">
        <v>974</v>
      </c>
      <c r="AQ318" s="142">
        <f t="shared" si="152"/>
        <v>47600</v>
      </c>
      <c r="AR318" s="103" t="s">
        <v>974</v>
      </c>
      <c r="AS318" s="103" t="s">
        <v>974</v>
      </c>
      <c r="AT318" s="103" t="s">
        <v>974</v>
      </c>
      <c r="AU318" s="103">
        <f t="shared" si="149"/>
        <v>35750</v>
      </c>
      <c r="AV318" s="103"/>
      <c r="AW318" s="121">
        <f t="shared" si="145"/>
        <v>33886.985000000001</v>
      </c>
      <c r="AX318" s="121">
        <f t="shared" si="144"/>
        <v>33887</v>
      </c>
      <c r="AY318" s="163" t="s">
        <v>1079</v>
      </c>
      <c r="AZ318" s="160">
        <v>0</v>
      </c>
      <c r="BA318" s="138">
        <v>1</v>
      </c>
      <c r="BB318" s="138">
        <v>0</v>
      </c>
      <c r="BC318" s="139">
        <f t="shared" si="154"/>
        <v>1</v>
      </c>
      <c r="BD318" s="140">
        <f t="shared" si="128"/>
        <v>33887</v>
      </c>
    </row>
    <row r="319" spans="1:56" s="125" customFormat="1" ht="101.25" x14ac:dyDescent="0.2">
      <c r="A319" s="150">
        <v>17</v>
      </c>
      <c r="B319" s="148">
        <v>316</v>
      </c>
      <c r="C319" s="105">
        <v>41104123</v>
      </c>
      <c r="D319" s="106" t="s">
        <v>694</v>
      </c>
      <c r="E319" s="105" t="s">
        <v>784</v>
      </c>
      <c r="F319" s="105" t="s">
        <v>286</v>
      </c>
      <c r="G319" s="143" t="s">
        <v>978</v>
      </c>
      <c r="H319" s="143" t="s">
        <v>978</v>
      </c>
      <c r="I319" s="143" t="s">
        <v>978</v>
      </c>
      <c r="J319" s="104" t="s">
        <v>978</v>
      </c>
      <c r="K319" s="104" t="s">
        <v>978</v>
      </c>
      <c r="L319" s="104" t="s">
        <v>978</v>
      </c>
      <c r="M319" s="104" t="s">
        <v>978</v>
      </c>
      <c r="N319" s="104" t="s">
        <v>978</v>
      </c>
      <c r="O319" s="104" t="s">
        <v>978</v>
      </c>
      <c r="P319" s="104" t="s">
        <v>978</v>
      </c>
      <c r="Q319" s="104" t="s">
        <v>1012</v>
      </c>
      <c r="R319" s="104" t="s">
        <v>978</v>
      </c>
      <c r="S319" s="104" t="s">
        <v>978</v>
      </c>
      <c r="T319" s="104" t="s">
        <v>978</v>
      </c>
      <c r="U319" s="104" t="s">
        <v>978</v>
      </c>
      <c r="V319" s="104" t="s">
        <v>978</v>
      </c>
      <c r="W319" s="104" t="s">
        <v>978</v>
      </c>
      <c r="X319" s="104" t="s">
        <v>978</v>
      </c>
      <c r="Y319" s="104" t="s">
        <v>978</v>
      </c>
      <c r="Z319" s="104" t="s">
        <v>978</v>
      </c>
      <c r="AA319" s="104" t="s">
        <v>978</v>
      </c>
      <c r="AB319" s="104" t="s">
        <v>978</v>
      </c>
      <c r="AC319" s="104" t="s">
        <v>978</v>
      </c>
      <c r="AD319" s="104" t="s">
        <v>978</v>
      </c>
      <c r="AE319" s="104" t="s">
        <v>978</v>
      </c>
      <c r="AF319" s="104" t="s">
        <v>978</v>
      </c>
      <c r="AG319" s="104" t="s">
        <v>978</v>
      </c>
      <c r="AH319" s="104" t="s">
        <v>978</v>
      </c>
      <c r="AI319" s="104" t="s">
        <v>978</v>
      </c>
      <c r="AJ319" s="104" t="s">
        <v>978</v>
      </c>
      <c r="AK319" s="104" t="s">
        <v>978</v>
      </c>
      <c r="AL319" s="104" t="s">
        <v>978</v>
      </c>
      <c r="AM319" s="120">
        <v>24900</v>
      </c>
      <c r="AN319" s="141">
        <v>38610</v>
      </c>
      <c r="AO319" s="119" t="s">
        <v>974</v>
      </c>
      <c r="AP319" s="103" t="s">
        <v>974</v>
      </c>
      <c r="AQ319" s="142">
        <v>38080</v>
      </c>
      <c r="AR319" s="103" t="s">
        <v>974</v>
      </c>
      <c r="AS319" s="103" t="s">
        <v>974</v>
      </c>
      <c r="AT319" s="103" t="s">
        <v>974</v>
      </c>
      <c r="AU319" s="103">
        <f t="shared" si="149"/>
        <v>38080</v>
      </c>
      <c r="AV319" s="103"/>
      <c r="AW319" s="121">
        <f>+AVERAGE(AM319,AU319)</f>
        <v>31490</v>
      </c>
      <c r="AX319" s="121">
        <f t="shared" si="144"/>
        <v>31490</v>
      </c>
      <c r="AY319" s="163" t="s">
        <v>1085</v>
      </c>
      <c r="AZ319" s="160">
        <v>0</v>
      </c>
      <c r="BA319" s="138">
        <v>10</v>
      </c>
      <c r="BB319" s="138">
        <v>0</v>
      </c>
      <c r="BC319" s="139">
        <f t="shared" si="154"/>
        <v>10</v>
      </c>
      <c r="BD319" s="140">
        <f t="shared" si="128"/>
        <v>314900</v>
      </c>
    </row>
    <row r="320" spans="1:56" s="125" customFormat="1" ht="101.25" x14ac:dyDescent="0.2">
      <c r="A320" s="150">
        <v>17</v>
      </c>
      <c r="B320" s="148">
        <v>317</v>
      </c>
      <c r="C320" s="113" t="s">
        <v>398</v>
      </c>
      <c r="D320" s="114" t="s">
        <v>695</v>
      </c>
      <c r="E320" s="105" t="s">
        <v>785</v>
      </c>
      <c r="F320" s="105" t="s">
        <v>286</v>
      </c>
      <c r="G320" s="143" t="s">
        <v>978</v>
      </c>
      <c r="H320" s="143" t="s">
        <v>978</v>
      </c>
      <c r="I320" s="143" t="s">
        <v>978</v>
      </c>
      <c r="J320" s="104" t="s">
        <v>978</v>
      </c>
      <c r="K320" s="104" t="s">
        <v>978</v>
      </c>
      <c r="L320" s="104" t="s">
        <v>978</v>
      </c>
      <c r="M320" s="104" t="s">
        <v>978</v>
      </c>
      <c r="N320" s="104" t="s">
        <v>978</v>
      </c>
      <c r="O320" s="104" t="s">
        <v>978</v>
      </c>
      <c r="P320" s="104" t="s">
        <v>978</v>
      </c>
      <c r="Q320" s="104" t="s">
        <v>1012</v>
      </c>
      <c r="R320" s="104" t="s">
        <v>978</v>
      </c>
      <c r="S320" s="104" t="s">
        <v>978</v>
      </c>
      <c r="T320" s="104" t="s">
        <v>978</v>
      </c>
      <c r="U320" s="104" t="s">
        <v>978</v>
      </c>
      <c r="V320" s="104" t="s">
        <v>978</v>
      </c>
      <c r="W320" s="104" t="s">
        <v>978</v>
      </c>
      <c r="X320" s="104" t="s">
        <v>978</v>
      </c>
      <c r="Y320" s="104" t="s">
        <v>978</v>
      </c>
      <c r="Z320" s="104" t="s">
        <v>978</v>
      </c>
      <c r="AA320" s="104" t="s">
        <v>978</v>
      </c>
      <c r="AB320" s="104" t="s">
        <v>978</v>
      </c>
      <c r="AC320" s="104" t="s">
        <v>978</v>
      </c>
      <c r="AD320" s="104" t="s">
        <v>978</v>
      </c>
      <c r="AE320" s="104" t="s">
        <v>978</v>
      </c>
      <c r="AF320" s="104" t="s">
        <v>978</v>
      </c>
      <c r="AG320" s="104" t="s">
        <v>978</v>
      </c>
      <c r="AH320" s="104" t="s">
        <v>978</v>
      </c>
      <c r="AI320" s="104" t="s">
        <v>978</v>
      </c>
      <c r="AJ320" s="104" t="s">
        <v>978</v>
      </c>
      <c r="AK320" s="104" t="s">
        <v>978</v>
      </c>
      <c r="AL320" s="104" t="s">
        <v>978</v>
      </c>
      <c r="AM320" s="120">
        <v>120000</v>
      </c>
      <c r="AN320" s="141">
        <v>207350</v>
      </c>
      <c r="AO320" s="119" t="s">
        <v>974</v>
      </c>
      <c r="AP320" s="103" t="s">
        <v>974</v>
      </c>
      <c r="AQ320" s="142">
        <v>211820</v>
      </c>
      <c r="AR320" s="103" t="s">
        <v>974</v>
      </c>
      <c r="AS320" s="103" t="s">
        <v>974</v>
      </c>
      <c r="AT320" s="103" t="s">
        <v>974</v>
      </c>
      <c r="AU320" s="103">
        <f t="shared" si="149"/>
        <v>207350</v>
      </c>
      <c r="AV320" s="103"/>
      <c r="AW320" s="121">
        <f>+AVERAGE(AM320,AU320)</f>
        <v>163675</v>
      </c>
      <c r="AX320" s="121">
        <f t="shared" si="144"/>
        <v>163675</v>
      </c>
      <c r="AY320" s="163" t="s">
        <v>1085</v>
      </c>
      <c r="AZ320" s="160">
        <v>0</v>
      </c>
      <c r="BA320" s="138">
        <v>5</v>
      </c>
      <c r="BB320" s="138">
        <v>0</v>
      </c>
      <c r="BC320" s="139">
        <f t="shared" si="154"/>
        <v>5</v>
      </c>
      <c r="BD320" s="140">
        <f t="shared" si="128"/>
        <v>818375</v>
      </c>
    </row>
    <row r="321" spans="1:56" s="125" customFormat="1" ht="326.25" x14ac:dyDescent="0.2">
      <c r="A321" s="150">
        <v>17</v>
      </c>
      <c r="B321" s="148">
        <v>318</v>
      </c>
      <c r="C321" s="113" t="s">
        <v>398</v>
      </c>
      <c r="D321" s="106" t="s">
        <v>696</v>
      </c>
      <c r="E321" s="105" t="s">
        <v>786</v>
      </c>
      <c r="F321" s="105" t="s">
        <v>286</v>
      </c>
      <c r="G321" s="143" t="s">
        <v>978</v>
      </c>
      <c r="H321" s="143" t="s">
        <v>978</v>
      </c>
      <c r="I321" s="143" t="s">
        <v>978</v>
      </c>
      <c r="J321" s="104" t="s">
        <v>978</v>
      </c>
      <c r="K321" s="104" t="s">
        <v>978</v>
      </c>
      <c r="L321" s="104" t="s">
        <v>978</v>
      </c>
      <c r="M321" s="104" t="s">
        <v>978</v>
      </c>
      <c r="N321" s="104" t="s">
        <v>978</v>
      </c>
      <c r="O321" s="104" t="s">
        <v>978</v>
      </c>
      <c r="P321" s="104" t="s">
        <v>978</v>
      </c>
      <c r="Q321" s="104" t="s">
        <v>1012</v>
      </c>
      <c r="R321" s="104" t="s">
        <v>978</v>
      </c>
      <c r="S321" s="104" t="s">
        <v>978</v>
      </c>
      <c r="T321" s="104" t="s">
        <v>978</v>
      </c>
      <c r="U321" s="104" t="s">
        <v>978</v>
      </c>
      <c r="V321" s="104" t="s">
        <v>978</v>
      </c>
      <c r="W321" s="104" t="s">
        <v>978</v>
      </c>
      <c r="X321" s="104" t="s">
        <v>978</v>
      </c>
      <c r="Y321" s="104" t="s">
        <v>978</v>
      </c>
      <c r="Z321" s="104" t="s">
        <v>978</v>
      </c>
      <c r="AA321" s="104" t="s">
        <v>978</v>
      </c>
      <c r="AB321" s="104" t="s">
        <v>978</v>
      </c>
      <c r="AC321" s="104" t="s">
        <v>978</v>
      </c>
      <c r="AD321" s="104" t="s">
        <v>978</v>
      </c>
      <c r="AE321" s="104" t="s">
        <v>978</v>
      </c>
      <c r="AF321" s="104" t="s">
        <v>978</v>
      </c>
      <c r="AG321" s="104" t="s">
        <v>978</v>
      </c>
      <c r="AH321" s="104" t="s">
        <v>978</v>
      </c>
      <c r="AI321" s="104" t="s">
        <v>978</v>
      </c>
      <c r="AJ321" s="104" t="s">
        <v>978</v>
      </c>
      <c r="AK321" s="104" t="s">
        <v>978</v>
      </c>
      <c r="AL321" s="104" t="s">
        <v>978</v>
      </c>
      <c r="AM321" s="120">
        <v>68700</v>
      </c>
      <c r="AN321" s="141">
        <v>178750</v>
      </c>
      <c r="AO321" s="119" t="s">
        <v>974</v>
      </c>
      <c r="AP321" s="103" t="s">
        <v>974</v>
      </c>
      <c r="AQ321" s="142">
        <v>136850</v>
      </c>
      <c r="AR321" s="103" t="s">
        <v>974</v>
      </c>
      <c r="AS321" s="103" t="s">
        <v>974</v>
      </c>
      <c r="AT321" s="103" t="s">
        <v>974</v>
      </c>
      <c r="AU321" s="103">
        <f t="shared" si="149"/>
        <v>136850</v>
      </c>
      <c r="AV321" s="103"/>
      <c r="AW321" s="121">
        <f>+AVERAGE(AM321,AU321)</f>
        <v>102775</v>
      </c>
      <c r="AX321" s="121">
        <f t="shared" si="144"/>
        <v>102775</v>
      </c>
      <c r="AY321" s="163" t="s">
        <v>1085</v>
      </c>
      <c r="AZ321" s="160">
        <v>0</v>
      </c>
      <c r="BA321" s="138">
        <v>5</v>
      </c>
      <c r="BB321" s="138">
        <v>0</v>
      </c>
      <c r="BC321" s="139">
        <f t="shared" si="154"/>
        <v>5</v>
      </c>
      <c r="BD321" s="140">
        <f t="shared" si="128"/>
        <v>513875</v>
      </c>
    </row>
    <row r="322" spans="1:56" s="125" customFormat="1" ht="135" x14ac:dyDescent="0.2">
      <c r="A322" s="150">
        <v>17</v>
      </c>
      <c r="B322" s="148">
        <v>319</v>
      </c>
      <c r="C322" s="105">
        <v>60122101</v>
      </c>
      <c r="D322" s="106" t="s">
        <v>422</v>
      </c>
      <c r="E322" s="105" t="s">
        <v>787</v>
      </c>
      <c r="F322" s="105" t="s">
        <v>286</v>
      </c>
      <c r="G322" s="143" t="s">
        <v>978</v>
      </c>
      <c r="H322" s="143" t="s">
        <v>978</v>
      </c>
      <c r="I322" s="143" t="s">
        <v>978</v>
      </c>
      <c r="J322" s="104" t="s">
        <v>978</v>
      </c>
      <c r="K322" s="104" t="s">
        <v>978</v>
      </c>
      <c r="L322" s="104" t="s">
        <v>978</v>
      </c>
      <c r="M322" s="104" t="s">
        <v>978</v>
      </c>
      <c r="N322" s="104" t="s">
        <v>978</v>
      </c>
      <c r="O322" s="104" t="s">
        <v>978</v>
      </c>
      <c r="P322" s="104" t="s">
        <v>978</v>
      </c>
      <c r="Q322" s="104" t="s">
        <v>1012</v>
      </c>
      <c r="R322" s="104" t="s">
        <v>978</v>
      </c>
      <c r="S322" s="104" t="s">
        <v>978</v>
      </c>
      <c r="T322" s="104" t="s">
        <v>978</v>
      </c>
      <c r="U322" s="104" t="s">
        <v>978</v>
      </c>
      <c r="V322" s="104" t="s">
        <v>978</v>
      </c>
      <c r="W322" s="104" t="s">
        <v>978</v>
      </c>
      <c r="X322" s="104" t="s">
        <v>978</v>
      </c>
      <c r="Y322" s="104" t="s">
        <v>978</v>
      </c>
      <c r="Z322" s="104" t="s">
        <v>978</v>
      </c>
      <c r="AA322" s="104" t="s">
        <v>978</v>
      </c>
      <c r="AB322" s="104" t="s">
        <v>978</v>
      </c>
      <c r="AC322" s="104" t="s">
        <v>978</v>
      </c>
      <c r="AD322" s="104" t="s">
        <v>978</v>
      </c>
      <c r="AE322" s="104" t="s">
        <v>978</v>
      </c>
      <c r="AF322" s="104" t="s">
        <v>978</v>
      </c>
      <c r="AG322" s="104" t="s">
        <v>978</v>
      </c>
      <c r="AH322" s="104" t="s">
        <v>978</v>
      </c>
      <c r="AI322" s="104" t="s">
        <v>978</v>
      </c>
      <c r="AJ322" s="104" t="s">
        <v>978</v>
      </c>
      <c r="AK322" s="104" t="s">
        <v>978</v>
      </c>
      <c r="AL322" s="104" t="s">
        <v>978</v>
      </c>
      <c r="AM322" s="120" t="s">
        <v>978</v>
      </c>
      <c r="AN322" s="141">
        <v>25740</v>
      </c>
      <c r="AO322" s="119" t="s">
        <v>974</v>
      </c>
      <c r="AP322" s="103" t="s">
        <v>974</v>
      </c>
      <c r="AQ322" s="142">
        <v>33320</v>
      </c>
      <c r="AR322" s="103" t="s">
        <v>974</v>
      </c>
      <c r="AS322" s="103" t="s">
        <v>974</v>
      </c>
      <c r="AT322" s="103" t="s">
        <v>974</v>
      </c>
      <c r="AU322" s="103">
        <f t="shared" si="149"/>
        <v>25740</v>
      </c>
      <c r="AV322" s="103"/>
      <c r="AW322" s="121">
        <f t="shared" ref="AW322:AW331" si="155">+AVERAGE(AL322,AU322)</f>
        <v>25740</v>
      </c>
      <c r="AX322" s="121">
        <f t="shared" si="144"/>
        <v>25740</v>
      </c>
      <c r="AY322" s="163" t="s">
        <v>1073</v>
      </c>
      <c r="AZ322" s="160">
        <v>0</v>
      </c>
      <c r="BA322" s="138">
        <v>3</v>
      </c>
      <c r="BB322" s="138">
        <v>0</v>
      </c>
      <c r="BC322" s="139">
        <f t="shared" si="154"/>
        <v>3</v>
      </c>
      <c r="BD322" s="140">
        <f t="shared" si="128"/>
        <v>77220</v>
      </c>
    </row>
    <row r="323" spans="1:56" s="125" customFormat="1" ht="90" x14ac:dyDescent="0.2">
      <c r="A323" s="150">
        <v>17</v>
      </c>
      <c r="B323" s="148">
        <v>320</v>
      </c>
      <c r="C323" s="113" t="s">
        <v>399</v>
      </c>
      <c r="D323" s="106" t="s">
        <v>423</v>
      </c>
      <c r="E323" s="105" t="s">
        <v>788</v>
      </c>
      <c r="F323" s="105" t="s">
        <v>286</v>
      </c>
      <c r="G323" s="143" t="s">
        <v>978</v>
      </c>
      <c r="H323" s="143" t="s">
        <v>978</v>
      </c>
      <c r="I323" s="143" t="s">
        <v>978</v>
      </c>
      <c r="J323" s="104" t="s">
        <v>978</v>
      </c>
      <c r="K323" s="104" t="s">
        <v>978</v>
      </c>
      <c r="L323" s="104" t="s">
        <v>978</v>
      </c>
      <c r="M323" s="104" t="s">
        <v>978</v>
      </c>
      <c r="N323" s="104" t="s">
        <v>978</v>
      </c>
      <c r="O323" s="104" t="s">
        <v>978</v>
      </c>
      <c r="P323" s="104" t="s">
        <v>978</v>
      </c>
      <c r="Q323" s="104" t="s">
        <v>1012</v>
      </c>
      <c r="R323" s="104" t="s">
        <v>978</v>
      </c>
      <c r="S323" s="104" t="s">
        <v>978</v>
      </c>
      <c r="T323" s="104" t="s">
        <v>978</v>
      </c>
      <c r="U323" s="104" t="s">
        <v>978</v>
      </c>
      <c r="V323" s="104" t="s">
        <v>978</v>
      </c>
      <c r="W323" s="104" t="s">
        <v>978</v>
      </c>
      <c r="X323" s="104" t="s">
        <v>978</v>
      </c>
      <c r="Y323" s="104" t="s">
        <v>978</v>
      </c>
      <c r="Z323" s="104" t="s">
        <v>978</v>
      </c>
      <c r="AA323" s="104" t="s">
        <v>978</v>
      </c>
      <c r="AB323" s="104" t="s">
        <v>978</v>
      </c>
      <c r="AC323" s="104" t="s">
        <v>978</v>
      </c>
      <c r="AD323" s="104" t="s">
        <v>978</v>
      </c>
      <c r="AE323" s="104" t="s">
        <v>978</v>
      </c>
      <c r="AF323" s="104" t="s">
        <v>978</v>
      </c>
      <c r="AG323" s="104" t="s">
        <v>978</v>
      </c>
      <c r="AH323" s="104" t="s">
        <v>978</v>
      </c>
      <c r="AI323" s="104" t="s">
        <v>978</v>
      </c>
      <c r="AJ323" s="104" t="s">
        <v>978</v>
      </c>
      <c r="AK323" s="104" t="s">
        <v>978</v>
      </c>
      <c r="AL323" s="104" t="s">
        <v>978</v>
      </c>
      <c r="AM323" s="120" t="s">
        <v>978</v>
      </c>
      <c r="AN323" s="141">
        <v>300300</v>
      </c>
      <c r="AO323" s="119" t="s">
        <v>974</v>
      </c>
      <c r="AP323" s="103" t="s">
        <v>974</v>
      </c>
      <c r="AQ323" s="142">
        <v>142800</v>
      </c>
      <c r="AR323" s="103" t="s">
        <v>974</v>
      </c>
      <c r="AS323" s="103" t="s">
        <v>974</v>
      </c>
      <c r="AT323" s="103" t="s">
        <v>974</v>
      </c>
      <c r="AU323" s="103">
        <f t="shared" si="149"/>
        <v>142800</v>
      </c>
      <c r="AV323" s="103"/>
      <c r="AW323" s="121">
        <f t="shared" si="155"/>
        <v>142800</v>
      </c>
      <c r="AX323" s="121">
        <f t="shared" si="144"/>
        <v>142800</v>
      </c>
      <c r="AY323" s="163" t="s">
        <v>1073</v>
      </c>
      <c r="AZ323" s="160">
        <v>0</v>
      </c>
      <c r="BA323" s="138">
        <v>2</v>
      </c>
      <c r="BB323" s="138">
        <v>0</v>
      </c>
      <c r="BC323" s="139">
        <f t="shared" si="154"/>
        <v>2</v>
      </c>
      <c r="BD323" s="140">
        <f t="shared" si="128"/>
        <v>285600</v>
      </c>
    </row>
    <row r="324" spans="1:56" s="125" customFormat="1" ht="45" x14ac:dyDescent="0.2">
      <c r="A324" s="150">
        <v>17</v>
      </c>
      <c r="B324" s="148">
        <v>321</v>
      </c>
      <c r="C324" s="105">
        <v>42142502</v>
      </c>
      <c r="D324" s="106" t="s">
        <v>424</v>
      </c>
      <c r="E324" s="105" t="s">
        <v>424</v>
      </c>
      <c r="F324" s="105" t="s">
        <v>288</v>
      </c>
      <c r="G324" s="143" t="s">
        <v>978</v>
      </c>
      <c r="H324" s="143" t="s">
        <v>978</v>
      </c>
      <c r="I324" s="143" t="s">
        <v>978</v>
      </c>
      <c r="J324" s="104" t="s">
        <v>978</v>
      </c>
      <c r="K324" s="104" t="s">
        <v>978</v>
      </c>
      <c r="L324" s="104" t="s">
        <v>978</v>
      </c>
      <c r="M324" s="104" t="s">
        <v>978</v>
      </c>
      <c r="N324" s="104" t="s">
        <v>978</v>
      </c>
      <c r="O324" s="104" t="s">
        <v>978</v>
      </c>
      <c r="P324" s="104" t="s">
        <v>978</v>
      </c>
      <c r="Q324" s="104" t="s">
        <v>1012</v>
      </c>
      <c r="R324" s="104">
        <v>25191</v>
      </c>
      <c r="S324" s="104">
        <f>R324*(1+5.2%)*(1+5.1%)</f>
        <v>27852.479531999998</v>
      </c>
      <c r="T324" s="104" t="s">
        <v>978</v>
      </c>
      <c r="U324" s="104" t="s">
        <v>978</v>
      </c>
      <c r="V324" s="104" t="s">
        <v>978</v>
      </c>
      <c r="W324" s="104" t="s">
        <v>978</v>
      </c>
      <c r="X324" s="104" t="s">
        <v>978</v>
      </c>
      <c r="Y324" s="104" t="s">
        <v>978</v>
      </c>
      <c r="Z324" s="104" t="s">
        <v>978</v>
      </c>
      <c r="AA324" s="104" t="s">
        <v>978</v>
      </c>
      <c r="AB324" s="104" t="s">
        <v>978</v>
      </c>
      <c r="AC324" s="104" t="s">
        <v>978</v>
      </c>
      <c r="AD324" s="104" t="s">
        <v>978</v>
      </c>
      <c r="AE324" s="104" t="s">
        <v>978</v>
      </c>
      <c r="AF324" s="104" t="s">
        <v>978</v>
      </c>
      <c r="AG324" s="104" t="s">
        <v>978</v>
      </c>
      <c r="AH324" s="104" t="s">
        <v>978</v>
      </c>
      <c r="AI324" s="104" t="s">
        <v>978</v>
      </c>
      <c r="AJ324" s="104">
        <v>24189</v>
      </c>
      <c r="AK324" s="104">
        <f>AJ324*(1+5.1%)</f>
        <v>25422.638999999999</v>
      </c>
      <c r="AL324" s="104">
        <f t="shared" ref="AL324:AL333" si="156">+AVERAGE(K324,M324,O324,Q324,S324,U324,W324,Y324,AA324,AC324,AE324,AG324,AI324,AK324)</f>
        <v>26637.559265999997</v>
      </c>
      <c r="AM324" s="120" t="s">
        <v>978</v>
      </c>
      <c r="AN324" s="141">
        <v>274560</v>
      </c>
      <c r="AO324" s="119" t="s">
        <v>974</v>
      </c>
      <c r="AP324" s="103" t="s">
        <v>974</v>
      </c>
      <c r="AQ324" s="142">
        <v>38080</v>
      </c>
      <c r="AR324" s="103" t="s">
        <v>974</v>
      </c>
      <c r="AS324" s="103" t="s">
        <v>974</v>
      </c>
      <c r="AT324" s="103" t="s">
        <v>974</v>
      </c>
      <c r="AU324" s="103">
        <f t="shared" si="149"/>
        <v>38080</v>
      </c>
      <c r="AV324" s="103"/>
      <c r="AW324" s="121">
        <f t="shared" si="155"/>
        <v>32358.779632999998</v>
      </c>
      <c r="AX324" s="121">
        <f t="shared" ref="AX324:AX340" si="157">+ROUND(AW324,0)</f>
        <v>32359</v>
      </c>
      <c r="AY324" s="163" t="s">
        <v>1073</v>
      </c>
      <c r="AZ324" s="160">
        <v>10</v>
      </c>
      <c r="BA324" s="138">
        <v>40</v>
      </c>
      <c r="BB324" s="138">
        <v>12</v>
      </c>
      <c r="BC324" s="139">
        <f>+AZ324+BA324+BB324</f>
        <v>62</v>
      </c>
      <c r="BD324" s="140">
        <f t="shared" si="128"/>
        <v>2006258</v>
      </c>
    </row>
    <row r="325" spans="1:56" s="125" customFormat="1" ht="33.75" x14ac:dyDescent="0.2">
      <c r="A325" s="150">
        <v>17</v>
      </c>
      <c r="B325" s="148">
        <v>322</v>
      </c>
      <c r="C325" s="105">
        <v>42142502</v>
      </c>
      <c r="D325" s="106" t="s">
        <v>697</v>
      </c>
      <c r="E325" s="105" t="s">
        <v>697</v>
      </c>
      <c r="F325" s="105" t="s">
        <v>288</v>
      </c>
      <c r="G325" s="143" t="s">
        <v>978</v>
      </c>
      <c r="H325" s="143" t="s">
        <v>978</v>
      </c>
      <c r="I325" s="143" t="s">
        <v>978</v>
      </c>
      <c r="J325" s="104" t="s">
        <v>978</v>
      </c>
      <c r="K325" s="104" t="s">
        <v>978</v>
      </c>
      <c r="L325" s="104" t="s">
        <v>978</v>
      </c>
      <c r="M325" s="104" t="s">
        <v>978</v>
      </c>
      <c r="N325" s="104" t="s">
        <v>978</v>
      </c>
      <c r="O325" s="104" t="s">
        <v>978</v>
      </c>
      <c r="P325" s="104" t="s">
        <v>978</v>
      </c>
      <c r="Q325" s="104" t="s">
        <v>1012</v>
      </c>
      <c r="R325" s="104" t="s">
        <v>978</v>
      </c>
      <c r="S325" s="104" t="s">
        <v>978</v>
      </c>
      <c r="T325" s="104" t="s">
        <v>978</v>
      </c>
      <c r="U325" s="104" t="s">
        <v>978</v>
      </c>
      <c r="V325" s="104" t="s">
        <v>978</v>
      </c>
      <c r="W325" s="104" t="s">
        <v>978</v>
      </c>
      <c r="X325" s="104" t="s">
        <v>978</v>
      </c>
      <c r="Y325" s="104" t="s">
        <v>978</v>
      </c>
      <c r="Z325" s="104" t="s">
        <v>978</v>
      </c>
      <c r="AA325" s="104" t="s">
        <v>978</v>
      </c>
      <c r="AB325" s="104" t="s">
        <v>978</v>
      </c>
      <c r="AC325" s="104" t="s">
        <v>978</v>
      </c>
      <c r="AD325" s="104" t="s">
        <v>978</v>
      </c>
      <c r="AE325" s="104" t="s">
        <v>978</v>
      </c>
      <c r="AF325" s="104" t="s">
        <v>978</v>
      </c>
      <c r="AG325" s="104" t="s">
        <v>978</v>
      </c>
      <c r="AH325" s="104" t="s">
        <v>978</v>
      </c>
      <c r="AI325" s="104" t="s">
        <v>978</v>
      </c>
      <c r="AJ325" s="104" t="s">
        <v>978</v>
      </c>
      <c r="AK325" s="104" t="s">
        <v>978</v>
      </c>
      <c r="AL325" s="104" t="s">
        <v>978</v>
      </c>
      <c r="AM325" s="120" t="s">
        <v>978</v>
      </c>
      <c r="AN325" s="141">
        <v>38610</v>
      </c>
      <c r="AO325" s="119" t="s">
        <v>974</v>
      </c>
      <c r="AP325" s="103" t="s">
        <v>974</v>
      </c>
      <c r="AQ325" s="142">
        <v>38080</v>
      </c>
      <c r="AR325" s="103" t="s">
        <v>974</v>
      </c>
      <c r="AS325" s="103" t="s">
        <v>974</v>
      </c>
      <c r="AT325" s="103" t="s">
        <v>974</v>
      </c>
      <c r="AU325" s="103">
        <f t="shared" si="149"/>
        <v>38080</v>
      </c>
      <c r="AV325" s="103"/>
      <c r="AW325" s="121">
        <f t="shared" si="155"/>
        <v>38080</v>
      </c>
      <c r="AX325" s="121">
        <f t="shared" si="157"/>
        <v>38080</v>
      </c>
      <c r="AY325" s="163" t="s">
        <v>1073</v>
      </c>
      <c r="AZ325" s="160">
        <v>5</v>
      </c>
      <c r="BA325" s="138">
        <v>7</v>
      </c>
      <c r="BB325" s="138">
        <v>0</v>
      </c>
      <c r="BC325" s="139">
        <f>+AZ325+BA325+BB325</f>
        <v>12</v>
      </c>
      <c r="BD325" s="140">
        <f t="shared" ref="BD325:BD345" si="158">+BC325*AX325</f>
        <v>456960</v>
      </c>
    </row>
    <row r="326" spans="1:56" s="125" customFormat="1" ht="45" x14ac:dyDescent="0.2">
      <c r="A326" s="150">
        <v>17</v>
      </c>
      <c r="B326" s="148">
        <v>323</v>
      </c>
      <c r="C326" s="105">
        <v>42251608</v>
      </c>
      <c r="D326" s="106" t="s">
        <v>425</v>
      </c>
      <c r="E326" s="105" t="s">
        <v>958</v>
      </c>
      <c r="F326" s="105" t="s">
        <v>467</v>
      </c>
      <c r="G326" s="143" t="s">
        <v>978</v>
      </c>
      <c r="H326" s="143" t="s">
        <v>978</v>
      </c>
      <c r="I326" s="143" t="s">
        <v>978</v>
      </c>
      <c r="J326" s="104" t="s">
        <v>978</v>
      </c>
      <c r="K326" s="104" t="s">
        <v>978</v>
      </c>
      <c r="L326" s="104" t="s">
        <v>978</v>
      </c>
      <c r="M326" s="104" t="s">
        <v>978</v>
      </c>
      <c r="N326" s="104" t="s">
        <v>978</v>
      </c>
      <c r="O326" s="104" t="s">
        <v>978</v>
      </c>
      <c r="P326" s="104" t="s">
        <v>978</v>
      </c>
      <c r="Q326" s="104" t="s">
        <v>1012</v>
      </c>
      <c r="R326" s="104">
        <v>12232</v>
      </c>
      <c r="S326" s="104">
        <f>R326*(1+5.2%)*(1+5.1%)</f>
        <v>13524.335263999999</v>
      </c>
      <c r="T326" s="104" t="s">
        <v>978</v>
      </c>
      <c r="U326" s="104" t="s">
        <v>978</v>
      </c>
      <c r="V326" s="104" t="s">
        <v>978</v>
      </c>
      <c r="W326" s="104" t="s">
        <v>978</v>
      </c>
      <c r="X326" s="104" t="s">
        <v>978</v>
      </c>
      <c r="Y326" s="104" t="s">
        <v>978</v>
      </c>
      <c r="Z326" s="104" t="s">
        <v>978</v>
      </c>
      <c r="AA326" s="104" t="s">
        <v>978</v>
      </c>
      <c r="AB326" s="104" t="s">
        <v>978</v>
      </c>
      <c r="AC326" s="104" t="s">
        <v>978</v>
      </c>
      <c r="AD326" s="104" t="s">
        <v>978</v>
      </c>
      <c r="AE326" s="104" t="s">
        <v>978</v>
      </c>
      <c r="AF326" s="104" t="s">
        <v>978</v>
      </c>
      <c r="AG326" s="104" t="s">
        <v>978</v>
      </c>
      <c r="AH326" s="104" t="s">
        <v>978</v>
      </c>
      <c r="AI326" s="104" t="s">
        <v>978</v>
      </c>
      <c r="AJ326" s="104" t="s">
        <v>978</v>
      </c>
      <c r="AK326" s="104" t="s">
        <v>978</v>
      </c>
      <c r="AL326" s="104">
        <f t="shared" si="156"/>
        <v>13524.335263999999</v>
      </c>
      <c r="AM326" s="120" t="s">
        <v>978</v>
      </c>
      <c r="AN326" s="141">
        <v>15730</v>
      </c>
      <c r="AO326" s="119" t="s">
        <v>974</v>
      </c>
      <c r="AP326" s="103" t="s">
        <v>974</v>
      </c>
      <c r="AQ326" s="142">
        <v>24990</v>
      </c>
      <c r="AR326" s="103" t="s">
        <v>974</v>
      </c>
      <c r="AS326" s="103" t="s">
        <v>974</v>
      </c>
      <c r="AT326" s="103" t="s">
        <v>974</v>
      </c>
      <c r="AU326" s="103">
        <f t="shared" si="149"/>
        <v>15730</v>
      </c>
      <c r="AV326" s="103"/>
      <c r="AW326" s="121">
        <f t="shared" si="155"/>
        <v>14627.167632000001</v>
      </c>
      <c r="AX326" s="121">
        <f t="shared" si="157"/>
        <v>14627</v>
      </c>
      <c r="AY326" s="163" t="s">
        <v>1073</v>
      </c>
      <c r="AZ326" s="160">
        <v>12</v>
      </c>
      <c r="BA326" s="138">
        <v>20</v>
      </c>
      <c r="BB326" s="138">
        <v>0</v>
      </c>
      <c r="BC326" s="139">
        <f>+AZ326+BA326+BB326</f>
        <v>32</v>
      </c>
      <c r="BD326" s="140">
        <f t="shared" si="158"/>
        <v>468064</v>
      </c>
    </row>
    <row r="327" spans="1:56" s="125" customFormat="1" ht="22.5" x14ac:dyDescent="0.2">
      <c r="A327" s="150">
        <v>17</v>
      </c>
      <c r="B327" s="148">
        <v>324</v>
      </c>
      <c r="C327" s="105">
        <v>42151627</v>
      </c>
      <c r="D327" s="106" t="s">
        <v>426</v>
      </c>
      <c r="E327" s="105" t="s">
        <v>959</v>
      </c>
      <c r="F327" s="105" t="s">
        <v>454</v>
      </c>
      <c r="G327" s="143" t="s">
        <v>978</v>
      </c>
      <c r="H327" s="143" t="s">
        <v>978</v>
      </c>
      <c r="I327" s="143" t="s">
        <v>978</v>
      </c>
      <c r="J327" s="104" t="s">
        <v>978</v>
      </c>
      <c r="K327" s="104" t="s">
        <v>978</v>
      </c>
      <c r="L327" s="104" t="s">
        <v>978</v>
      </c>
      <c r="M327" s="104" t="s">
        <v>978</v>
      </c>
      <c r="N327" s="104" t="s">
        <v>978</v>
      </c>
      <c r="O327" s="104" t="s">
        <v>978</v>
      </c>
      <c r="P327" s="104" t="s">
        <v>978</v>
      </c>
      <c r="Q327" s="104" t="s">
        <v>1012</v>
      </c>
      <c r="R327" s="104">
        <v>37362</v>
      </c>
      <c r="S327" s="104">
        <f>R327*(1+5.2%)*(1+5.1%)</f>
        <v>41309.370023999996</v>
      </c>
      <c r="T327" s="104" t="s">
        <v>978</v>
      </c>
      <c r="U327" s="104" t="s">
        <v>978</v>
      </c>
      <c r="V327" s="104" t="s">
        <v>978</v>
      </c>
      <c r="W327" s="104" t="s">
        <v>978</v>
      </c>
      <c r="X327" s="104" t="s">
        <v>978</v>
      </c>
      <c r="Y327" s="104" t="s">
        <v>978</v>
      </c>
      <c r="Z327" s="104" t="s">
        <v>978</v>
      </c>
      <c r="AA327" s="104" t="s">
        <v>978</v>
      </c>
      <c r="AB327" s="104" t="s">
        <v>978</v>
      </c>
      <c r="AC327" s="104" t="s">
        <v>978</v>
      </c>
      <c r="AD327" s="104" t="s">
        <v>978</v>
      </c>
      <c r="AE327" s="104" t="s">
        <v>978</v>
      </c>
      <c r="AF327" s="104" t="s">
        <v>978</v>
      </c>
      <c r="AG327" s="104" t="s">
        <v>978</v>
      </c>
      <c r="AH327" s="104" t="s">
        <v>978</v>
      </c>
      <c r="AI327" s="104" t="s">
        <v>978</v>
      </c>
      <c r="AJ327" s="104">
        <v>54484</v>
      </c>
      <c r="AK327" s="104">
        <f>AJ327*(1+5.1%)</f>
        <v>57262.683999999994</v>
      </c>
      <c r="AL327" s="104">
        <f t="shared" si="156"/>
        <v>49286.027011999991</v>
      </c>
      <c r="AM327" s="120">
        <v>39200</v>
      </c>
      <c r="AN327" s="141">
        <v>37180</v>
      </c>
      <c r="AO327" s="119" t="s">
        <v>974</v>
      </c>
      <c r="AP327" s="103" t="s">
        <v>974</v>
      </c>
      <c r="AQ327" s="142">
        <v>57120</v>
      </c>
      <c r="AR327" s="103" t="s">
        <v>974</v>
      </c>
      <c r="AS327" s="103" t="s">
        <v>974</v>
      </c>
      <c r="AT327" s="103" t="s">
        <v>974</v>
      </c>
      <c r="AU327" s="103">
        <f t="shared" si="149"/>
        <v>37180</v>
      </c>
      <c r="AV327" s="103"/>
      <c r="AW327" s="121">
        <f t="shared" si="155"/>
        <v>43233.013505999996</v>
      </c>
      <c r="AX327" s="121">
        <f t="shared" si="157"/>
        <v>43233</v>
      </c>
      <c r="AY327" s="163" t="s">
        <v>1079</v>
      </c>
      <c r="AZ327" s="160">
        <v>0</v>
      </c>
      <c r="BA327" s="138">
        <v>16</v>
      </c>
      <c r="BB327" s="138">
        <v>12</v>
      </c>
      <c r="BC327" s="139">
        <f>+BA327+BB327</f>
        <v>28</v>
      </c>
      <c r="BD327" s="140">
        <f t="shared" si="158"/>
        <v>1210524</v>
      </c>
    </row>
    <row r="328" spans="1:56" s="125" customFormat="1" ht="56.25" x14ac:dyDescent="0.2">
      <c r="A328" s="150">
        <v>17</v>
      </c>
      <c r="B328" s="148">
        <v>325</v>
      </c>
      <c r="C328" s="105">
        <v>42151805</v>
      </c>
      <c r="D328" s="106" t="s">
        <v>427</v>
      </c>
      <c r="E328" s="105" t="s">
        <v>789</v>
      </c>
      <c r="F328" s="105" t="s">
        <v>468</v>
      </c>
      <c r="G328" s="143" t="s">
        <v>978</v>
      </c>
      <c r="H328" s="143" t="s">
        <v>978</v>
      </c>
      <c r="I328" s="143" t="s">
        <v>978</v>
      </c>
      <c r="J328" s="104" t="s">
        <v>978</v>
      </c>
      <c r="K328" s="104" t="s">
        <v>978</v>
      </c>
      <c r="L328" s="104" t="s">
        <v>978</v>
      </c>
      <c r="M328" s="104" t="s">
        <v>978</v>
      </c>
      <c r="N328" s="104" t="s">
        <v>978</v>
      </c>
      <c r="O328" s="104" t="s">
        <v>978</v>
      </c>
      <c r="P328" s="104" t="s">
        <v>978</v>
      </c>
      <c r="Q328" s="104" t="s">
        <v>1012</v>
      </c>
      <c r="R328" s="104" t="s">
        <v>978</v>
      </c>
      <c r="S328" s="104" t="s">
        <v>978</v>
      </c>
      <c r="T328" s="104" t="s">
        <v>978</v>
      </c>
      <c r="U328" s="104" t="s">
        <v>978</v>
      </c>
      <c r="V328" s="104" t="s">
        <v>978</v>
      </c>
      <c r="W328" s="104" t="s">
        <v>978</v>
      </c>
      <c r="X328" s="104" t="s">
        <v>978</v>
      </c>
      <c r="Y328" s="104" t="s">
        <v>978</v>
      </c>
      <c r="Z328" s="104" t="s">
        <v>978</v>
      </c>
      <c r="AA328" s="104" t="s">
        <v>978</v>
      </c>
      <c r="AB328" s="104" t="s">
        <v>978</v>
      </c>
      <c r="AC328" s="104" t="s">
        <v>978</v>
      </c>
      <c r="AD328" s="104" t="s">
        <v>978</v>
      </c>
      <c r="AE328" s="104" t="s">
        <v>978</v>
      </c>
      <c r="AF328" s="104" t="s">
        <v>978</v>
      </c>
      <c r="AG328" s="104" t="s">
        <v>978</v>
      </c>
      <c r="AH328" s="104" t="s">
        <v>978</v>
      </c>
      <c r="AI328" s="104" t="s">
        <v>978</v>
      </c>
      <c r="AJ328" s="104" t="s">
        <v>978</v>
      </c>
      <c r="AK328" s="104" t="s">
        <v>978</v>
      </c>
      <c r="AL328" s="104" t="s">
        <v>978</v>
      </c>
      <c r="AM328" s="120" t="s">
        <v>978</v>
      </c>
      <c r="AN328" s="141">
        <v>151580</v>
      </c>
      <c r="AO328" s="119" t="s">
        <v>974</v>
      </c>
      <c r="AP328" s="103" t="s">
        <v>974</v>
      </c>
      <c r="AQ328" s="142">
        <v>166600</v>
      </c>
      <c r="AR328" s="103" t="s">
        <v>974</v>
      </c>
      <c r="AS328" s="103" t="s">
        <v>974</v>
      </c>
      <c r="AT328" s="103" t="s">
        <v>974</v>
      </c>
      <c r="AU328" s="103">
        <f t="shared" si="149"/>
        <v>151580</v>
      </c>
      <c r="AV328" s="103"/>
      <c r="AW328" s="121">
        <f t="shared" si="155"/>
        <v>151580</v>
      </c>
      <c r="AX328" s="121">
        <f t="shared" si="157"/>
        <v>151580</v>
      </c>
      <c r="AY328" s="163" t="s">
        <v>1073</v>
      </c>
      <c r="AZ328" s="160">
        <v>0</v>
      </c>
      <c r="BA328" s="138">
        <v>30</v>
      </c>
      <c r="BB328" s="138">
        <v>12</v>
      </c>
      <c r="BC328" s="139">
        <f>+BA328+BB328</f>
        <v>42</v>
      </c>
      <c r="BD328" s="140">
        <f t="shared" si="158"/>
        <v>6366360</v>
      </c>
    </row>
    <row r="329" spans="1:56" s="125" customFormat="1" ht="56.25" x14ac:dyDescent="0.2">
      <c r="A329" s="150">
        <v>17</v>
      </c>
      <c r="B329" s="148">
        <v>326</v>
      </c>
      <c r="C329" s="105">
        <v>42151805</v>
      </c>
      <c r="D329" s="106" t="s">
        <v>428</v>
      </c>
      <c r="E329" s="105" t="s">
        <v>790</v>
      </c>
      <c r="F329" s="105" t="s">
        <v>468</v>
      </c>
      <c r="G329" s="143" t="s">
        <v>978</v>
      </c>
      <c r="H329" s="143" t="s">
        <v>978</v>
      </c>
      <c r="I329" s="143" t="s">
        <v>978</v>
      </c>
      <c r="J329" s="104" t="s">
        <v>978</v>
      </c>
      <c r="K329" s="104" t="s">
        <v>978</v>
      </c>
      <c r="L329" s="104" t="s">
        <v>978</v>
      </c>
      <c r="M329" s="104" t="s">
        <v>978</v>
      </c>
      <c r="N329" s="104" t="s">
        <v>978</v>
      </c>
      <c r="O329" s="104" t="s">
        <v>978</v>
      </c>
      <c r="P329" s="104" t="s">
        <v>978</v>
      </c>
      <c r="Q329" s="104" t="s">
        <v>1012</v>
      </c>
      <c r="R329" s="104" t="s">
        <v>978</v>
      </c>
      <c r="S329" s="104" t="s">
        <v>978</v>
      </c>
      <c r="T329" s="104" t="s">
        <v>978</v>
      </c>
      <c r="U329" s="104" t="s">
        <v>978</v>
      </c>
      <c r="V329" s="104" t="s">
        <v>978</v>
      </c>
      <c r="W329" s="104" t="s">
        <v>978</v>
      </c>
      <c r="X329" s="104" t="s">
        <v>978</v>
      </c>
      <c r="Y329" s="104" t="s">
        <v>978</v>
      </c>
      <c r="Z329" s="104" t="s">
        <v>978</v>
      </c>
      <c r="AA329" s="104" t="s">
        <v>978</v>
      </c>
      <c r="AB329" s="104" t="s">
        <v>978</v>
      </c>
      <c r="AC329" s="104" t="s">
        <v>978</v>
      </c>
      <c r="AD329" s="104" t="s">
        <v>978</v>
      </c>
      <c r="AE329" s="104" t="s">
        <v>978</v>
      </c>
      <c r="AF329" s="104" t="s">
        <v>978</v>
      </c>
      <c r="AG329" s="104" t="s">
        <v>978</v>
      </c>
      <c r="AH329" s="104" t="s">
        <v>978</v>
      </c>
      <c r="AI329" s="104" t="s">
        <v>978</v>
      </c>
      <c r="AJ329" s="104" t="s">
        <v>978</v>
      </c>
      <c r="AK329" s="104" t="s">
        <v>978</v>
      </c>
      <c r="AL329" s="104" t="s">
        <v>978</v>
      </c>
      <c r="AM329" s="120" t="s">
        <v>978</v>
      </c>
      <c r="AN329" s="141">
        <v>151580</v>
      </c>
      <c r="AO329" s="119" t="s">
        <v>974</v>
      </c>
      <c r="AP329" s="103" t="s">
        <v>974</v>
      </c>
      <c r="AQ329" s="142">
        <v>166600</v>
      </c>
      <c r="AR329" s="103" t="s">
        <v>974</v>
      </c>
      <c r="AS329" s="103" t="s">
        <v>974</v>
      </c>
      <c r="AT329" s="103" t="s">
        <v>974</v>
      </c>
      <c r="AU329" s="103">
        <f t="shared" si="149"/>
        <v>151580</v>
      </c>
      <c r="AV329" s="103"/>
      <c r="AW329" s="121">
        <f t="shared" si="155"/>
        <v>151580</v>
      </c>
      <c r="AX329" s="121">
        <f t="shared" si="157"/>
        <v>151580</v>
      </c>
      <c r="AY329" s="163" t="s">
        <v>1073</v>
      </c>
      <c r="AZ329" s="160">
        <v>0</v>
      </c>
      <c r="BA329" s="138">
        <v>30</v>
      </c>
      <c r="BB329" s="138">
        <v>12</v>
      </c>
      <c r="BC329" s="139">
        <f>+BA329+BB329</f>
        <v>42</v>
      </c>
      <c r="BD329" s="140">
        <f t="shared" si="158"/>
        <v>6366360</v>
      </c>
    </row>
    <row r="330" spans="1:56" s="125" customFormat="1" ht="78.75" x14ac:dyDescent="0.2">
      <c r="A330" s="150">
        <v>17</v>
      </c>
      <c r="B330" s="148">
        <v>327</v>
      </c>
      <c r="C330" s="105">
        <v>42151815</v>
      </c>
      <c r="D330" s="106" t="s">
        <v>429</v>
      </c>
      <c r="E330" s="105" t="s">
        <v>960</v>
      </c>
      <c r="F330" s="105" t="s">
        <v>469</v>
      </c>
      <c r="G330" s="143" t="s">
        <v>978</v>
      </c>
      <c r="H330" s="143" t="s">
        <v>978</v>
      </c>
      <c r="I330" s="143" t="s">
        <v>978</v>
      </c>
      <c r="J330" s="104" t="s">
        <v>978</v>
      </c>
      <c r="K330" s="104" t="s">
        <v>978</v>
      </c>
      <c r="L330" s="104" t="s">
        <v>978</v>
      </c>
      <c r="M330" s="104" t="s">
        <v>978</v>
      </c>
      <c r="N330" s="104" t="s">
        <v>978</v>
      </c>
      <c r="O330" s="104" t="s">
        <v>978</v>
      </c>
      <c r="P330" s="104" t="s">
        <v>978</v>
      </c>
      <c r="Q330" s="104" t="s">
        <v>1012</v>
      </c>
      <c r="R330" s="104" t="s">
        <v>978</v>
      </c>
      <c r="S330" s="104" t="s">
        <v>978</v>
      </c>
      <c r="T330" s="104" t="s">
        <v>978</v>
      </c>
      <c r="U330" s="104" t="s">
        <v>978</v>
      </c>
      <c r="V330" s="104" t="s">
        <v>978</v>
      </c>
      <c r="W330" s="104" t="s">
        <v>978</v>
      </c>
      <c r="X330" s="104" t="s">
        <v>978</v>
      </c>
      <c r="Y330" s="104" t="s">
        <v>978</v>
      </c>
      <c r="Z330" s="104" t="s">
        <v>978</v>
      </c>
      <c r="AA330" s="104" t="s">
        <v>978</v>
      </c>
      <c r="AB330" s="104" t="s">
        <v>978</v>
      </c>
      <c r="AC330" s="104" t="s">
        <v>978</v>
      </c>
      <c r="AD330" s="104" t="s">
        <v>978</v>
      </c>
      <c r="AE330" s="104" t="s">
        <v>978</v>
      </c>
      <c r="AF330" s="104" t="s">
        <v>978</v>
      </c>
      <c r="AG330" s="104" t="s">
        <v>978</v>
      </c>
      <c r="AH330" s="104" t="s">
        <v>978</v>
      </c>
      <c r="AI330" s="104" t="s">
        <v>978</v>
      </c>
      <c r="AJ330" s="104" t="s">
        <v>978</v>
      </c>
      <c r="AK330" s="104" t="s">
        <v>978</v>
      </c>
      <c r="AL330" s="104" t="s">
        <v>978</v>
      </c>
      <c r="AM330" s="120" t="s">
        <v>978</v>
      </c>
      <c r="AN330" s="141">
        <v>38610</v>
      </c>
      <c r="AO330" s="119" t="s">
        <v>974</v>
      </c>
      <c r="AP330" s="103" t="s">
        <v>974</v>
      </c>
      <c r="AQ330" s="142">
        <v>65450</v>
      </c>
      <c r="AR330" s="103" t="s">
        <v>974</v>
      </c>
      <c r="AS330" s="103" t="s">
        <v>974</v>
      </c>
      <c r="AT330" s="103" t="s">
        <v>974</v>
      </c>
      <c r="AU330" s="103">
        <f t="shared" si="149"/>
        <v>38610</v>
      </c>
      <c r="AV330" s="103"/>
      <c r="AW330" s="121">
        <f t="shared" si="155"/>
        <v>38610</v>
      </c>
      <c r="AX330" s="121">
        <f t="shared" si="157"/>
        <v>38610</v>
      </c>
      <c r="AY330" s="163" t="s">
        <v>1073</v>
      </c>
      <c r="AZ330" s="160">
        <v>0</v>
      </c>
      <c r="BA330" s="138">
        <v>12</v>
      </c>
      <c r="BB330" s="138">
        <v>0</v>
      </c>
      <c r="BC330" s="139">
        <f>+BA330+BB330</f>
        <v>12</v>
      </c>
      <c r="BD330" s="140">
        <f t="shared" si="158"/>
        <v>463320</v>
      </c>
    </row>
    <row r="331" spans="1:56" s="125" customFormat="1" ht="78.75" x14ac:dyDescent="0.2">
      <c r="A331" s="150">
        <v>17</v>
      </c>
      <c r="B331" s="148">
        <v>328</v>
      </c>
      <c r="C331" s="105">
        <v>42151815</v>
      </c>
      <c r="D331" s="106" t="s">
        <v>430</v>
      </c>
      <c r="E331" s="105" t="s">
        <v>961</v>
      </c>
      <c r="F331" s="105" t="s">
        <v>469</v>
      </c>
      <c r="G331" s="143" t="s">
        <v>978</v>
      </c>
      <c r="H331" s="143" t="s">
        <v>978</v>
      </c>
      <c r="I331" s="143" t="s">
        <v>978</v>
      </c>
      <c r="J331" s="104" t="s">
        <v>978</v>
      </c>
      <c r="K331" s="104" t="s">
        <v>978</v>
      </c>
      <c r="L331" s="104" t="s">
        <v>978</v>
      </c>
      <c r="M331" s="104" t="s">
        <v>978</v>
      </c>
      <c r="N331" s="104" t="s">
        <v>978</v>
      </c>
      <c r="O331" s="104" t="s">
        <v>978</v>
      </c>
      <c r="P331" s="104" t="s">
        <v>978</v>
      </c>
      <c r="Q331" s="104" t="s">
        <v>1012</v>
      </c>
      <c r="R331" s="104" t="s">
        <v>978</v>
      </c>
      <c r="S331" s="104" t="s">
        <v>978</v>
      </c>
      <c r="T331" s="104" t="s">
        <v>978</v>
      </c>
      <c r="U331" s="104" t="s">
        <v>978</v>
      </c>
      <c r="V331" s="104" t="s">
        <v>978</v>
      </c>
      <c r="W331" s="104" t="s">
        <v>978</v>
      </c>
      <c r="X331" s="104" t="s">
        <v>978</v>
      </c>
      <c r="Y331" s="104" t="s">
        <v>978</v>
      </c>
      <c r="Z331" s="104" t="s">
        <v>978</v>
      </c>
      <c r="AA331" s="104" t="s">
        <v>978</v>
      </c>
      <c r="AB331" s="104" t="s">
        <v>978</v>
      </c>
      <c r="AC331" s="104" t="s">
        <v>978</v>
      </c>
      <c r="AD331" s="104" t="s">
        <v>978</v>
      </c>
      <c r="AE331" s="104" t="s">
        <v>978</v>
      </c>
      <c r="AF331" s="104" t="s">
        <v>978</v>
      </c>
      <c r="AG331" s="104" t="s">
        <v>978</v>
      </c>
      <c r="AH331" s="104" t="s">
        <v>978</v>
      </c>
      <c r="AI331" s="104" t="s">
        <v>978</v>
      </c>
      <c r="AJ331" s="104" t="s">
        <v>978</v>
      </c>
      <c r="AK331" s="104" t="s">
        <v>978</v>
      </c>
      <c r="AL331" s="104" t="s">
        <v>978</v>
      </c>
      <c r="AM331" s="120" t="s">
        <v>978</v>
      </c>
      <c r="AN331" s="141">
        <v>38610</v>
      </c>
      <c r="AO331" s="119" t="s">
        <v>974</v>
      </c>
      <c r="AP331" s="103" t="s">
        <v>974</v>
      </c>
      <c r="AQ331" s="142">
        <v>65450</v>
      </c>
      <c r="AR331" s="103" t="s">
        <v>974</v>
      </c>
      <c r="AS331" s="103" t="s">
        <v>974</v>
      </c>
      <c r="AT331" s="103" t="s">
        <v>974</v>
      </c>
      <c r="AU331" s="103">
        <f t="shared" si="149"/>
        <v>38610</v>
      </c>
      <c r="AV331" s="103"/>
      <c r="AW331" s="121">
        <f t="shared" si="155"/>
        <v>38610</v>
      </c>
      <c r="AX331" s="121">
        <f t="shared" si="157"/>
        <v>38610</v>
      </c>
      <c r="AY331" s="163" t="s">
        <v>1073</v>
      </c>
      <c r="AZ331" s="160">
        <v>0</v>
      </c>
      <c r="BA331" s="138">
        <v>12</v>
      </c>
      <c r="BB331" s="138">
        <v>0</v>
      </c>
      <c r="BC331" s="139">
        <f>+BA331+BB331</f>
        <v>12</v>
      </c>
      <c r="BD331" s="140">
        <f t="shared" si="158"/>
        <v>463320</v>
      </c>
    </row>
    <row r="332" spans="1:56" s="125" customFormat="1" ht="22.5" x14ac:dyDescent="0.2">
      <c r="A332" s="150">
        <v>17</v>
      </c>
      <c r="B332" s="148">
        <v>329</v>
      </c>
      <c r="C332" s="105">
        <v>42152215</v>
      </c>
      <c r="D332" s="106" t="s">
        <v>431</v>
      </c>
      <c r="E332" s="105" t="s">
        <v>791</v>
      </c>
      <c r="F332" s="105" t="s">
        <v>446</v>
      </c>
      <c r="G332" s="143" t="s">
        <v>978</v>
      </c>
      <c r="H332" s="143" t="s">
        <v>978</v>
      </c>
      <c r="I332" s="143" t="s">
        <v>978</v>
      </c>
      <c r="J332" s="104" t="s">
        <v>978</v>
      </c>
      <c r="K332" s="104" t="s">
        <v>978</v>
      </c>
      <c r="L332" s="104" t="s">
        <v>978</v>
      </c>
      <c r="M332" s="104" t="s">
        <v>978</v>
      </c>
      <c r="N332" s="104" t="s">
        <v>978</v>
      </c>
      <c r="O332" s="104" t="s">
        <v>978</v>
      </c>
      <c r="P332" s="104" t="s">
        <v>978</v>
      </c>
      <c r="Q332" s="104" t="s">
        <v>1012</v>
      </c>
      <c r="R332" s="104" t="s">
        <v>978</v>
      </c>
      <c r="S332" s="104" t="s">
        <v>978</v>
      </c>
      <c r="T332" s="104" t="s">
        <v>978</v>
      </c>
      <c r="U332" s="104" t="s">
        <v>978</v>
      </c>
      <c r="V332" s="104" t="s">
        <v>978</v>
      </c>
      <c r="W332" s="104" t="s">
        <v>978</v>
      </c>
      <c r="X332" s="104" t="s">
        <v>978</v>
      </c>
      <c r="Y332" s="104" t="s">
        <v>978</v>
      </c>
      <c r="Z332" s="104" t="s">
        <v>978</v>
      </c>
      <c r="AA332" s="104" t="s">
        <v>978</v>
      </c>
      <c r="AB332" s="104" t="s">
        <v>978</v>
      </c>
      <c r="AC332" s="104" t="s">
        <v>978</v>
      </c>
      <c r="AD332" s="104" t="s">
        <v>978</v>
      </c>
      <c r="AE332" s="104" t="s">
        <v>978</v>
      </c>
      <c r="AF332" s="104" t="s">
        <v>978</v>
      </c>
      <c r="AG332" s="104" t="s">
        <v>978</v>
      </c>
      <c r="AH332" s="104" t="s">
        <v>978</v>
      </c>
      <c r="AI332" s="104" t="s">
        <v>978</v>
      </c>
      <c r="AJ332" s="104">
        <v>16320</v>
      </c>
      <c r="AK332" s="104">
        <f>AJ332*(1+5.1%)</f>
        <v>17152.32</v>
      </c>
      <c r="AL332" s="104">
        <f t="shared" si="156"/>
        <v>17152.32</v>
      </c>
      <c r="AM332" s="120">
        <v>22201</v>
      </c>
      <c r="AN332" s="141">
        <v>42900</v>
      </c>
      <c r="AO332" s="119" t="s">
        <v>974</v>
      </c>
      <c r="AP332" s="103" t="s">
        <v>974</v>
      </c>
      <c r="AQ332" s="142">
        <v>26180</v>
      </c>
      <c r="AR332" s="103" t="s">
        <v>974</v>
      </c>
      <c r="AS332" s="103" t="s">
        <v>974</v>
      </c>
      <c r="AT332" s="103" t="s">
        <v>974</v>
      </c>
      <c r="AU332" s="103">
        <f t="shared" si="149"/>
        <v>26180</v>
      </c>
      <c r="AV332" s="103"/>
      <c r="AW332" s="121">
        <f>+AVERAGE(AM332,AU332,AL332)</f>
        <v>21844.44</v>
      </c>
      <c r="AX332" s="121">
        <f t="shared" si="157"/>
        <v>21844</v>
      </c>
      <c r="AY332" s="163" t="s">
        <v>1085</v>
      </c>
      <c r="AZ332" s="160">
        <v>4</v>
      </c>
      <c r="BA332" s="138">
        <v>30</v>
      </c>
      <c r="BB332" s="138">
        <v>288</v>
      </c>
      <c r="BC332" s="139">
        <f t="shared" ref="BC332:BC338" si="159">+AZ332+BA332+BB332</f>
        <v>322</v>
      </c>
      <c r="BD332" s="140">
        <f t="shared" si="158"/>
        <v>7033768</v>
      </c>
    </row>
    <row r="333" spans="1:56" s="125" customFormat="1" ht="22.5" x14ac:dyDescent="0.2">
      <c r="A333" s="150">
        <v>17</v>
      </c>
      <c r="B333" s="148">
        <v>330</v>
      </c>
      <c r="C333" s="105">
        <v>42151630</v>
      </c>
      <c r="D333" s="106" t="s">
        <v>661</v>
      </c>
      <c r="E333" s="105" t="s">
        <v>749</v>
      </c>
      <c r="F333" s="105" t="s">
        <v>470</v>
      </c>
      <c r="G333" s="143" t="s">
        <v>978</v>
      </c>
      <c r="H333" s="143" t="s">
        <v>978</v>
      </c>
      <c r="I333" s="143" t="s">
        <v>978</v>
      </c>
      <c r="J333" s="104" t="s">
        <v>978</v>
      </c>
      <c r="K333" s="104" t="s">
        <v>978</v>
      </c>
      <c r="L333" s="104" t="s">
        <v>978</v>
      </c>
      <c r="M333" s="104" t="s">
        <v>978</v>
      </c>
      <c r="N333" s="104" t="s">
        <v>978</v>
      </c>
      <c r="O333" s="104" t="s">
        <v>978</v>
      </c>
      <c r="P333" s="104" t="s">
        <v>978</v>
      </c>
      <c r="Q333" s="104" t="s">
        <v>1012</v>
      </c>
      <c r="R333" s="104">
        <v>10599</v>
      </c>
      <c r="S333" s="104">
        <f>R333*(1+5.2%)*(1+5.1%)</f>
        <v>11718.805548</v>
      </c>
      <c r="T333" s="104" t="s">
        <v>978</v>
      </c>
      <c r="U333" s="104" t="s">
        <v>978</v>
      </c>
      <c r="V333" s="104" t="s">
        <v>978</v>
      </c>
      <c r="W333" s="104" t="s">
        <v>978</v>
      </c>
      <c r="X333" s="104" t="s">
        <v>978</v>
      </c>
      <c r="Y333" s="104" t="s">
        <v>978</v>
      </c>
      <c r="Z333" s="104" t="s">
        <v>978</v>
      </c>
      <c r="AA333" s="104" t="s">
        <v>978</v>
      </c>
      <c r="AB333" s="104" t="s">
        <v>978</v>
      </c>
      <c r="AC333" s="104" t="s">
        <v>978</v>
      </c>
      <c r="AD333" s="104" t="s">
        <v>978</v>
      </c>
      <c r="AE333" s="104" t="s">
        <v>978</v>
      </c>
      <c r="AF333" s="104" t="s">
        <v>978</v>
      </c>
      <c r="AG333" s="104" t="s">
        <v>978</v>
      </c>
      <c r="AH333" s="104" t="s">
        <v>978</v>
      </c>
      <c r="AI333" s="104" t="s">
        <v>978</v>
      </c>
      <c r="AJ333" s="104">
        <v>8752</v>
      </c>
      <c r="AK333" s="104">
        <f>AJ333*(1+5.1%)</f>
        <v>9198.351999999999</v>
      </c>
      <c r="AL333" s="104">
        <f t="shared" si="156"/>
        <v>10458.578774</v>
      </c>
      <c r="AM333" s="120" t="s">
        <v>978</v>
      </c>
      <c r="AN333" s="141">
        <v>14014</v>
      </c>
      <c r="AO333" s="119" t="s">
        <v>974</v>
      </c>
      <c r="AP333" s="103" t="s">
        <v>974</v>
      </c>
      <c r="AQ333" s="142">
        <v>16660</v>
      </c>
      <c r="AR333" s="103" t="s">
        <v>974</v>
      </c>
      <c r="AS333" s="103" t="s">
        <v>974</v>
      </c>
      <c r="AT333" s="103" t="s">
        <v>974</v>
      </c>
      <c r="AU333" s="103">
        <f t="shared" si="149"/>
        <v>14014</v>
      </c>
      <c r="AV333" s="103"/>
      <c r="AW333" s="121">
        <f t="shared" ref="AW333:AW341" si="160">+AVERAGE(AL333,AU333)</f>
        <v>12236.289387000001</v>
      </c>
      <c r="AX333" s="121">
        <f t="shared" si="157"/>
        <v>12236</v>
      </c>
      <c r="AY333" s="163" t="s">
        <v>1073</v>
      </c>
      <c r="AZ333" s="160">
        <v>87</v>
      </c>
      <c r="BA333" s="138">
        <v>91</v>
      </c>
      <c r="BB333" s="138">
        <v>84</v>
      </c>
      <c r="BC333" s="139">
        <f t="shared" si="159"/>
        <v>262</v>
      </c>
      <c r="BD333" s="140">
        <f t="shared" si="158"/>
        <v>3205832</v>
      </c>
    </row>
    <row r="334" spans="1:56" s="125" customFormat="1" ht="45" x14ac:dyDescent="0.2">
      <c r="A334" s="150">
        <v>17</v>
      </c>
      <c r="B334" s="148">
        <v>331</v>
      </c>
      <c r="C334" s="105">
        <v>42151614</v>
      </c>
      <c r="D334" s="106" t="s">
        <v>698</v>
      </c>
      <c r="E334" s="105" t="s">
        <v>792</v>
      </c>
      <c r="F334" s="105" t="s">
        <v>286</v>
      </c>
      <c r="G334" s="143" t="s">
        <v>978</v>
      </c>
      <c r="H334" s="143" t="s">
        <v>978</v>
      </c>
      <c r="I334" s="143" t="s">
        <v>978</v>
      </c>
      <c r="J334" s="104" t="s">
        <v>978</v>
      </c>
      <c r="K334" s="104" t="s">
        <v>978</v>
      </c>
      <c r="L334" s="104" t="s">
        <v>978</v>
      </c>
      <c r="M334" s="104" t="s">
        <v>978</v>
      </c>
      <c r="N334" s="104" t="s">
        <v>978</v>
      </c>
      <c r="O334" s="104" t="s">
        <v>978</v>
      </c>
      <c r="P334" s="104" t="s">
        <v>978</v>
      </c>
      <c r="Q334" s="104" t="s">
        <v>1012</v>
      </c>
      <c r="R334" s="104" t="s">
        <v>978</v>
      </c>
      <c r="S334" s="104" t="s">
        <v>978</v>
      </c>
      <c r="T334" s="104" t="s">
        <v>978</v>
      </c>
      <c r="U334" s="104" t="s">
        <v>978</v>
      </c>
      <c r="V334" s="104" t="s">
        <v>978</v>
      </c>
      <c r="W334" s="104" t="s">
        <v>978</v>
      </c>
      <c r="X334" s="104" t="s">
        <v>978</v>
      </c>
      <c r="Y334" s="104" t="s">
        <v>978</v>
      </c>
      <c r="Z334" s="104" t="s">
        <v>978</v>
      </c>
      <c r="AA334" s="104" t="s">
        <v>978</v>
      </c>
      <c r="AB334" s="104" t="s">
        <v>978</v>
      </c>
      <c r="AC334" s="104" t="s">
        <v>978</v>
      </c>
      <c r="AD334" s="104" t="s">
        <v>978</v>
      </c>
      <c r="AE334" s="104" t="s">
        <v>978</v>
      </c>
      <c r="AF334" s="104" t="s">
        <v>978</v>
      </c>
      <c r="AG334" s="104" t="s">
        <v>978</v>
      </c>
      <c r="AH334" s="104" t="s">
        <v>978</v>
      </c>
      <c r="AI334" s="104" t="s">
        <v>978</v>
      </c>
      <c r="AJ334" s="104" t="s">
        <v>978</v>
      </c>
      <c r="AK334" s="104" t="s">
        <v>978</v>
      </c>
      <c r="AL334" s="104" t="s">
        <v>978</v>
      </c>
      <c r="AM334" s="120" t="s">
        <v>978</v>
      </c>
      <c r="AN334" s="141">
        <v>31460</v>
      </c>
      <c r="AO334" s="119" t="s">
        <v>974</v>
      </c>
      <c r="AP334" s="103" t="s">
        <v>974</v>
      </c>
      <c r="AQ334" s="142">
        <v>9520</v>
      </c>
      <c r="AR334" s="103" t="s">
        <v>974</v>
      </c>
      <c r="AS334" s="103" t="s">
        <v>974</v>
      </c>
      <c r="AT334" s="103" t="s">
        <v>974</v>
      </c>
      <c r="AU334" s="103">
        <f t="shared" si="149"/>
        <v>9520</v>
      </c>
      <c r="AV334" s="103"/>
      <c r="AW334" s="121">
        <f t="shared" si="160"/>
        <v>9520</v>
      </c>
      <c r="AX334" s="121">
        <f t="shared" si="157"/>
        <v>9520</v>
      </c>
      <c r="AY334" s="163" t="s">
        <v>1073</v>
      </c>
      <c r="AZ334" s="160">
        <v>10</v>
      </c>
      <c r="BA334" s="138">
        <v>50</v>
      </c>
      <c r="BB334" s="138">
        <v>240</v>
      </c>
      <c r="BC334" s="139">
        <f t="shared" si="159"/>
        <v>300</v>
      </c>
      <c r="BD334" s="140">
        <f t="shared" si="158"/>
        <v>2856000</v>
      </c>
    </row>
    <row r="335" spans="1:56" s="125" customFormat="1" ht="33.75" x14ac:dyDescent="0.2">
      <c r="A335" s="150">
        <v>17</v>
      </c>
      <c r="B335" s="148">
        <v>332</v>
      </c>
      <c r="C335" s="105">
        <v>42151614</v>
      </c>
      <c r="D335" s="106" t="s">
        <v>699</v>
      </c>
      <c r="E335" s="105" t="s">
        <v>793</v>
      </c>
      <c r="F335" s="105" t="s">
        <v>286</v>
      </c>
      <c r="G335" s="143" t="s">
        <v>978</v>
      </c>
      <c r="H335" s="143" t="s">
        <v>978</v>
      </c>
      <c r="I335" s="143" t="s">
        <v>978</v>
      </c>
      <c r="J335" s="104" t="s">
        <v>978</v>
      </c>
      <c r="K335" s="104" t="s">
        <v>978</v>
      </c>
      <c r="L335" s="104" t="s">
        <v>978</v>
      </c>
      <c r="M335" s="104" t="s">
        <v>978</v>
      </c>
      <c r="N335" s="104" t="s">
        <v>978</v>
      </c>
      <c r="O335" s="104" t="s">
        <v>978</v>
      </c>
      <c r="P335" s="104" t="s">
        <v>978</v>
      </c>
      <c r="Q335" s="104" t="s">
        <v>1012</v>
      </c>
      <c r="R335" s="104" t="s">
        <v>978</v>
      </c>
      <c r="S335" s="104" t="s">
        <v>978</v>
      </c>
      <c r="T335" s="104" t="s">
        <v>978</v>
      </c>
      <c r="U335" s="104" t="s">
        <v>978</v>
      </c>
      <c r="V335" s="104" t="s">
        <v>978</v>
      </c>
      <c r="W335" s="104" t="s">
        <v>978</v>
      </c>
      <c r="X335" s="104" t="s">
        <v>978</v>
      </c>
      <c r="Y335" s="104" t="s">
        <v>978</v>
      </c>
      <c r="Z335" s="104" t="s">
        <v>978</v>
      </c>
      <c r="AA335" s="104" t="s">
        <v>978</v>
      </c>
      <c r="AB335" s="104" t="s">
        <v>978</v>
      </c>
      <c r="AC335" s="104" t="s">
        <v>978</v>
      </c>
      <c r="AD335" s="104" t="s">
        <v>978</v>
      </c>
      <c r="AE335" s="104" t="s">
        <v>978</v>
      </c>
      <c r="AF335" s="104" t="s">
        <v>978</v>
      </c>
      <c r="AG335" s="104" t="s">
        <v>978</v>
      </c>
      <c r="AH335" s="104" t="s">
        <v>978</v>
      </c>
      <c r="AI335" s="104" t="s">
        <v>978</v>
      </c>
      <c r="AJ335" s="104" t="s">
        <v>978</v>
      </c>
      <c r="AK335" s="104" t="s">
        <v>978</v>
      </c>
      <c r="AL335" s="104" t="s">
        <v>978</v>
      </c>
      <c r="AM335" s="120" t="s">
        <v>978</v>
      </c>
      <c r="AN335" s="141">
        <v>31460</v>
      </c>
      <c r="AO335" s="119" t="s">
        <v>974</v>
      </c>
      <c r="AP335" s="103" t="s">
        <v>974</v>
      </c>
      <c r="AQ335" s="142">
        <v>9520</v>
      </c>
      <c r="AR335" s="103" t="s">
        <v>974</v>
      </c>
      <c r="AS335" s="103" t="s">
        <v>974</v>
      </c>
      <c r="AT335" s="103" t="s">
        <v>974</v>
      </c>
      <c r="AU335" s="103">
        <f t="shared" si="149"/>
        <v>9520</v>
      </c>
      <c r="AV335" s="103"/>
      <c r="AW335" s="121">
        <f t="shared" si="160"/>
        <v>9520</v>
      </c>
      <c r="AX335" s="121">
        <f t="shared" si="157"/>
        <v>9520</v>
      </c>
      <c r="AY335" s="163" t="s">
        <v>1073</v>
      </c>
      <c r="AZ335" s="160">
        <v>10</v>
      </c>
      <c r="BA335" s="138">
        <v>100</v>
      </c>
      <c r="BB335" s="138">
        <v>240</v>
      </c>
      <c r="BC335" s="139">
        <f t="shared" si="159"/>
        <v>350</v>
      </c>
      <c r="BD335" s="140">
        <f t="shared" si="158"/>
        <v>3332000</v>
      </c>
    </row>
    <row r="336" spans="1:56" s="125" customFormat="1" ht="33.75" x14ac:dyDescent="0.2">
      <c r="A336" s="150">
        <v>17</v>
      </c>
      <c r="B336" s="148">
        <v>333</v>
      </c>
      <c r="C336" s="105">
        <v>42151614</v>
      </c>
      <c r="D336" s="106" t="s">
        <v>700</v>
      </c>
      <c r="E336" s="105" t="s">
        <v>794</v>
      </c>
      <c r="F336" s="105" t="s">
        <v>286</v>
      </c>
      <c r="G336" s="143" t="s">
        <v>978</v>
      </c>
      <c r="H336" s="143" t="s">
        <v>978</v>
      </c>
      <c r="I336" s="143" t="s">
        <v>978</v>
      </c>
      <c r="J336" s="104" t="s">
        <v>978</v>
      </c>
      <c r="K336" s="104" t="s">
        <v>978</v>
      </c>
      <c r="L336" s="104" t="s">
        <v>978</v>
      </c>
      <c r="M336" s="104" t="s">
        <v>978</v>
      </c>
      <c r="N336" s="104" t="s">
        <v>978</v>
      </c>
      <c r="O336" s="104" t="s">
        <v>978</v>
      </c>
      <c r="P336" s="104" t="s">
        <v>978</v>
      </c>
      <c r="Q336" s="104" t="s">
        <v>1012</v>
      </c>
      <c r="R336" s="104" t="s">
        <v>978</v>
      </c>
      <c r="S336" s="104" t="s">
        <v>978</v>
      </c>
      <c r="T336" s="104" t="s">
        <v>978</v>
      </c>
      <c r="U336" s="104" t="s">
        <v>978</v>
      </c>
      <c r="V336" s="104" t="s">
        <v>978</v>
      </c>
      <c r="W336" s="104" t="s">
        <v>978</v>
      </c>
      <c r="X336" s="104" t="s">
        <v>978</v>
      </c>
      <c r="Y336" s="104" t="s">
        <v>978</v>
      </c>
      <c r="Z336" s="104" t="s">
        <v>978</v>
      </c>
      <c r="AA336" s="104" t="s">
        <v>978</v>
      </c>
      <c r="AB336" s="104" t="s">
        <v>978</v>
      </c>
      <c r="AC336" s="104" t="s">
        <v>978</v>
      </c>
      <c r="AD336" s="104" t="s">
        <v>978</v>
      </c>
      <c r="AE336" s="104" t="s">
        <v>978</v>
      </c>
      <c r="AF336" s="104" t="s">
        <v>978</v>
      </c>
      <c r="AG336" s="104" t="s">
        <v>978</v>
      </c>
      <c r="AH336" s="104" t="s">
        <v>978</v>
      </c>
      <c r="AI336" s="104" t="s">
        <v>978</v>
      </c>
      <c r="AJ336" s="104" t="s">
        <v>978</v>
      </c>
      <c r="AK336" s="104" t="s">
        <v>978</v>
      </c>
      <c r="AL336" s="104" t="s">
        <v>978</v>
      </c>
      <c r="AM336" s="120" t="s">
        <v>978</v>
      </c>
      <c r="AN336" s="141">
        <v>31460</v>
      </c>
      <c r="AO336" s="119" t="s">
        <v>974</v>
      </c>
      <c r="AP336" s="103" t="s">
        <v>974</v>
      </c>
      <c r="AQ336" s="142">
        <v>9520</v>
      </c>
      <c r="AR336" s="103" t="s">
        <v>974</v>
      </c>
      <c r="AS336" s="103" t="s">
        <v>974</v>
      </c>
      <c r="AT336" s="103" t="s">
        <v>974</v>
      </c>
      <c r="AU336" s="103">
        <f t="shared" si="149"/>
        <v>9520</v>
      </c>
      <c r="AV336" s="103"/>
      <c r="AW336" s="121">
        <f t="shared" si="160"/>
        <v>9520</v>
      </c>
      <c r="AX336" s="121">
        <f t="shared" si="157"/>
        <v>9520</v>
      </c>
      <c r="AY336" s="163" t="s">
        <v>1073</v>
      </c>
      <c r="AZ336" s="160">
        <v>8</v>
      </c>
      <c r="BA336" s="138">
        <v>300</v>
      </c>
      <c r="BB336" s="138">
        <v>240</v>
      </c>
      <c r="BC336" s="139">
        <f t="shared" si="159"/>
        <v>548</v>
      </c>
      <c r="BD336" s="140">
        <f t="shared" si="158"/>
        <v>5216960</v>
      </c>
    </row>
    <row r="337" spans="1:57" s="125" customFormat="1" ht="33.75" x14ac:dyDescent="0.2">
      <c r="A337" s="150">
        <v>17</v>
      </c>
      <c r="B337" s="148">
        <v>334</v>
      </c>
      <c r="C337" s="105">
        <v>42151614</v>
      </c>
      <c r="D337" s="106" t="s">
        <v>701</v>
      </c>
      <c r="E337" s="105" t="s">
        <v>795</v>
      </c>
      <c r="F337" s="105" t="s">
        <v>286</v>
      </c>
      <c r="G337" s="143" t="s">
        <v>978</v>
      </c>
      <c r="H337" s="143" t="s">
        <v>978</v>
      </c>
      <c r="I337" s="143" t="s">
        <v>978</v>
      </c>
      <c r="J337" s="104" t="s">
        <v>978</v>
      </c>
      <c r="K337" s="104" t="s">
        <v>978</v>
      </c>
      <c r="L337" s="104" t="s">
        <v>978</v>
      </c>
      <c r="M337" s="104" t="s">
        <v>978</v>
      </c>
      <c r="N337" s="104" t="s">
        <v>978</v>
      </c>
      <c r="O337" s="104" t="s">
        <v>978</v>
      </c>
      <c r="P337" s="104" t="s">
        <v>978</v>
      </c>
      <c r="Q337" s="104" t="s">
        <v>1012</v>
      </c>
      <c r="R337" s="104" t="s">
        <v>978</v>
      </c>
      <c r="S337" s="104" t="s">
        <v>978</v>
      </c>
      <c r="T337" s="104" t="s">
        <v>978</v>
      </c>
      <c r="U337" s="104" t="s">
        <v>978</v>
      </c>
      <c r="V337" s="104" t="s">
        <v>978</v>
      </c>
      <c r="W337" s="104" t="s">
        <v>978</v>
      </c>
      <c r="X337" s="104" t="s">
        <v>978</v>
      </c>
      <c r="Y337" s="104" t="s">
        <v>978</v>
      </c>
      <c r="Z337" s="104" t="s">
        <v>978</v>
      </c>
      <c r="AA337" s="104" t="s">
        <v>978</v>
      </c>
      <c r="AB337" s="104" t="s">
        <v>978</v>
      </c>
      <c r="AC337" s="104" t="s">
        <v>978</v>
      </c>
      <c r="AD337" s="104" t="s">
        <v>978</v>
      </c>
      <c r="AE337" s="104" t="s">
        <v>978</v>
      </c>
      <c r="AF337" s="104" t="s">
        <v>978</v>
      </c>
      <c r="AG337" s="104" t="s">
        <v>978</v>
      </c>
      <c r="AH337" s="104" t="s">
        <v>978</v>
      </c>
      <c r="AI337" s="104" t="s">
        <v>978</v>
      </c>
      <c r="AJ337" s="104" t="s">
        <v>978</v>
      </c>
      <c r="AK337" s="104" t="s">
        <v>978</v>
      </c>
      <c r="AL337" s="104" t="s">
        <v>978</v>
      </c>
      <c r="AM337" s="120" t="s">
        <v>978</v>
      </c>
      <c r="AN337" s="141">
        <v>31460</v>
      </c>
      <c r="AO337" s="119" t="s">
        <v>974</v>
      </c>
      <c r="AP337" s="103" t="s">
        <v>974</v>
      </c>
      <c r="AQ337" s="142">
        <v>9520</v>
      </c>
      <c r="AR337" s="103" t="s">
        <v>974</v>
      </c>
      <c r="AS337" s="103" t="s">
        <v>974</v>
      </c>
      <c r="AT337" s="103" t="s">
        <v>974</v>
      </c>
      <c r="AU337" s="103">
        <f t="shared" si="149"/>
        <v>9520</v>
      </c>
      <c r="AV337" s="103"/>
      <c r="AW337" s="121">
        <f t="shared" si="160"/>
        <v>9520</v>
      </c>
      <c r="AX337" s="121">
        <f t="shared" si="157"/>
        <v>9520</v>
      </c>
      <c r="AY337" s="163" t="s">
        <v>1073</v>
      </c>
      <c r="AZ337" s="160">
        <v>8</v>
      </c>
      <c r="BA337" s="138">
        <v>100</v>
      </c>
      <c r="BB337" s="138">
        <v>120</v>
      </c>
      <c r="BC337" s="139">
        <f t="shared" si="159"/>
        <v>228</v>
      </c>
      <c r="BD337" s="140">
        <f t="shared" si="158"/>
        <v>2170560</v>
      </c>
    </row>
    <row r="338" spans="1:57" s="125" customFormat="1" ht="56.25" x14ac:dyDescent="0.2">
      <c r="A338" s="150">
        <v>17</v>
      </c>
      <c r="B338" s="148">
        <v>335</v>
      </c>
      <c r="C338" s="105">
        <v>42151614</v>
      </c>
      <c r="D338" s="106" t="s">
        <v>432</v>
      </c>
      <c r="E338" s="105" t="s">
        <v>432</v>
      </c>
      <c r="F338" s="105" t="s">
        <v>471</v>
      </c>
      <c r="G338" s="143" t="s">
        <v>978</v>
      </c>
      <c r="H338" s="143" t="s">
        <v>978</v>
      </c>
      <c r="I338" s="143" t="s">
        <v>978</v>
      </c>
      <c r="J338" s="104" t="s">
        <v>978</v>
      </c>
      <c r="K338" s="104" t="s">
        <v>978</v>
      </c>
      <c r="L338" s="104" t="s">
        <v>978</v>
      </c>
      <c r="M338" s="104" t="s">
        <v>978</v>
      </c>
      <c r="N338" s="104" t="s">
        <v>978</v>
      </c>
      <c r="O338" s="104" t="s">
        <v>978</v>
      </c>
      <c r="P338" s="104" t="s">
        <v>978</v>
      </c>
      <c r="Q338" s="104" t="s">
        <v>1012</v>
      </c>
      <c r="R338" s="104" t="s">
        <v>978</v>
      </c>
      <c r="S338" s="104" t="s">
        <v>978</v>
      </c>
      <c r="T338" s="104" t="s">
        <v>978</v>
      </c>
      <c r="U338" s="104" t="s">
        <v>978</v>
      </c>
      <c r="V338" s="104" t="s">
        <v>978</v>
      </c>
      <c r="W338" s="104" t="s">
        <v>978</v>
      </c>
      <c r="X338" s="104" t="s">
        <v>978</v>
      </c>
      <c r="Y338" s="104" t="s">
        <v>978</v>
      </c>
      <c r="Z338" s="104" t="s">
        <v>978</v>
      </c>
      <c r="AA338" s="104" t="s">
        <v>978</v>
      </c>
      <c r="AB338" s="104" t="s">
        <v>978</v>
      </c>
      <c r="AC338" s="104" t="s">
        <v>978</v>
      </c>
      <c r="AD338" s="104" t="s">
        <v>978</v>
      </c>
      <c r="AE338" s="104" t="s">
        <v>978</v>
      </c>
      <c r="AF338" s="104" t="s">
        <v>978</v>
      </c>
      <c r="AG338" s="104" t="s">
        <v>978</v>
      </c>
      <c r="AH338" s="104" t="s">
        <v>978</v>
      </c>
      <c r="AI338" s="104" t="s">
        <v>978</v>
      </c>
      <c r="AJ338" s="104" t="s">
        <v>978</v>
      </c>
      <c r="AK338" s="104" t="s">
        <v>978</v>
      </c>
      <c r="AL338" s="104" t="s">
        <v>978</v>
      </c>
      <c r="AM338" s="120" t="s">
        <v>978</v>
      </c>
      <c r="AN338" s="141">
        <v>314600</v>
      </c>
      <c r="AO338" s="119" t="s">
        <v>974</v>
      </c>
      <c r="AP338" s="103" t="s">
        <v>974</v>
      </c>
      <c r="AQ338" s="142">
        <v>95200</v>
      </c>
      <c r="AR338" s="103" t="s">
        <v>974</v>
      </c>
      <c r="AS338" s="103" t="s">
        <v>974</v>
      </c>
      <c r="AT338" s="103" t="s">
        <v>974</v>
      </c>
      <c r="AU338" s="103">
        <f t="shared" si="149"/>
        <v>95200</v>
      </c>
      <c r="AV338" s="103"/>
      <c r="AW338" s="121">
        <f t="shared" si="160"/>
        <v>95200</v>
      </c>
      <c r="AX338" s="121">
        <f t="shared" si="157"/>
        <v>95200</v>
      </c>
      <c r="AY338" s="163" t="s">
        <v>1073</v>
      </c>
      <c r="AZ338" s="160">
        <v>20</v>
      </c>
      <c r="BA338" s="138">
        <v>50</v>
      </c>
      <c r="BB338" s="138">
        <v>240</v>
      </c>
      <c r="BC338" s="139">
        <f t="shared" si="159"/>
        <v>310</v>
      </c>
      <c r="BD338" s="140">
        <f t="shared" si="158"/>
        <v>29512000</v>
      </c>
    </row>
    <row r="339" spans="1:57" s="125" customFormat="1" ht="45" x14ac:dyDescent="0.2">
      <c r="A339" s="150">
        <v>17</v>
      </c>
      <c r="B339" s="148">
        <v>336</v>
      </c>
      <c r="C339" s="105">
        <v>42151614</v>
      </c>
      <c r="D339" s="106" t="s">
        <v>702</v>
      </c>
      <c r="E339" s="105" t="s">
        <v>702</v>
      </c>
      <c r="F339" s="105" t="s">
        <v>286</v>
      </c>
      <c r="G339" s="143" t="s">
        <v>978</v>
      </c>
      <c r="H339" s="143" t="s">
        <v>978</v>
      </c>
      <c r="I339" s="143" t="s">
        <v>978</v>
      </c>
      <c r="J339" s="104" t="s">
        <v>978</v>
      </c>
      <c r="K339" s="104" t="s">
        <v>978</v>
      </c>
      <c r="L339" s="104" t="s">
        <v>978</v>
      </c>
      <c r="M339" s="104" t="s">
        <v>978</v>
      </c>
      <c r="N339" s="104" t="s">
        <v>978</v>
      </c>
      <c r="O339" s="104" t="s">
        <v>978</v>
      </c>
      <c r="P339" s="104" t="s">
        <v>978</v>
      </c>
      <c r="Q339" s="104" t="s">
        <v>1012</v>
      </c>
      <c r="R339" s="104" t="s">
        <v>978</v>
      </c>
      <c r="S339" s="104" t="s">
        <v>978</v>
      </c>
      <c r="T339" s="104" t="s">
        <v>978</v>
      </c>
      <c r="U339" s="104" t="s">
        <v>978</v>
      </c>
      <c r="V339" s="104" t="s">
        <v>978</v>
      </c>
      <c r="W339" s="104" t="s">
        <v>978</v>
      </c>
      <c r="X339" s="104" t="s">
        <v>978</v>
      </c>
      <c r="Y339" s="104" t="s">
        <v>978</v>
      </c>
      <c r="Z339" s="104" t="s">
        <v>978</v>
      </c>
      <c r="AA339" s="104" t="s">
        <v>978</v>
      </c>
      <c r="AB339" s="104" t="s">
        <v>978</v>
      </c>
      <c r="AC339" s="104" t="s">
        <v>978</v>
      </c>
      <c r="AD339" s="104" t="s">
        <v>978</v>
      </c>
      <c r="AE339" s="104" t="s">
        <v>978</v>
      </c>
      <c r="AF339" s="104" t="s">
        <v>978</v>
      </c>
      <c r="AG339" s="104" t="s">
        <v>978</v>
      </c>
      <c r="AH339" s="104" t="s">
        <v>978</v>
      </c>
      <c r="AI339" s="104" t="s">
        <v>978</v>
      </c>
      <c r="AJ339" s="104" t="s">
        <v>978</v>
      </c>
      <c r="AK339" s="104" t="s">
        <v>978</v>
      </c>
      <c r="AL339" s="104" t="s">
        <v>978</v>
      </c>
      <c r="AM339" s="120" t="s">
        <v>978</v>
      </c>
      <c r="AN339" s="141">
        <v>31460</v>
      </c>
      <c r="AO339" s="119" t="s">
        <v>974</v>
      </c>
      <c r="AP339" s="103" t="s">
        <v>974</v>
      </c>
      <c r="AQ339" s="142">
        <v>11900</v>
      </c>
      <c r="AR339" s="103" t="s">
        <v>974</v>
      </c>
      <c r="AS339" s="103" t="s">
        <v>974</v>
      </c>
      <c r="AT339" s="103" t="s">
        <v>974</v>
      </c>
      <c r="AU339" s="103">
        <f t="shared" si="149"/>
        <v>11900</v>
      </c>
      <c r="AV339" s="103"/>
      <c r="AW339" s="121">
        <f t="shared" si="160"/>
        <v>11900</v>
      </c>
      <c r="AX339" s="121">
        <f t="shared" si="157"/>
        <v>11900</v>
      </c>
      <c r="AY339" s="163" t="s">
        <v>1073</v>
      </c>
      <c r="AZ339" s="160">
        <v>0</v>
      </c>
      <c r="BA339" s="138">
        <v>50</v>
      </c>
      <c r="BB339" s="138">
        <v>0</v>
      </c>
      <c r="BC339" s="139">
        <f>+BA339+BB339</f>
        <v>50</v>
      </c>
      <c r="BD339" s="140">
        <f t="shared" si="158"/>
        <v>595000</v>
      </c>
    </row>
    <row r="340" spans="1:57" s="125" customFormat="1" ht="33.75" x14ac:dyDescent="0.2">
      <c r="A340" s="150">
        <v>17</v>
      </c>
      <c r="B340" s="148">
        <v>337</v>
      </c>
      <c r="C340" s="105">
        <v>42151614</v>
      </c>
      <c r="D340" s="106" t="s">
        <v>703</v>
      </c>
      <c r="E340" s="105" t="s">
        <v>703</v>
      </c>
      <c r="F340" s="105" t="s">
        <v>286</v>
      </c>
      <c r="G340" s="143" t="s">
        <v>978</v>
      </c>
      <c r="H340" s="143" t="s">
        <v>978</v>
      </c>
      <c r="I340" s="143" t="s">
        <v>978</v>
      </c>
      <c r="J340" s="104" t="s">
        <v>978</v>
      </c>
      <c r="K340" s="104" t="s">
        <v>978</v>
      </c>
      <c r="L340" s="104" t="s">
        <v>978</v>
      </c>
      <c r="M340" s="104" t="s">
        <v>978</v>
      </c>
      <c r="N340" s="104" t="s">
        <v>978</v>
      </c>
      <c r="O340" s="104" t="s">
        <v>978</v>
      </c>
      <c r="P340" s="104" t="s">
        <v>978</v>
      </c>
      <c r="Q340" s="104" t="s">
        <v>1012</v>
      </c>
      <c r="R340" s="104" t="s">
        <v>978</v>
      </c>
      <c r="S340" s="104" t="s">
        <v>978</v>
      </c>
      <c r="T340" s="104" t="s">
        <v>978</v>
      </c>
      <c r="U340" s="104" t="s">
        <v>978</v>
      </c>
      <c r="V340" s="104" t="s">
        <v>978</v>
      </c>
      <c r="W340" s="104" t="s">
        <v>978</v>
      </c>
      <c r="X340" s="104" t="s">
        <v>978</v>
      </c>
      <c r="Y340" s="104" t="s">
        <v>978</v>
      </c>
      <c r="Z340" s="104" t="s">
        <v>978</v>
      </c>
      <c r="AA340" s="104" t="s">
        <v>978</v>
      </c>
      <c r="AB340" s="104" t="s">
        <v>978</v>
      </c>
      <c r="AC340" s="104" t="s">
        <v>978</v>
      </c>
      <c r="AD340" s="104" t="s">
        <v>978</v>
      </c>
      <c r="AE340" s="104" t="s">
        <v>978</v>
      </c>
      <c r="AF340" s="104" t="s">
        <v>978</v>
      </c>
      <c r="AG340" s="104" t="s">
        <v>978</v>
      </c>
      <c r="AH340" s="104" t="s">
        <v>978</v>
      </c>
      <c r="AI340" s="104" t="s">
        <v>978</v>
      </c>
      <c r="AJ340" s="104" t="s">
        <v>978</v>
      </c>
      <c r="AK340" s="104" t="s">
        <v>978</v>
      </c>
      <c r="AL340" s="104" t="s">
        <v>978</v>
      </c>
      <c r="AM340" s="120" t="s">
        <v>978</v>
      </c>
      <c r="AN340" s="141">
        <v>31460</v>
      </c>
      <c r="AO340" s="119" t="s">
        <v>974</v>
      </c>
      <c r="AP340" s="103" t="s">
        <v>974</v>
      </c>
      <c r="AQ340" s="142">
        <v>11900</v>
      </c>
      <c r="AR340" s="103" t="s">
        <v>974</v>
      </c>
      <c r="AS340" s="103" t="s">
        <v>974</v>
      </c>
      <c r="AT340" s="103" t="s">
        <v>974</v>
      </c>
      <c r="AU340" s="103">
        <f t="shared" si="149"/>
        <v>11900</v>
      </c>
      <c r="AV340" s="103"/>
      <c r="AW340" s="121">
        <f t="shared" si="160"/>
        <v>11900</v>
      </c>
      <c r="AX340" s="121">
        <f t="shared" si="157"/>
        <v>11900</v>
      </c>
      <c r="AY340" s="163" t="s">
        <v>1073</v>
      </c>
      <c r="AZ340" s="160">
        <v>0</v>
      </c>
      <c r="BA340" s="138">
        <v>20</v>
      </c>
      <c r="BB340" s="138">
        <v>0</v>
      </c>
      <c r="BC340" s="139">
        <f>+AZ340+BA340+BB340</f>
        <v>20</v>
      </c>
      <c r="BD340" s="140">
        <f t="shared" si="158"/>
        <v>238000</v>
      </c>
    </row>
    <row r="341" spans="1:57" s="125" customFormat="1" ht="22.5" x14ac:dyDescent="0.2">
      <c r="A341" s="150">
        <v>17</v>
      </c>
      <c r="B341" s="148">
        <v>338</v>
      </c>
      <c r="C341" s="105">
        <v>42151611</v>
      </c>
      <c r="D341" s="106" t="s">
        <v>433</v>
      </c>
      <c r="E341" s="105" t="s">
        <v>796</v>
      </c>
      <c r="F341" s="105" t="s">
        <v>458</v>
      </c>
      <c r="G341" s="143" t="s">
        <v>978</v>
      </c>
      <c r="H341" s="143" t="s">
        <v>978</v>
      </c>
      <c r="I341" s="143" t="s">
        <v>978</v>
      </c>
      <c r="J341" s="104" t="s">
        <v>978</v>
      </c>
      <c r="K341" s="104" t="s">
        <v>978</v>
      </c>
      <c r="L341" s="104" t="s">
        <v>978</v>
      </c>
      <c r="M341" s="104" t="s">
        <v>978</v>
      </c>
      <c r="N341" s="104" t="s">
        <v>978</v>
      </c>
      <c r="O341" s="104" t="s">
        <v>978</v>
      </c>
      <c r="P341" s="104" t="s">
        <v>978</v>
      </c>
      <c r="Q341" s="104" t="s">
        <v>1012</v>
      </c>
      <c r="R341" s="104">
        <v>64183</v>
      </c>
      <c r="S341" s="104">
        <f>R341*(1+5.2%)*(1+5.1%)</f>
        <v>70964.062315999996</v>
      </c>
      <c r="T341" s="104" t="s">
        <v>978</v>
      </c>
      <c r="U341" s="104" t="s">
        <v>978</v>
      </c>
      <c r="V341" s="104" t="s">
        <v>978</v>
      </c>
      <c r="W341" s="104" t="s">
        <v>978</v>
      </c>
      <c r="X341" s="104" t="s">
        <v>978</v>
      </c>
      <c r="Y341" s="104" t="s">
        <v>978</v>
      </c>
      <c r="Z341" s="104" t="s">
        <v>978</v>
      </c>
      <c r="AA341" s="104" t="s">
        <v>978</v>
      </c>
      <c r="AB341" s="104" t="s">
        <v>978</v>
      </c>
      <c r="AC341" s="104" t="s">
        <v>978</v>
      </c>
      <c r="AD341" s="104" t="s">
        <v>978</v>
      </c>
      <c r="AE341" s="104" t="s">
        <v>978</v>
      </c>
      <c r="AF341" s="104" t="s">
        <v>978</v>
      </c>
      <c r="AG341" s="104" t="s">
        <v>978</v>
      </c>
      <c r="AH341" s="104" t="s">
        <v>978</v>
      </c>
      <c r="AI341" s="104" t="s">
        <v>978</v>
      </c>
      <c r="AJ341" s="104" t="s">
        <v>978</v>
      </c>
      <c r="AK341" s="104" t="s">
        <v>978</v>
      </c>
      <c r="AL341" s="104">
        <f>+AVERAGE(K341,M341,O341,Q341,S341,U341,W341,Y341,AA341,AC341,AE341,AG341,AI341,AK341)</f>
        <v>70964.062315999996</v>
      </c>
      <c r="AM341" s="120" t="s">
        <v>978</v>
      </c>
      <c r="AN341" s="141">
        <v>386100</v>
      </c>
      <c r="AO341" s="119" t="s">
        <v>974</v>
      </c>
      <c r="AP341" s="103" t="s">
        <v>974</v>
      </c>
      <c r="AQ341" s="142">
        <v>116620</v>
      </c>
      <c r="AR341" s="103" t="s">
        <v>974</v>
      </c>
      <c r="AS341" s="103" t="s">
        <v>974</v>
      </c>
      <c r="AT341" s="103" t="s">
        <v>974</v>
      </c>
      <c r="AU341" s="103">
        <f t="shared" si="149"/>
        <v>116620</v>
      </c>
      <c r="AV341" s="103"/>
      <c r="AW341" s="121">
        <f t="shared" si="160"/>
        <v>93792.031157999998</v>
      </c>
      <c r="AX341" s="121">
        <f>+ROUND(AW341,0)</f>
        <v>93792</v>
      </c>
      <c r="AY341" s="163" t="s">
        <v>1073</v>
      </c>
      <c r="AZ341" s="160">
        <v>0</v>
      </c>
      <c r="BA341" s="138">
        <v>10</v>
      </c>
      <c r="BB341" s="138">
        <v>60</v>
      </c>
      <c r="BC341" s="139">
        <f>+BA341+BB341</f>
        <v>70</v>
      </c>
      <c r="BD341" s="140">
        <f t="shared" si="158"/>
        <v>6565440</v>
      </c>
    </row>
    <row r="342" spans="1:57" s="125" customFormat="1" ht="33.75" x14ac:dyDescent="0.2">
      <c r="A342" s="149">
        <v>18</v>
      </c>
      <c r="B342" s="148">
        <v>339</v>
      </c>
      <c r="C342" s="105">
        <v>14111539</v>
      </c>
      <c r="D342" s="106" t="s">
        <v>473</v>
      </c>
      <c r="E342" s="105" t="s">
        <v>797</v>
      </c>
      <c r="F342" s="105" t="s">
        <v>286</v>
      </c>
      <c r="G342" s="143" t="s">
        <v>978</v>
      </c>
      <c r="H342" s="143" t="s">
        <v>978</v>
      </c>
      <c r="I342" s="143" t="s">
        <v>978</v>
      </c>
      <c r="J342" s="104" t="s">
        <v>978</v>
      </c>
      <c r="K342" s="104" t="s">
        <v>978</v>
      </c>
      <c r="L342" s="104" t="s">
        <v>978</v>
      </c>
      <c r="M342" s="104" t="s">
        <v>978</v>
      </c>
      <c r="N342" s="104" t="s">
        <v>978</v>
      </c>
      <c r="O342" s="104" t="s">
        <v>978</v>
      </c>
      <c r="P342" s="104" t="s">
        <v>978</v>
      </c>
      <c r="Q342" s="104" t="s">
        <v>1012</v>
      </c>
      <c r="R342" s="104" t="s">
        <v>978</v>
      </c>
      <c r="S342" s="104" t="s">
        <v>978</v>
      </c>
      <c r="T342" s="104" t="s">
        <v>978</v>
      </c>
      <c r="U342" s="104" t="s">
        <v>978</v>
      </c>
      <c r="V342" s="104" t="s">
        <v>978</v>
      </c>
      <c r="W342" s="104" t="s">
        <v>978</v>
      </c>
      <c r="X342" s="104" t="s">
        <v>978</v>
      </c>
      <c r="Y342" s="104" t="s">
        <v>978</v>
      </c>
      <c r="Z342" s="104" t="s">
        <v>978</v>
      </c>
      <c r="AA342" s="104" t="s">
        <v>978</v>
      </c>
      <c r="AB342" s="104" t="s">
        <v>978</v>
      </c>
      <c r="AC342" s="104" t="s">
        <v>978</v>
      </c>
      <c r="AD342" s="104" t="s">
        <v>978</v>
      </c>
      <c r="AE342" s="104" t="s">
        <v>978</v>
      </c>
      <c r="AF342" s="104" t="s">
        <v>978</v>
      </c>
      <c r="AG342" s="104" t="s">
        <v>978</v>
      </c>
      <c r="AH342" s="104" t="s">
        <v>978</v>
      </c>
      <c r="AI342" s="104" t="s">
        <v>978</v>
      </c>
      <c r="AJ342" s="104" t="s">
        <v>978</v>
      </c>
      <c r="AK342" s="104" t="s">
        <v>978</v>
      </c>
      <c r="AL342" s="104" t="s">
        <v>978</v>
      </c>
      <c r="AM342" s="120">
        <v>8142</v>
      </c>
      <c r="AN342" s="141">
        <v>9295</v>
      </c>
      <c r="AO342" s="119" t="s">
        <v>974</v>
      </c>
      <c r="AP342" s="103" t="s">
        <v>974</v>
      </c>
      <c r="AQ342" s="142">
        <v>107100</v>
      </c>
      <c r="AR342" s="103" t="s">
        <v>974</v>
      </c>
      <c r="AS342" s="103" t="s">
        <v>974</v>
      </c>
      <c r="AT342" s="103" t="s">
        <v>974</v>
      </c>
      <c r="AU342" s="103">
        <f t="shared" si="149"/>
        <v>9295</v>
      </c>
      <c r="AV342" s="103"/>
      <c r="AW342" s="121">
        <f>+AVERAGE(AM342,AU342,AL342)</f>
        <v>8718.5</v>
      </c>
      <c r="AX342" s="121">
        <f t="shared" ref="AX342" si="161">+ROUND(AW342,0)</f>
        <v>8719</v>
      </c>
      <c r="AY342" s="163" t="s">
        <v>1085</v>
      </c>
      <c r="AZ342" s="160">
        <v>2</v>
      </c>
      <c r="BA342" s="138">
        <v>0</v>
      </c>
      <c r="BB342" s="138">
        <v>0</v>
      </c>
      <c r="BC342" s="139">
        <f>+AZ342+BA342+BB342</f>
        <v>2</v>
      </c>
      <c r="BD342" s="140">
        <f t="shared" si="158"/>
        <v>17438</v>
      </c>
    </row>
    <row r="343" spans="1:57" s="125" customFormat="1" ht="22.5" x14ac:dyDescent="0.2">
      <c r="A343" s="149">
        <v>18</v>
      </c>
      <c r="B343" s="148">
        <v>340</v>
      </c>
      <c r="C343" s="105">
        <v>27111801</v>
      </c>
      <c r="D343" s="106" t="s">
        <v>474</v>
      </c>
      <c r="E343" s="105" t="s">
        <v>798</v>
      </c>
      <c r="F343" s="105" t="s">
        <v>286</v>
      </c>
      <c r="G343" s="143" t="s">
        <v>978</v>
      </c>
      <c r="H343" s="143" t="s">
        <v>978</v>
      </c>
      <c r="I343" s="143" t="s">
        <v>978</v>
      </c>
      <c r="J343" s="104" t="s">
        <v>978</v>
      </c>
      <c r="K343" s="104" t="s">
        <v>978</v>
      </c>
      <c r="L343" s="104" t="s">
        <v>978</v>
      </c>
      <c r="M343" s="104" t="s">
        <v>978</v>
      </c>
      <c r="N343" s="104" t="s">
        <v>978</v>
      </c>
      <c r="O343" s="104" t="s">
        <v>978</v>
      </c>
      <c r="P343" s="104" t="s">
        <v>978</v>
      </c>
      <c r="Q343" s="104" t="s">
        <v>1012</v>
      </c>
      <c r="R343" s="104" t="s">
        <v>978</v>
      </c>
      <c r="S343" s="104" t="s">
        <v>978</v>
      </c>
      <c r="T343" s="104" t="s">
        <v>978</v>
      </c>
      <c r="U343" s="104" t="s">
        <v>978</v>
      </c>
      <c r="V343" s="104" t="s">
        <v>978</v>
      </c>
      <c r="W343" s="104" t="s">
        <v>978</v>
      </c>
      <c r="X343" s="104" t="s">
        <v>978</v>
      </c>
      <c r="Y343" s="104" t="s">
        <v>978</v>
      </c>
      <c r="Z343" s="104" t="s">
        <v>978</v>
      </c>
      <c r="AA343" s="104" t="s">
        <v>978</v>
      </c>
      <c r="AB343" s="104" t="s">
        <v>978</v>
      </c>
      <c r="AC343" s="104" t="s">
        <v>978</v>
      </c>
      <c r="AD343" s="104" t="s">
        <v>978</v>
      </c>
      <c r="AE343" s="104" t="s">
        <v>978</v>
      </c>
      <c r="AF343" s="104" t="s">
        <v>978</v>
      </c>
      <c r="AG343" s="104" t="s">
        <v>978</v>
      </c>
      <c r="AH343" s="104" t="s">
        <v>978</v>
      </c>
      <c r="AI343" s="104" t="s">
        <v>978</v>
      </c>
      <c r="AJ343" s="104" t="s">
        <v>978</v>
      </c>
      <c r="AK343" s="104" t="s">
        <v>978</v>
      </c>
      <c r="AL343" s="104" t="s">
        <v>978</v>
      </c>
      <c r="AM343" s="120" t="s">
        <v>978</v>
      </c>
      <c r="AN343" s="141">
        <v>9295</v>
      </c>
      <c r="AO343" s="119" t="s">
        <v>974</v>
      </c>
      <c r="AP343" s="103" t="s">
        <v>974</v>
      </c>
      <c r="AQ343" s="142">
        <v>10710</v>
      </c>
      <c r="AR343" s="103" t="s">
        <v>974</v>
      </c>
      <c r="AS343" s="103" t="s">
        <v>974</v>
      </c>
      <c r="AT343" s="103" t="s">
        <v>974</v>
      </c>
      <c r="AU343" s="103">
        <f t="shared" si="149"/>
        <v>9295</v>
      </c>
      <c r="AV343" s="103"/>
      <c r="AW343" s="121">
        <f>+AVERAGE(AL343,AU343)</f>
        <v>9295</v>
      </c>
      <c r="AX343" s="121">
        <f>+ROUND(AW343,0)</f>
        <v>9295</v>
      </c>
      <c r="AY343" s="163" t="s">
        <v>1073</v>
      </c>
      <c r="AZ343" s="160">
        <v>5</v>
      </c>
      <c r="BA343" s="138">
        <v>0</v>
      </c>
      <c r="BB343" s="138">
        <v>0</v>
      </c>
      <c r="BC343" s="139">
        <f>+AZ343+BA343+BB343</f>
        <v>5</v>
      </c>
      <c r="BD343" s="140">
        <f t="shared" si="158"/>
        <v>46475</v>
      </c>
    </row>
    <row r="344" spans="1:57" s="131" customFormat="1" ht="22.5" x14ac:dyDescent="0.2">
      <c r="A344" s="150">
        <v>19</v>
      </c>
      <c r="B344" s="148">
        <v>341</v>
      </c>
      <c r="C344" s="105">
        <v>42151909</v>
      </c>
      <c r="D344" s="106" t="s">
        <v>523</v>
      </c>
      <c r="E344" s="105" t="s">
        <v>799</v>
      </c>
      <c r="F344" s="107" t="s">
        <v>516</v>
      </c>
      <c r="G344" s="143" t="s">
        <v>978</v>
      </c>
      <c r="H344" s="143" t="s">
        <v>978</v>
      </c>
      <c r="I344" s="143" t="s">
        <v>978</v>
      </c>
      <c r="J344" s="104" t="s">
        <v>978</v>
      </c>
      <c r="K344" s="104" t="s">
        <v>978</v>
      </c>
      <c r="L344" s="104" t="s">
        <v>978</v>
      </c>
      <c r="M344" s="104" t="s">
        <v>978</v>
      </c>
      <c r="N344" s="104" t="s">
        <v>978</v>
      </c>
      <c r="O344" s="104" t="s">
        <v>978</v>
      </c>
      <c r="P344" s="104" t="s">
        <v>978</v>
      </c>
      <c r="Q344" s="104" t="s">
        <v>1012</v>
      </c>
      <c r="R344" s="104">
        <v>10332</v>
      </c>
      <c r="S344" s="104">
        <f>R344*(1+5.2%)*(1+5.1%)</f>
        <v>11423.596464</v>
      </c>
      <c r="T344" s="104" t="s">
        <v>978</v>
      </c>
      <c r="U344" s="104" t="s">
        <v>978</v>
      </c>
      <c r="V344" s="104" t="s">
        <v>978</v>
      </c>
      <c r="W344" s="104" t="s">
        <v>978</v>
      </c>
      <c r="X344" s="104" t="s">
        <v>978</v>
      </c>
      <c r="Y344" s="104" t="s">
        <v>978</v>
      </c>
      <c r="Z344" s="104" t="s">
        <v>978</v>
      </c>
      <c r="AA344" s="104" t="s">
        <v>978</v>
      </c>
      <c r="AB344" s="104" t="s">
        <v>978</v>
      </c>
      <c r="AC344" s="104" t="s">
        <v>978</v>
      </c>
      <c r="AD344" s="104" t="s">
        <v>978</v>
      </c>
      <c r="AE344" s="104" t="s">
        <v>978</v>
      </c>
      <c r="AF344" s="104" t="s">
        <v>978</v>
      </c>
      <c r="AG344" s="104" t="s">
        <v>978</v>
      </c>
      <c r="AH344" s="104" t="s">
        <v>978</v>
      </c>
      <c r="AI344" s="104" t="s">
        <v>978</v>
      </c>
      <c r="AJ344" s="104" t="s">
        <v>978</v>
      </c>
      <c r="AK344" s="104" t="s">
        <v>978</v>
      </c>
      <c r="AL344" s="104">
        <f>+AVERAGE(K344,M344,O344,Q344,S344,U344,W344,Y344,AA344,AC344,AE344,AG344,AI344,AK344)</f>
        <v>11423.596464</v>
      </c>
      <c r="AM344" s="120">
        <v>9800</v>
      </c>
      <c r="AN344" s="141">
        <v>20020</v>
      </c>
      <c r="AO344" s="119" t="s">
        <v>974</v>
      </c>
      <c r="AP344" s="103" t="s">
        <v>974</v>
      </c>
      <c r="AQ344" s="142">
        <v>21420</v>
      </c>
      <c r="AR344" s="103" t="s">
        <v>974</v>
      </c>
      <c r="AS344" s="103" t="s">
        <v>974</v>
      </c>
      <c r="AT344" s="103" t="s">
        <v>974</v>
      </c>
      <c r="AU344" s="103">
        <f t="shared" si="149"/>
        <v>20020</v>
      </c>
      <c r="AV344" s="103"/>
      <c r="AW344" s="121">
        <f>+AVERAGE(AM344,AU344,AL344)</f>
        <v>13747.865488000001</v>
      </c>
      <c r="AX344" s="121">
        <f t="shared" ref="AX344" si="162">+ROUND(AW344,0)</f>
        <v>13748</v>
      </c>
      <c r="AY344" s="163" t="s">
        <v>1085</v>
      </c>
      <c r="AZ344" s="160">
        <v>60</v>
      </c>
      <c r="BA344" s="138">
        <v>0</v>
      </c>
      <c r="BB344" s="138">
        <v>40</v>
      </c>
      <c r="BC344" s="139">
        <f>+AZ344+BA344+BB344</f>
        <v>100</v>
      </c>
      <c r="BD344" s="140">
        <f t="shared" si="158"/>
        <v>1374800</v>
      </c>
    </row>
    <row r="345" spans="1:57" s="131" customFormat="1" ht="78.75" x14ac:dyDescent="0.2">
      <c r="A345" s="150">
        <v>19</v>
      </c>
      <c r="B345" s="148">
        <v>342</v>
      </c>
      <c r="C345" s="105">
        <v>42151500</v>
      </c>
      <c r="D345" s="106" t="s">
        <v>524</v>
      </c>
      <c r="E345" s="105" t="s">
        <v>962</v>
      </c>
      <c r="F345" s="105" t="s">
        <v>448</v>
      </c>
      <c r="G345" s="143" t="s">
        <v>978</v>
      </c>
      <c r="H345" s="143" t="s">
        <v>978</v>
      </c>
      <c r="I345" s="143" t="s">
        <v>978</v>
      </c>
      <c r="J345" s="104" t="s">
        <v>978</v>
      </c>
      <c r="K345" s="104" t="s">
        <v>978</v>
      </c>
      <c r="L345" s="104" t="s">
        <v>978</v>
      </c>
      <c r="M345" s="104" t="s">
        <v>978</v>
      </c>
      <c r="N345" s="104" t="s">
        <v>978</v>
      </c>
      <c r="O345" s="104" t="s">
        <v>978</v>
      </c>
      <c r="P345" s="104" t="s">
        <v>978</v>
      </c>
      <c r="Q345" s="104" t="s">
        <v>1012</v>
      </c>
      <c r="R345" s="104">
        <v>273700</v>
      </c>
      <c r="S345" s="104">
        <f>R345*(1+5.2%)*(1+5.1%)</f>
        <v>302616.95240000001</v>
      </c>
      <c r="T345" s="104" t="s">
        <v>978</v>
      </c>
      <c r="U345" s="104" t="s">
        <v>978</v>
      </c>
      <c r="V345" s="104" t="s">
        <v>978</v>
      </c>
      <c r="W345" s="104" t="s">
        <v>978</v>
      </c>
      <c r="X345" s="104" t="s">
        <v>978</v>
      </c>
      <c r="Y345" s="104" t="s">
        <v>978</v>
      </c>
      <c r="Z345" s="104" t="s">
        <v>978</v>
      </c>
      <c r="AA345" s="104" t="s">
        <v>978</v>
      </c>
      <c r="AB345" s="104" t="s">
        <v>978</v>
      </c>
      <c r="AC345" s="104" t="s">
        <v>978</v>
      </c>
      <c r="AD345" s="104" t="s">
        <v>978</v>
      </c>
      <c r="AE345" s="104" t="s">
        <v>978</v>
      </c>
      <c r="AF345" s="104" t="s">
        <v>978</v>
      </c>
      <c r="AG345" s="104" t="s">
        <v>978</v>
      </c>
      <c r="AH345" s="104" t="s">
        <v>978</v>
      </c>
      <c r="AI345" s="104" t="s">
        <v>978</v>
      </c>
      <c r="AJ345" s="104" t="s">
        <v>978</v>
      </c>
      <c r="AK345" s="104" t="s">
        <v>978</v>
      </c>
      <c r="AL345" s="104">
        <f>+AVERAGE(K345,M345,O345,Q345,S345,U345,W345,Y345,AA345,AC345,AE345,AG345,AI345,AK345)</f>
        <v>302616.95240000001</v>
      </c>
      <c r="AM345" s="120" t="s">
        <v>978</v>
      </c>
      <c r="AN345" s="141">
        <v>1001000</v>
      </c>
      <c r="AO345" s="119" t="s">
        <v>974</v>
      </c>
      <c r="AP345" s="103" t="s">
        <v>974</v>
      </c>
      <c r="AQ345" s="142">
        <v>940100</v>
      </c>
      <c r="AR345" s="103" t="s">
        <v>974</v>
      </c>
      <c r="AS345" s="103" t="s">
        <v>974</v>
      </c>
      <c r="AT345" s="103" t="s">
        <v>974</v>
      </c>
      <c r="AU345" s="103">
        <f t="shared" si="149"/>
        <v>940100</v>
      </c>
      <c r="AV345" s="103"/>
      <c r="AW345" s="121">
        <f>+AVERAGE(AL345,AU345)</f>
        <v>621358.47620000003</v>
      </c>
      <c r="AX345" s="121">
        <f>+ROUND(AW345,0)</f>
        <v>621358</v>
      </c>
      <c r="AY345" s="163" t="s">
        <v>1073</v>
      </c>
      <c r="AZ345" s="160">
        <v>1</v>
      </c>
      <c r="BA345" s="138">
        <v>1</v>
      </c>
      <c r="BB345" s="138">
        <v>1</v>
      </c>
      <c r="BC345" s="139">
        <f>+AZ345+BA345+BB345</f>
        <v>3</v>
      </c>
      <c r="BD345" s="140">
        <f t="shared" si="158"/>
        <v>1864074</v>
      </c>
    </row>
    <row r="346" spans="1:57" s="131" customFormat="1" ht="21" customHeight="1" x14ac:dyDescent="0.2">
      <c r="A346" s="165"/>
      <c r="B346" s="166"/>
      <c r="C346" s="167"/>
      <c r="D346" s="168"/>
      <c r="E346" s="167"/>
      <c r="F346" s="167"/>
      <c r="G346" s="174"/>
      <c r="H346" s="174"/>
      <c r="I346" s="174"/>
      <c r="J346" s="174"/>
      <c r="K346" s="174"/>
      <c r="L346" s="174"/>
      <c r="M346" s="174"/>
      <c r="N346" s="174"/>
      <c r="O346" s="174"/>
      <c r="P346" s="174"/>
      <c r="Q346" s="174"/>
      <c r="R346" s="174"/>
      <c r="S346" s="174"/>
      <c r="T346" s="174"/>
      <c r="U346" s="174"/>
      <c r="V346" s="174"/>
      <c r="W346" s="174"/>
      <c r="X346" s="174"/>
      <c r="Y346" s="174"/>
      <c r="Z346" s="174"/>
      <c r="AA346" s="174"/>
      <c r="AB346" s="174"/>
      <c r="AC346" s="174"/>
      <c r="AD346" s="174"/>
      <c r="AE346" s="174"/>
      <c r="AF346" s="174"/>
      <c r="AG346" s="174"/>
      <c r="AH346" s="174"/>
      <c r="AI346" s="174"/>
      <c r="AJ346" s="174"/>
      <c r="AK346" s="174"/>
      <c r="AL346" s="174"/>
      <c r="AM346" s="174"/>
      <c r="AN346" s="175"/>
      <c r="AO346" s="176"/>
      <c r="AP346" s="174"/>
      <c r="AQ346" s="177"/>
      <c r="AR346" s="174"/>
      <c r="AS346" s="174"/>
      <c r="AT346" s="174"/>
      <c r="AU346" s="174"/>
      <c r="AV346" s="174"/>
      <c r="AW346" s="174"/>
      <c r="AX346" s="174"/>
      <c r="AY346" s="167"/>
      <c r="AZ346" s="221" t="s">
        <v>1072</v>
      </c>
      <c r="BA346" s="221"/>
      <c r="BB346" s="221"/>
      <c r="BC346" s="221"/>
      <c r="BD346" s="164">
        <f>SUM(BD4:BD345)</f>
        <v>1461281539</v>
      </c>
    </row>
    <row r="347" spans="1:57" s="131" customFormat="1" ht="24" x14ac:dyDescent="0.2">
      <c r="A347" s="165"/>
      <c r="C347" s="169" t="s">
        <v>1021</v>
      </c>
      <c r="D347" s="152" t="s">
        <v>1048</v>
      </c>
      <c r="E347" s="167"/>
      <c r="F347" s="167"/>
      <c r="G347" s="174"/>
      <c r="H347" s="174"/>
      <c r="I347" s="174"/>
      <c r="J347" s="174"/>
      <c r="K347" s="174"/>
      <c r="L347" s="174"/>
      <c r="M347" s="174"/>
      <c r="N347" s="174"/>
      <c r="O347" s="174"/>
      <c r="P347" s="174"/>
      <c r="Q347" s="174"/>
      <c r="R347" s="174"/>
      <c r="S347" s="174"/>
      <c r="T347" s="174"/>
      <c r="U347" s="174"/>
      <c r="V347" s="174"/>
      <c r="W347" s="174"/>
      <c r="X347" s="174"/>
      <c r="Y347" s="174"/>
      <c r="Z347" s="174"/>
      <c r="AA347" s="174"/>
      <c r="AB347" s="174"/>
      <c r="AC347" s="174"/>
      <c r="AD347" s="174"/>
      <c r="AE347" s="174"/>
      <c r="AF347" s="174"/>
      <c r="AG347" s="174"/>
      <c r="AH347" s="174"/>
      <c r="AI347" s="174"/>
      <c r="AJ347" s="174"/>
      <c r="AK347" s="174"/>
      <c r="AL347" s="174"/>
      <c r="AM347" s="174"/>
      <c r="AN347" s="175"/>
      <c r="AO347" s="176"/>
      <c r="AP347" s="174"/>
      <c r="AQ347" s="177"/>
      <c r="AR347" s="174"/>
      <c r="AS347" s="174"/>
      <c r="AT347" s="174"/>
      <c r="AU347" s="174"/>
      <c r="AV347" s="174"/>
      <c r="AW347" s="174"/>
      <c r="AX347" s="174"/>
      <c r="AY347" s="167"/>
      <c r="AZ347" s="178"/>
      <c r="BA347" s="178"/>
      <c r="BB347" s="178"/>
      <c r="BC347" s="179"/>
      <c r="BD347" s="180"/>
      <c r="BE347" s="181"/>
    </row>
    <row r="348" spans="1:57" s="131" customFormat="1" x14ac:dyDescent="0.2">
      <c r="A348" s="165"/>
      <c r="C348" s="170">
        <v>1</v>
      </c>
      <c r="D348" s="153">
        <f>+SUM(BD4:BD18)</f>
        <v>26769842</v>
      </c>
      <c r="E348" s="167"/>
      <c r="F348" s="167"/>
      <c r="G348" s="174"/>
      <c r="H348" s="174"/>
      <c r="I348" s="174"/>
      <c r="J348" s="174"/>
      <c r="K348" s="174"/>
      <c r="L348" s="174"/>
      <c r="M348" s="174"/>
      <c r="N348" s="174"/>
      <c r="O348" s="174"/>
      <c r="P348" s="174"/>
      <c r="Q348" s="174"/>
      <c r="R348" s="174"/>
      <c r="S348" s="174"/>
      <c r="T348" s="174"/>
      <c r="U348" s="174"/>
      <c r="V348" s="174"/>
      <c r="W348" s="174"/>
      <c r="X348" s="174"/>
      <c r="Y348" s="174"/>
      <c r="Z348" s="174"/>
      <c r="AA348" s="174"/>
      <c r="AB348" s="174"/>
      <c r="AC348" s="174"/>
      <c r="AD348" s="174"/>
      <c r="AE348" s="174"/>
      <c r="AF348" s="174"/>
      <c r="AG348" s="174"/>
      <c r="AH348" s="174"/>
      <c r="AI348" s="174"/>
      <c r="AJ348" s="174"/>
      <c r="AK348" s="174"/>
      <c r="AL348" s="174"/>
      <c r="AM348" s="174"/>
      <c r="AN348" s="175"/>
      <c r="AO348" s="176"/>
      <c r="AP348" s="174"/>
      <c r="AQ348" s="177"/>
      <c r="AR348" s="174"/>
      <c r="AS348" s="174"/>
      <c r="AT348" s="174"/>
      <c r="AU348" s="174"/>
      <c r="AV348" s="174"/>
      <c r="AW348" s="174"/>
      <c r="AX348" s="174"/>
      <c r="AY348" s="167"/>
      <c r="AZ348" s="178"/>
      <c r="BA348" s="178"/>
      <c r="BB348" s="178"/>
      <c r="BC348" s="179"/>
      <c r="BD348" s="180"/>
      <c r="BE348" s="181"/>
    </row>
    <row r="349" spans="1:57" s="131" customFormat="1" x14ac:dyDescent="0.2">
      <c r="A349" s="165"/>
      <c r="C349" s="170">
        <v>2</v>
      </c>
      <c r="D349" s="153">
        <f>+SUM(BD19:BD20)</f>
        <v>1574572</v>
      </c>
      <c r="E349" s="167"/>
      <c r="F349" s="167"/>
      <c r="G349" s="174"/>
      <c r="H349" s="174"/>
      <c r="I349" s="174"/>
      <c r="J349" s="174"/>
      <c r="K349" s="174"/>
      <c r="L349" s="174"/>
      <c r="M349" s="174"/>
      <c r="N349" s="174"/>
      <c r="O349" s="174"/>
      <c r="P349" s="174"/>
      <c r="Q349" s="174"/>
      <c r="R349" s="174"/>
      <c r="S349" s="174"/>
      <c r="T349" s="174"/>
      <c r="U349" s="174"/>
      <c r="V349" s="174"/>
      <c r="W349" s="174"/>
      <c r="X349" s="174"/>
      <c r="Y349" s="174"/>
      <c r="Z349" s="174"/>
      <c r="AA349" s="174"/>
      <c r="AB349" s="174"/>
      <c r="AC349" s="174"/>
      <c r="AD349" s="174"/>
      <c r="AE349" s="174"/>
      <c r="AF349" s="174"/>
      <c r="AG349" s="174"/>
      <c r="AH349" s="174"/>
      <c r="AI349" s="174"/>
      <c r="AJ349" s="174"/>
      <c r="AK349" s="174"/>
      <c r="AL349" s="174"/>
      <c r="AM349" s="174"/>
      <c r="AN349" s="175"/>
      <c r="AO349" s="176"/>
      <c r="AP349" s="174"/>
      <c r="AQ349" s="177"/>
      <c r="AR349" s="174"/>
      <c r="AS349" s="174"/>
      <c r="AT349" s="174"/>
      <c r="AU349" s="174"/>
      <c r="AV349" s="174"/>
      <c r="AW349" s="174"/>
      <c r="AX349" s="174"/>
      <c r="AY349" s="167"/>
      <c r="AZ349" s="178"/>
      <c r="BA349" s="178"/>
      <c r="BB349" s="178"/>
      <c r="BC349" s="179"/>
      <c r="BD349" s="180"/>
      <c r="BE349" s="181"/>
    </row>
    <row r="350" spans="1:57" s="131" customFormat="1" x14ac:dyDescent="0.2">
      <c r="A350" s="165"/>
      <c r="C350" s="170">
        <v>3</v>
      </c>
      <c r="D350" s="153">
        <f>+SUM(BD21:BD32)</f>
        <v>33892009</v>
      </c>
      <c r="E350" s="167"/>
      <c r="F350" s="167"/>
      <c r="G350" s="174"/>
      <c r="H350" s="174"/>
      <c r="I350" s="174"/>
      <c r="J350" s="174"/>
      <c r="K350" s="174"/>
      <c r="L350" s="174"/>
      <c r="M350" s="174"/>
      <c r="N350" s="174"/>
      <c r="O350" s="174"/>
      <c r="P350" s="174"/>
      <c r="Q350" s="174"/>
      <c r="R350" s="174"/>
      <c r="S350" s="174"/>
      <c r="T350" s="174"/>
      <c r="U350" s="174"/>
      <c r="V350" s="174"/>
      <c r="W350" s="174"/>
      <c r="X350" s="174"/>
      <c r="Y350" s="174"/>
      <c r="Z350" s="174"/>
      <c r="AA350" s="174"/>
      <c r="AB350" s="174"/>
      <c r="AC350" s="174"/>
      <c r="AD350" s="174"/>
      <c r="AE350" s="174"/>
      <c r="AF350" s="174"/>
      <c r="AG350" s="174"/>
      <c r="AH350" s="174"/>
      <c r="AI350" s="174"/>
      <c r="AJ350" s="174"/>
      <c r="AK350" s="174"/>
      <c r="AL350" s="174"/>
      <c r="AM350" s="174"/>
      <c r="AN350" s="175"/>
      <c r="AO350" s="176"/>
      <c r="AP350" s="174"/>
      <c r="AQ350" s="177"/>
      <c r="AR350" s="174"/>
      <c r="AS350" s="174"/>
      <c r="AT350" s="174"/>
      <c r="AU350" s="174"/>
      <c r="AV350" s="174"/>
      <c r="AW350" s="174"/>
      <c r="AX350" s="174"/>
      <c r="AY350" s="167"/>
      <c r="AZ350" s="178"/>
      <c r="BA350" s="178"/>
      <c r="BB350" s="178"/>
      <c r="BC350" s="179"/>
      <c r="BD350" s="180"/>
      <c r="BE350" s="181"/>
    </row>
    <row r="351" spans="1:57" s="131" customFormat="1" x14ac:dyDescent="0.2">
      <c r="A351" s="165"/>
      <c r="C351" s="170">
        <v>4</v>
      </c>
      <c r="D351" s="153">
        <f>+BD33+BD34</f>
        <v>3926226</v>
      </c>
      <c r="E351" s="167"/>
      <c r="F351" s="167"/>
      <c r="G351" s="174"/>
      <c r="H351" s="174"/>
      <c r="I351" s="174"/>
      <c r="J351" s="174"/>
      <c r="K351" s="174"/>
      <c r="L351" s="174"/>
      <c r="M351" s="174"/>
      <c r="N351" s="174"/>
      <c r="O351" s="174"/>
      <c r="P351" s="174"/>
      <c r="Q351" s="174"/>
      <c r="R351" s="174"/>
      <c r="S351" s="174"/>
      <c r="T351" s="174"/>
      <c r="U351" s="174"/>
      <c r="V351" s="174"/>
      <c r="W351" s="174"/>
      <c r="X351" s="174"/>
      <c r="Y351" s="174"/>
      <c r="Z351" s="174"/>
      <c r="AA351" s="174"/>
      <c r="AB351" s="174"/>
      <c r="AC351" s="174"/>
      <c r="AD351" s="174"/>
      <c r="AE351" s="174"/>
      <c r="AF351" s="174"/>
      <c r="AG351" s="174"/>
      <c r="AH351" s="174"/>
      <c r="AI351" s="174"/>
      <c r="AJ351" s="174"/>
      <c r="AK351" s="174"/>
      <c r="AL351" s="174"/>
      <c r="AM351" s="174"/>
      <c r="AN351" s="175"/>
      <c r="AO351" s="176"/>
      <c r="AP351" s="174"/>
      <c r="AQ351" s="177"/>
      <c r="AR351" s="174"/>
      <c r="AS351" s="174"/>
      <c r="AT351" s="174"/>
      <c r="AU351" s="174"/>
      <c r="AV351" s="174"/>
      <c r="AW351" s="174"/>
      <c r="AX351" s="174"/>
      <c r="AY351" s="167"/>
      <c r="AZ351" s="178"/>
      <c r="BA351" s="178"/>
      <c r="BB351" s="178"/>
      <c r="BC351" s="179"/>
      <c r="BD351" s="180"/>
      <c r="BE351" s="181"/>
    </row>
    <row r="352" spans="1:57" s="131" customFormat="1" x14ac:dyDescent="0.2">
      <c r="A352" s="165"/>
      <c r="C352" s="170">
        <v>5</v>
      </c>
      <c r="D352" s="153">
        <f>+BD35+BD36+BD37</f>
        <v>2533628</v>
      </c>
      <c r="E352" s="167"/>
      <c r="F352" s="167"/>
      <c r="G352" s="174"/>
      <c r="H352" s="174"/>
      <c r="I352" s="174"/>
      <c r="J352" s="174"/>
      <c r="K352" s="174"/>
      <c r="L352" s="174"/>
      <c r="M352" s="174"/>
      <c r="N352" s="174"/>
      <c r="O352" s="174"/>
      <c r="P352" s="174"/>
      <c r="Q352" s="174"/>
      <c r="R352" s="174"/>
      <c r="S352" s="174"/>
      <c r="T352" s="174"/>
      <c r="U352" s="174"/>
      <c r="V352" s="174"/>
      <c r="W352" s="174"/>
      <c r="X352" s="174"/>
      <c r="Y352" s="174"/>
      <c r="Z352" s="174"/>
      <c r="AA352" s="174"/>
      <c r="AB352" s="174"/>
      <c r="AC352" s="174"/>
      <c r="AD352" s="174"/>
      <c r="AE352" s="174"/>
      <c r="AF352" s="174"/>
      <c r="AG352" s="174"/>
      <c r="AH352" s="174"/>
      <c r="AI352" s="174"/>
      <c r="AJ352" s="174"/>
      <c r="AK352" s="174"/>
      <c r="AL352" s="174"/>
      <c r="AM352" s="174"/>
      <c r="AN352" s="175"/>
      <c r="AO352" s="176"/>
      <c r="AP352" s="174"/>
      <c r="AQ352" s="177"/>
      <c r="AR352" s="174"/>
      <c r="AS352" s="174"/>
      <c r="AT352" s="174"/>
      <c r="AU352" s="174"/>
      <c r="AV352" s="174"/>
      <c r="AW352" s="174"/>
      <c r="AX352" s="174"/>
      <c r="AY352" s="167"/>
      <c r="AZ352" s="178"/>
      <c r="BA352" s="178"/>
      <c r="BB352" s="178"/>
      <c r="BC352" s="179"/>
      <c r="BD352" s="180"/>
      <c r="BE352" s="181"/>
    </row>
    <row r="353" spans="1:57" s="131" customFormat="1" x14ac:dyDescent="0.2">
      <c r="A353" s="165"/>
      <c r="C353" s="170">
        <v>6</v>
      </c>
      <c r="D353" s="153">
        <f>+SUM(BD38:BD45)</f>
        <v>8477589</v>
      </c>
      <c r="E353" s="167"/>
      <c r="F353" s="167"/>
      <c r="G353" s="174"/>
      <c r="H353" s="174"/>
      <c r="I353" s="174"/>
      <c r="J353" s="174"/>
      <c r="K353" s="174"/>
      <c r="L353" s="174"/>
      <c r="M353" s="174"/>
      <c r="N353" s="174"/>
      <c r="O353" s="174"/>
      <c r="P353" s="174"/>
      <c r="Q353" s="174"/>
      <c r="R353" s="174"/>
      <c r="S353" s="174"/>
      <c r="T353" s="174"/>
      <c r="U353" s="174"/>
      <c r="V353" s="174"/>
      <c r="W353" s="174"/>
      <c r="X353" s="174"/>
      <c r="Y353" s="174"/>
      <c r="Z353" s="174"/>
      <c r="AA353" s="174"/>
      <c r="AB353" s="174"/>
      <c r="AC353" s="174"/>
      <c r="AD353" s="174"/>
      <c r="AE353" s="174"/>
      <c r="AF353" s="174"/>
      <c r="AG353" s="174"/>
      <c r="AH353" s="174"/>
      <c r="AI353" s="174"/>
      <c r="AJ353" s="174"/>
      <c r="AK353" s="174"/>
      <c r="AL353" s="174"/>
      <c r="AM353" s="174"/>
      <c r="AN353" s="175"/>
      <c r="AO353" s="176"/>
      <c r="AP353" s="174"/>
      <c r="AQ353" s="177"/>
      <c r="AR353" s="174"/>
      <c r="AS353" s="174"/>
      <c r="AT353" s="174"/>
      <c r="AU353" s="174"/>
      <c r="AV353" s="174"/>
      <c r="AW353" s="174"/>
      <c r="AX353" s="174"/>
      <c r="AY353" s="167"/>
      <c r="AZ353" s="178"/>
      <c r="BA353" s="178"/>
      <c r="BB353" s="178"/>
      <c r="BC353" s="179"/>
      <c r="BD353" s="180"/>
      <c r="BE353" s="181"/>
    </row>
    <row r="354" spans="1:57" s="131" customFormat="1" x14ac:dyDescent="0.2">
      <c r="A354" s="165"/>
      <c r="C354" s="170">
        <v>7</v>
      </c>
      <c r="D354" s="153">
        <f>+SUM(BD46:BD53)</f>
        <v>26840431</v>
      </c>
      <c r="E354" s="167"/>
      <c r="F354" s="167"/>
      <c r="G354" s="174"/>
      <c r="H354" s="174"/>
      <c r="I354" s="174"/>
      <c r="J354" s="174"/>
      <c r="K354" s="174"/>
      <c r="L354" s="174"/>
      <c r="M354" s="174"/>
      <c r="N354" s="174"/>
      <c r="O354" s="174"/>
      <c r="P354" s="174"/>
      <c r="Q354" s="174"/>
      <c r="R354" s="174"/>
      <c r="S354" s="174"/>
      <c r="T354" s="174"/>
      <c r="U354" s="174"/>
      <c r="V354" s="174"/>
      <c r="W354" s="174"/>
      <c r="X354" s="174"/>
      <c r="Y354" s="174"/>
      <c r="Z354" s="174"/>
      <c r="AA354" s="174"/>
      <c r="AB354" s="174"/>
      <c r="AC354" s="174"/>
      <c r="AD354" s="174"/>
      <c r="AE354" s="174"/>
      <c r="AF354" s="174"/>
      <c r="AG354" s="174"/>
      <c r="AH354" s="174"/>
      <c r="AI354" s="174"/>
      <c r="AJ354" s="174"/>
      <c r="AK354" s="174"/>
      <c r="AL354" s="174"/>
      <c r="AM354" s="174"/>
      <c r="AN354" s="175"/>
      <c r="AO354" s="176"/>
      <c r="AP354" s="174"/>
      <c r="AQ354" s="177"/>
      <c r="AR354" s="174"/>
      <c r="AS354" s="174"/>
      <c r="AT354" s="174"/>
      <c r="AU354" s="174"/>
      <c r="AV354" s="174"/>
      <c r="AW354" s="174"/>
      <c r="AX354" s="174"/>
      <c r="AY354" s="167"/>
      <c r="AZ354" s="178"/>
      <c r="BA354" s="178"/>
      <c r="BB354" s="178"/>
      <c r="BC354" s="179"/>
      <c r="BD354" s="180"/>
      <c r="BE354" s="181"/>
    </row>
    <row r="355" spans="1:57" s="131" customFormat="1" x14ac:dyDescent="0.2">
      <c r="A355" s="165"/>
      <c r="C355" s="170">
        <v>8</v>
      </c>
      <c r="D355" s="153">
        <f>+SUM(BD54:BD59)</f>
        <v>47322110</v>
      </c>
      <c r="E355" s="167"/>
      <c r="F355" s="167"/>
      <c r="G355" s="174"/>
      <c r="H355" s="174"/>
      <c r="I355" s="174"/>
      <c r="J355" s="174"/>
      <c r="K355" s="174"/>
      <c r="L355" s="174"/>
      <c r="M355" s="174"/>
      <c r="N355" s="174"/>
      <c r="O355" s="174"/>
      <c r="P355" s="174"/>
      <c r="Q355" s="174"/>
      <c r="R355" s="174"/>
      <c r="S355" s="174"/>
      <c r="T355" s="174"/>
      <c r="U355" s="174"/>
      <c r="V355" s="174"/>
      <c r="W355" s="174"/>
      <c r="X355" s="174"/>
      <c r="Y355" s="174"/>
      <c r="Z355" s="174"/>
      <c r="AA355" s="174"/>
      <c r="AB355" s="174"/>
      <c r="AC355" s="174"/>
      <c r="AD355" s="174"/>
      <c r="AE355" s="174"/>
      <c r="AF355" s="174"/>
      <c r="AG355" s="174"/>
      <c r="AH355" s="174"/>
      <c r="AI355" s="174"/>
      <c r="AJ355" s="174"/>
      <c r="AK355" s="174"/>
      <c r="AL355" s="174"/>
      <c r="AM355" s="174"/>
      <c r="AN355" s="175"/>
      <c r="AO355" s="176"/>
      <c r="AP355" s="174"/>
      <c r="AQ355" s="177"/>
      <c r="AR355" s="174"/>
      <c r="AS355" s="174"/>
      <c r="AT355" s="174"/>
      <c r="AU355" s="174"/>
      <c r="AV355" s="174"/>
      <c r="AW355" s="174"/>
      <c r="AX355" s="174"/>
      <c r="AY355" s="167"/>
      <c r="AZ355" s="178"/>
      <c r="BA355" s="178"/>
      <c r="BB355" s="178"/>
      <c r="BC355" s="179"/>
      <c r="BD355" s="180"/>
      <c r="BE355" s="181"/>
    </row>
    <row r="356" spans="1:57" s="131" customFormat="1" x14ac:dyDescent="0.2">
      <c r="A356" s="165"/>
      <c r="C356" s="170"/>
      <c r="D356" s="153"/>
      <c r="E356" s="167"/>
      <c r="F356" s="167"/>
      <c r="G356" s="174"/>
      <c r="H356" s="174"/>
      <c r="I356" s="174"/>
      <c r="J356" s="174"/>
      <c r="K356" s="174"/>
      <c r="L356" s="174"/>
      <c r="M356" s="174"/>
      <c r="N356" s="174"/>
      <c r="O356" s="174"/>
      <c r="P356" s="174"/>
      <c r="Q356" s="174"/>
      <c r="R356" s="174"/>
      <c r="S356" s="174"/>
      <c r="T356" s="174"/>
      <c r="U356" s="174"/>
      <c r="V356" s="174"/>
      <c r="W356" s="174"/>
      <c r="X356" s="174"/>
      <c r="Y356" s="174"/>
      <c r="Z356" s="174"/>
      <c r="AA356" s="174"/>
      <c r="AB356" s="174"/>
      <c r="AC356" s="174"/>
      <c r="AD356" s="174"/>
      <c r="AE356" s="174"/>
      <c r="AF356" s="174"/>
      <c r="AG356" s="174"/>
      <c r="AH356" s="174"/>
      <c r="AI356" s="174"/>
      <c r="AJ356" s="174"/>
      <c r="AK356" s="174"/>
      <c r="AL356" s="174"/>
      <c r="AM356" s="174"/>
      <c r="AN356" s="175"/>
      <c r="AO356" s="176"/>
      <c r="AP356" s="174"/>
      <c r="AQ356" s="177"/>
      <c r="AR356" s="174"/>
      <c r="AS356" s="174"/>
      <c r="AT356" s="174"/>
      <c r="AU356" s="174"/>
      <c r="AV356" s="174"/>
      <c r="AW356" s="174"/>
      <c r="AX356" s="174"/>
      <c r="AY356" s="167"/>
      <c r="AZ356" s="178"/>
      <c r="BA356" s="178"/>
      <c r="BB356" s="178"/>
      <c r="BC356" s="179"/>
      <c r="BD356" s="180"/>
      <c r="BE356" s="181"/>
    </row>
    <row r="357" spans="1:57" s="131" customFormat="1" x14ac:dyDescent="0.2">
      <c r="A357" s="165"/>
      <c r="C357" s="170">
        <v>10</v>
      </c>
      <c r="D357" s="153">
        <f>+SUM(BD60:BD91)</f>
        <v>110750800</v>
      </c>
      <c r="E357" s="167"/>
      <c r="F357" s="167"/>
      <c r="G357" s="174"/>
      <c r="H357" s="174"/>
      <c r="I357" s="174"/>
      <c r="J357" s="174"/>
      <c r="K357" s="174"/>
      <c r="L357" s="174"/>
      <c r="M357" s="174"/>
      <c r="N357" s="174"/>
      <c r="O357" s="174"/>
      <c r="P357" s="174"/>
      <c r="Q357" s="174"/>
      <c r="R357" s="174"/>
      <c r="S357" s="174"/>
      <c r="T357" s="174"/>
      <c r="U357" s="174"/>
      <c r="V357" s="174"/>
      <c r="W357" s="174"/>
      <c r="X357" s="174"/>
      <c r="Y357" s="174"/>
      <c r="Z357" s="174"/>
      <c r="AA357" s="174"/>
      <c r="AB357" s="174"/>
      <c r="AC357" s="174"/>
      <c r="AD357" s="174"/>
      <c r="AE357" s="174"/>
      <c r="AF357" s="174"/>
      <c r="AG357" s="174"/>
      <c r="AH357" s="174"/>
      <c r="AI357" s="174"/>
      <c r="AJ357" s="174"/>
      <c r="AK357" s="174"/>
      <c r="AL357" s="174"/>
      <c r="AM357" s="174"/>
      <c r="AN357" s="175"/>
      <c r="AO357" s="176"/>
      <c r="AP357" s="174"/>
      <c r="AQ357" s="177"/>
      <c r="AR357" s="174"/>
      <c r="AS357" s="174"/>
      <c r="AT357" s="174"/>
      <c r="AU357" s="174"/>
      <c r="AV357" s="174"/>
      <c r="AW357" s="174"/>
      <c r="AX357" s="174"/>
      <c r="AY357" s="167"/>
      <c r="AZ357" s="178"/>
      <c r="BA357" s="178"/>
      <c r="BB357" s="178"/>
      <c r="BC357" s="179"/>
      <c r="BD357" s="180"/>
      <c r="BE357" s="181"/>
    </row>
    <row r="358" spans="1:57" s="131" customFormat="1" x14ac:dyDescent="0.2">
      <c r="A358" s="165"/>
      <c r="C358" s="170">
        <v>11</v>
      </c>
      <c r="D358" s="153">
        <f>+SUM(BD92:BD100)</f>
        <v>38261957</v>
      </c>
      <c r="E358" s="167"/>
      <c r="F358" s="167"/>
      <c r="G358" s="174"/>
      <c r="H358" s="174"/>
      <c r="I358" s="174"/>
      <c r="J358" s="174"/>
      <c r="K358" s="174"/>
      <c r="L358" s="174"/>
      <c r="M358" s="174"/>
      <c r="N358" s="174"/>
      <c r="O358" s="174"/>
      <c r="P358" s="174"/>
      <c r="Q358" s="174"/>
      <c r="R358" s="174"/>
      <c r="S358" s="174"/>
      <c r="T358" s="174"/>
      <c r="U358" s="174"/>
      <c r="V358" s="174"/>
      <c r="W358" s="174"/>
      <c r="X358" s="174"/>
      <c r="Y358" s="174"/>
      <c r="Z358" s="174"/>
      <c r="AA358" s="174"/>
      <c r="AB358" s="174"/>
      <c r="AC358" s="174"/>
      <c r="AD358" s="174"/>
      <c r="AE358" s="174"/>
      <c r="AF358" s="174"/>
      <c r="AG358" s="174"/>
      <c r="AH358" s="174"/>
      <c r="AI358" s="174"/>
      <c r="AJ358" s="174"/>
      <c r="AK358" s="174"/>
      <c r="AL358" s="174"/>
      <c r="AM358" s="174"/>
      <c r="AN358" s="175"/>
      <c r="AO358" s="176"/>
      <c r="AP358" s="174"/>
      <c r="AQ358" s="177"/>
      <c r="AR358" s="174"/>
      <c r="AS358" s="174"/>
      <c r="AT358" s="174"/>
      <c r="AU358" s="174"/>
      <c r="AV358" s="174"/>
      <c r="AW358" s="174"/>
      <c r="AX358" s="174"/>
      <c r="AY358" s="167"/>
      <c r="AZ358" s="178"/>
      <c r="BA358" s="178"/>
      <c r="BB358" s="178"/>
      <c r="BC358" s="179"/>
      <c r="BD358" s="180"/>
      <c r="BE358" s="181"/>
    </row>
    <row r="359" spans="1:57" s="131" customFormat="1" x14ac:dyDescent="0.2">
      <c r="A359" s="165"/>
      <c r="C359" s="170">
        <v>12</v>
      </c>
      <c r="D359" s="153">
        <f>+SUM(BD101:BD124)</f>
        <v>85153348</v>
      </c>
      <c r="E359" s="167"/>
      <c r="F359" s="167"/>
      <c r="G359" s="174"/>
      <c r="H359" s="174"/>
      <c r="I359" s="174"/>
      <c r="J359" s="174"/>
      <c r="K359" s="174"/>
      <c r="L359" s="174"/>
      <c r="M359" s="174"/>
      <c r="N359" s="174"/>
      <c r="O359" s="174"/>
      <c r="P359" s="174"/>
      <c r="Q359" s="174"/>
      <c r="R359" s="174"/>
      <c r="S359" s="174"/>
      <c r="T359" s="174"/>
      <c r="U359" s="174"/>
      <c r="V359" s="174"/>
      <c r="W359" s="174"/>
      <c r="X359" s="174"/>
      <c r="Y359" s="174"/>
      <c r="Z359" s="174"/>
      <c r="AA359" s="174"/>
      <c r="AB359" s="174"/>
      <c r="AC359" s="174"/>
      <c r="AD359" s="174"/>
      <c r="AE359" s="174"/>
      <c r="AF359" s="174"/>
      <c r="AG359" s="174"/>
      <c r="AH359" s="174"/>
      <c r="AI359" s="174"/>
      <c r="AJ359" s="174"/>
      <c r="AK359" s="174"/>
      <c r="AL359" s="174"/>
      <c r="AM359" s="174"/>
      <c r="AN359" s="175"/>
      <c r="AO359" s="176"/>
      <c r="AP359" s="174"/>
      <c r="AQ359" s="177"/>
      <c r="AR359" s="174"/>
      <c r="AS359" s="174"/>
      <c r="AT359" s="174"/>
      <c r="AU359" s="174"/>
      <c r="AV359" s="174"/>
      <c r="AW359" s="174"/>
      <c r="AX359" s="174"/>
      <c r="AY359" s="167"/>
      <c r="AZ359" s="178"/>
      <c r="BA359" s="178"/>
      <c r="BB359" s="178"/>
      <c r="BC359" s="179"/>
      <c r="BD359" s="180"/>
      <c r="BE359" s="181"/>
    </row>
    <row r="360" spans="1:57" s="131" customFormat="1" x14ac:dyDescent="0.2">
      <c r="A360" s="165"/>
      <c r="C360" s="170">
        <v>13</v>
      </c>
      <c r="D360" s="153">
        <f>+BD125</f>
        <v>1217982</v>
      </c>
      <c r="E360" s="167"/>
      <c r="F360" s="167"/>
      <c r="G360" s="174"/>
      <c r="H360" s="174"/>
      <c r="I360" s="174"/>
      <c r="J360" s="174"/>
      <c r="K360" s="174"/>
      <c r="L360" s="174"/>
      <c r="M360" s="174"/>
      <c r="N360" s="174"/>
      <c r="O360" s="174"/>
      <c r="P360" s="174"/>
      <c r="Q360" s="174"/>
      <c r="R360" s="174"/>
      <c r="S360" s="174"/>
      <c r="T360" s="174"/>
      <c r="U360" s="174"/>
      <c r="V360" s="174"/>
      <c r="W360" s="174"/>
      <c r="X360" s="174"/>
      <c r="Y360" s="174"/>
      <c r="Z360" s="174"/>
      <c r="AA360" s="174"/>
      <c r="AB360" s="174"/>
      <c r="AC360" s="174"/>
      <c r="AD360" s="174"/>
      <c r="AE360" s="174"/>
      <c r="AF360" s="174"/>
      <c r="AG360" s="174"/>
      <c r="AH360" s="174"/>
      <c r="AI360" s="174"/>
      <c r="AJ360" s="174"/>
      <c r="AK360" s="174"/>
      <c r="AL360" s="174"/>
      <c r="AM360" s="174"/>
      <c r="AN360" s="175"/>
      <c r="AO360" s="176"/>
      <c r="AP360" s="174"/>
      <c r="AQ360" s="177"/>
      <c r="AR360" s="174"/>
      <c r="AS360" s="174"/>
      <c r="AT360" s="174"/>
      <c r="AU360" s="174"/>
      <c r="AV360" s="174"/>
      <c r="AW360" s="174"/>
      <c r="AX360" s="174"/>
      <c r="AY360" s="167"/>
      <c r="AZ360" s="178"/>
      <c r="BA360" s="178"/>
      <c r="BB360" s="178"/>
      <c r="BC360" s="179"/>
      <c r="BD360" s="180"/>
      <c r="BE360" s="181"/>
    </row>
    <row r="361" spans="1:57" s="131" customFormat="1" x14ac:dyDescent="0.2">
      <c r="A361" s="165"/>
      <c r="C361" s="170">
        <v>14</v>
      </c>
      <c r="D361" s="153">
        <f>+SUM(BD126:BD137)</f>
        <v>69032445</v>
      </c>
      <c r="E361" s="167"/>
      <c r="F361" s="167"/>
      <c r="G361" s="174"/>
      <c r="H361" s="174"/>
      <c r="I361" s="174"/>
      <c r="J361" s="174"/>
      <c r="K361" s="174"/>
      <c r="L361" s="174"/>
      <c r="M361" s="174"/>
      <c r="N361" s="174"/>
      <c r="O361" s="174"/>
      <c r="P361" s="174"/>
      <c r="Q361" s="174"/>
      <c r="R361" s="174"/>
      <c r="S361" s="174"/>
      <c r="T361" s="174"/>
      <c r="U361" s="174"/>
      <c r="V361" s="174"/>
      <c r="W361" s="174"/>
      <c r="X361" s="174"/>
      <c r="Y361" s="174"/>
      <c r="Z361" s="174"/>
      <c r="AA361" s="174"/>
      <c r="AB361" s="174"/>
      <c r="AC361" s="174"/>
      <c r="AD361" s="174"/>
      <c r="AE361" s="174"/>
      <c r="AF361" s="174"/>
      <c r="AG361" s="174"/>
      <c r="AH361" s="174"/>
      <c r="AI361" s="174"/>
      <c r="AJ361" s="174"/>
      <c r="AK361" s="174"/>
      <c r="AL361" s="174"/>
      <c r="AM361" s="174"/>
      <c r="AN361" s="175"/>
      <c r="AO361" s="176"/>
      <c r="AP361" s="174"/>
      <c r="AQ361" s="177"/>
      <c r="AR361" s="174"/>
      <c r="AS361" s="174"/>
      <c r="AT361" s="174"/>
      <c r="AU361" s="174"/>
      <c r="AV361" s="174"/>
      <c r="AW361" s="174"/>
      <c r="AX361" s="174"/>
      <c r="AY361" s="167"/>
      <c r="AZ361" s="178"/>
      <c r="BA361" s="178"/>
      <c r="BB361" s="178"/>
      <c r="BC361" s="179"/>
      <c r="BD361" s="180"/>
      <c r="BE361" s="181"/>
    </row>
    <row r="362" spans="1:57" s="131" customFormat="1" x14ac:dyDescent="0.2">
      <c r="A362" s="165"/>
      <c r="C362" s="170"/>
      <c r="D362" s="153"/>
      <c r="E362" s="167"/>
      <c r="F362" s="167"/>
      <c r="G362" s="174"/>
      <c r="H362" s="174"/>
      <c r="I362" s="174"/>
      <c r="J362" s="174"/>
      <c r="K362" s="174"/>
      <c r="L362" s="174"/>
      <c r="M362" s="174"/>
      <c r="N362" s="174"/>
      <c r="O362" s="174"/>
      <c r="P362" s="174"/>
      <c r="Q362" s="174"/>
      <c r="R362" s="174"/>
      <c r="S362" s="174"/>
      <c r="T362" s="174"/>
      <c r="U362" s="174"/>
      <c r="V362" s="174"/>
      <c r="W362" s="174"/>
      <c r="X362" s="174"/>
      <c r="Y362" s="174"/>
      <c r="Z362" s="174"/>
      <c r="AA362" s="174"/>
      <c r="AB362" s="174"/>
      <c r="AC362" s="174"/>
      <c r="AD362" s="174"/>
      <c r="AE362" s="174"/>
      <c r="AF362" s="174"/>
      <c r="AG362" s="174"/>
      <c r="AH362" s="174"/>
      <c r="AI362" s="174"/>
      <c r="AJ362" s="174"/>
      <c r="AK362" s="174"/>
      <c r="AL362" s="174"/>
      <c r="AM362" s="174"/>
      <c r="AN362" s="175"/>
      <c r="AO362" s="176"/>
      <c r="AP362" s="174"/>
      <c r="AQ362" s="177"/>
      <c r="AR362" s="174"/>
      <c r="AS362" s="174"/>
      <c r="AT362" s="174"/>
      <c r="AU362" s="174"/>
      <c r="AV362" s="174"/>
      <c r="AW362" s="174"/>
      <c r="AX362" s="174"/>
      <c r="AY362" s="167"/>
      <c r="AZ362" s="178"/>
      <c r="BA362" s="178"/>
      <c r="BB362" s="178"/>
      <c r="BC362" s="179"/>
      <c r="BD362" s="180"/>
      <c r="BE362" s="181"/>
    </row>
    <row r="363" spans="1:57" s="131" customFormat="1" x14ac:dyDescent="0.2">
      <c r="A363" s="165"/>
      <c r="C363" s="170">
        <v>16</v>
      </c>
      <c r="D363" s="153">
        <f>+BD138</f>
        <v>39792</v>
      </c>
      <c r="E363" s="167"/>
      <c r="F363" s="167"/>
      <c r="G363" s="174"/>
      <c r="H363" s="174"/>
      <c r="I363" s="174"/>
      <c r="J363" s="174"/>
      <c r="K363" s="174"/>
      <c r="L363" s="174"/>
      <c r="M363" s="174"/>
      <c r="N363" s="174"/>
      <c r="O363" s="174"/>
      <c r="P363" s="174"/>
      <c r="Q363" s="174"/>
      <c r="R363" s="174"/>
      <c r="S363" s="174"/>
      <c r="T363" s="174"/>
      <c r="U363" s="174"/>
      <c r="V363" s="174"/>
      <c r="W363" s="174"/>
      <c r="X363" s="174"/>
      <c r="Y363" s="174"/>
      <c r="Z363" s="174"/>
      <c r="AA363" s="174"/>
      <c r="AB363" s="174"/>
      <c r="AC363" s="174"/>
      <c r="AD363" s="174"/>
      <c r="AE363" s="174"/>
      <c r="AF363" s="174"/>
      <c r="AG363" s="174"/>
      <c r="AH363" s="174"/>
      <c r="AI363" s="174"/>
      <c r="AJ363" s="174"/>
      <c r="AK363" s="174"/>
      <c r="AL363" s="174"/>
      <c r="AM363" s="174"/>
      <c r="AN363" s="175"/>
      <c r="AO363" s="176"/>
      <c r="AP363" s="174"/>
      <c r="AQ363" s="177"/>
      <c r="AR363" s="174"/>
      <c r="AS363" s="174"/>
      <c r="AT363" s="174"/>
      <c r="AU363" s="174"/>
      <c r="AV363" s="174"/>
      <c r="AW363" s="174"/>
      <c r="AX363" s="174"/>
      <c r="AY363" s="167"/>
      <c r="AZ363" s="178"/>
      <c r="BA363" s="178"/>
      <c r="BB363" s="178"/>
      <c r="BC363" s="179"/>
      <c r="BD363" s="180"/>
      <c r="BE363" s="181"/>
    </row>
    <row r="364" spans="1:57" s="131" customFormat="1" x14ac:dyDescent="0.2">
      <c r="A364" s="165"/>
      <c r="C364" s="170">
        <v>17</v>
      </c>
      <c r="D364" s="153">
        <f>+SUM(BD139:BD341)</f>
        <v>1002186021</v>
      </c>
      <c r="E364" s="167"/>
      <c r="F364" s="167"/>
      <c r="G364" s="174"/>
      <c r="H364" s="174"/>
      <c r="I364" s="174"/>
      <c r="J364" s="174"/>
      <c r="K364" s="174"/>
      <c r="L364" s="174"/>
      <c r="M364" s="174"/>
      <c r="N364" s="174"/>
      <c r="O364" s="174"/>
      <c r="P364" s="174"/>
      <c r="Q364" s="174"/>
      <c r="R364" s="174"/>
      <c r="S364" s="174"/>
      <c r="T364" s="174"/>
      <c r="U364" s="174"/>
      <c r="V364" s="174"/>
      <c r="W364" s="174"/>
      <c r="X364" s="174"/>
      <c r="Y364" s="174"/>
      <c r="Z364" s="174"/>
      <c r="AA364" s="174"/>
      <c r="AB364" s="174"/>
      <c r="AC364" s="174"/>
      <c r="AD364" s="174"/>
      <c r="AE364" s="174"/>
      <c r="AF364" s="174"/>
      <c r="AG364" s="174"/>
      <c r="AH364" s="174"/>
      <c r="AI364" s="174"/>
      <c r="AJ364" s="174"/>
      <c r="AK364" s="174"/>
      <c r="AL364" s="174"/>
      <c r="AM364" s="174"/>
      <c r="AN364" s="175"/>
      <c r="AO364" s="176"/>
      <c r="AP364" s="174"/>
      <c r="AQ364" s="177"/>
      <c r="AR364" s="174"/>
      <c r="AS364" s="174"/>
      <c r="AT364" s="174"/>
      <c r="AU364" s="174"/>
      <c r="AV364" s="174"/>
      <c r="AW364" s="174"/>
      <c r="AX364" s="174"/>
      <c r="AY364" s="167"/>
      <c r="AZ364" s="178"/>
      <c r="BA364" s="178"/>
      <c r="BB364" s="178"/>
      <c r="BC364" s="179"/>
      <c r="BD364" s="180"/>
      <c r="BE364" s="181"/>
    </row>
    <row r="365" spans="1:57" ht="32.25" customHeight="1" x14ac:dyDescent="0.2">
      <c r="B365" s="134"/>
      <c r="C365" s="172">
        <v>18</v>
      </c>
      <c r="D365" s="153">
        <f>+BD342+BD343</f>
        <v>63913</v>
      </c>
    </row>
    <row r="366" spans="1:57" x14ac:dyDescent="0.2">
      <c r="B366" s="134"/>
      <c r="C366" s="172">
        <v>19</v>
      </c>
      <c r="D366" s="153">
        <f>+BD344+BD345</f>
        <v>3238874</v>
      </c>
    </row>
    <row r="367" spans="1:57" ht="19.5" customHeight="1" x14ac:dyDescent="0.2">
      <c r="C367" s="173"/>
      <c r="D367" s="171">
        <f>+SUM(D348:D366)</f>
        <v>1461281539</v>
      </c>
      <c r="F367" s="151"/>
      <c r="G367" s="102"/>
      <c r="H367" s="102"/>
    </row>
  </sheetData>
  <sheetProtection insertRows="0" autoFilter="0"/>
  <mergeCells count="31">
    <mergeCell ref="AZ346:BC346"/>
    <mergeCell ref="AX2:AX3"/>
    <mergeCell ref="A2:A3"/>
    <mergeCell ref="A1:F1"/>
    <mergeCell ref="BC2:BC3"/>
    <mergeCell ref="G2:G3"/>
    <mergeCell ref="H2:H3"/>
    <mergeCell ref="I2:I3"/>
    <mergeCell ref="B2:B3"/>
    <mergeCell ref="C2:C3"/>
    <mergeCell ref="D2:D3"/>
    <mergeCell ref="E2:E3"/>
    <mergeCell ref="F2:F3"/>
    <mergeCell ref="G1:I1"/>
    <mergeCell ref="J1:AL1"/>
    <mergeCell ref="BD2:BD3"/>
    <mergeCell ref="AN1:AU1"/>
    <mergeCell ref="AW1:AX1"/>
    <mergeCell ref="AZ2:BB2"/>
    <mergeCell ref="AZ1:BD1"/>
    <mergeCell ref="AN2:AN3"/>
    <mergeCell ref="AO2:AO3"/>
    <mergeCell ref="AP2:AP3"/>
    <mergeCell ref="AQ2:AQ3"/>
    <mergeCell ref="AR2:AR3"/>
    <mergeCell ref="AS2:AS3"/>
    <mergeCell ref="AT2:AT3"/>
    <mergeCell ref="AU2:AU3"/>
    <mergeCell ref="AW2:AW3"/>
    <mergeCell ref="AV2:AV3"/>
    <mergeCell ref="AY2:AY3"/>
  </mergeCells>
  <pageMargins left="0.39370078740157483" right="0.39370078740157483" top="0.39370078740157483" bottom="0.39370078740157483" header="0.39370078740157483" footer="0.39370078740157483"/>
  <pageSetup paperSize="9" scale="20" fitToHeight="0" orientation="landscape" r:id="rId1"/>
  <headerFooter>
    <oddHeader>&amp;LPágina: &amp;P de &amp;N</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1 PLANTA</vt:lpstr>
      <vt:lpstr>TOTAL PROCESO</vt:lpstr>
      <vt:lpstr>'FORMATO 1 PLANTA'!Área_de_impresión</vt:lpstr>
      <vt:lpstr>'TOTAL PROCESO'!Área_de_impresión</vt:lpstr>
      <vt:lpstr>'FORMATO 1 PLANTA'!Títulos_a_imprimir</vt:lpstr>
    </vt:vector>
  </TitlesOfParts>
  <Company>Direccion de Sanidad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Cvargas</dc:creator>
  <cp:lastModifiedBy>LINA MARCELA SILVA RAMIREZ</cp:lastModifiedBy>
  <cp:lastPrinted>2026-03-10T22:51:23Z</cp:lastPrinted>
  <dcterms:created xsi:type="dcterms:W3CDTF">2006-07-25T14:32:37Z</dcterms:created>
  <dcterms:modified xsi:type="dcterms:W3CDTF">2026-03-26T23:00:08Z</dcterms:modified>
</cp:coreProperties>
</file>