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ASUS\OneDrive\Desktop\ARCHIVOS ALCALDIA USAQUEN\2026\PROCESOS VARIOS FUNCIONAMIENTO 2026\PROCESO VIGILANCIA 2026\OBSERVACIONES Y AJUSTES PROCESO_05052026\"/>
    </mc:Choice>
  </mc:AlternateContent>
  <xr:revisionPtr revIDLastSave="0" documentId="13_ncr:1_{9DA42581-D491-49A4-B724-547111F2EE85}" xr6:coauthVersionLast="47" xr6:coauthVersionMax="47" xr10:uidLastSave="{00000000-0000-0000-0000-000000000000}"/>
  <bookViews>
    <workbookView xWindow="-108" yWindow="-108" windowWidth="23256" windowHeight="12456" activeTab="2" xr2:uid="{287BEF40-40F9-4287-B4C2-F0B6801F59B5}"/>
  </bookViews>
  <sheets>
    <sheet name="SERVICIOS VIGILANCIA " sheetId="5" r:id="rId1"/>
    <sheet name="MEDIOS TECNOL" sheetId="6" r:id="rId2"/>
    <sheet name="PRESUPUESTO OFICIAL" sheetId="2" r:id="rId3"/>
  </sheets>
  <externalReferences>
    <externalReference r:id="rId4"/>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8" i="6" l="1"/>
  <c r="V26" i="6"/>
  <c r="V25" i="6"/>
  <c r="V24" i="6"/>
  <c r="V23" i="6"/>
  <c r="V22" i="6"/>
  <c r="V21" i="6"/>
  <c r="V20" i="6"/>
  <c r="V19" i="6"/>
  <c r="V18" i="6"/>
  <c r="V16" i="6"/>
  <c r="V15" i="6"/>
  <c r="V14" i="6"/>
  <c r="V13" i="6"/>
  <c r="V11" i="6"/>
  <c r="V10" i="6"/>
  <c r="V9" i="6"/>
  <c r="V8" i="6"/>
  <c r="V6" i="6"/>
  <c r="O68" i="5"/>
  <c r="O67" i="5"/>
  <c r="O66" i="5"/>
  <c r="O65" i="5"/>
  <c r="O64" i="5"/>
  <c r="O63" i="5"/>
  <c r="O62" i="5"/>
  <c r="O61" i="5"/>
  <c r="O60" i="5"/>
  <c r="O59" i="5"/>
  <c r="O35" i="5"/>
  <c r="O34" i="5"/>
  <c r="O33" i="5"/>
  <c r="O32" i="5"/>
  <c r="O31" i="5"/>
  <c r="O30" i="5"/>
  <c r="O29" i="5"/>
  <c r="O28" i="5"/>
  <c r="O27" i="5"/>
  <c r="O26" i="5"/>
  <c r="O18" i="5"/>
  <c r="O17" i="5"/>
  <c r="O16" i="5"/>
  <c r="O15" i="5"/>
  <c r="O14" i="5"/>
  <c r="O13" i="5"/>
  <c r="O12" i="5"/>
  <c r="O11" i="5"/>
  <c r="O10" i="5"/>
  <c r="O9" i="5"/>
  <c r="G68" i="5" l="1"/>
  <c r="H68" i="5" s="1"/>
  <c r="G60" i="5"/>
  <c r="H60" i="5" s="1"/>
  <c r="G59" i="5"/>
  <c r="H62" i="5"/>
  <c r="H63" i="5"/>
  <c r="H64" i="5"/>
  <c r="H65" i="5"/>
  <c r="H66" i="5"/>
  <c r="H67" i="5"/>
  <c r="H61" i="5"/>
  <c r="H35" i="5"/>
  <c r="H27" i="5"/>
  <c r="H18" i="5"/>
  <c r="H10" i="5"/>
  <c r="H59" i="5"/>
  <c r="F68" i="5"/>
  <c r="G67" i="5"/>
  <c r="F67" i="5"/>
  <c r="G66" i="5"/>
  <c r="F66" i="5"/>
  <c r="G65" i="5"/>
  <c r="F65" i="5"/>
  <c r="G64" i="5"/>
  <c r="F64" i="5"/>
  <c r="G63" i="5"/>
  <c r="F63" i="5"/>
  <c r="G62" i="5"/>
  <c r="F62" i="5"/>
  <c r="G61" i="5"/>
  <c r="F61" i="5"/>
  <c r="F60" i="5"/>
  <c r="F59" i="5"/>
  <c r="G69" i="5" l="1"/>
  <c r="J63" i="5"/>
  <c r="K63" i="5"/>
  <c r="J64" i="5"/>
  <c r="K64" i="5" s="1"/>
  <c r="J59" i="5"/>
  <c r="K59" i="5" s="1"/>
  <c r="H69" i="5"/>
  <c r="J65" i="5"/>
  <c r="K65" i="5" s="1"/>
  <c r="J60" i="5"/>
  <c r="K60" i="5" s="1"/>
  <c r="J66" i="5"/>
  <c r="K66" i="5" s="1"/>
  <c r="J61" i="5"/>
  <c r="K61" i="5" s="1"/>
  <c r="J67" i="5"/>
  <c r="K67" i="5" s="1"/>
  <c r="J62" i="5"/>
  <c r="K62" i="5" s="1"/>
  <c r="J68" i="5"/>
  <c r="K68" i="5" s="1"/>
  <c r="F69" i="5"/>
  <c r="L66" i="5" l="1"/>
  <c r="M66" i="5" s="1"/>
  <c r="N66" i="5"/>
  <c r="L62" i="5"/>
  <c r="M62" i="5" s="1"/>
  <c r="N62" i="5"/>
  <c r="L67" i="5"/>
  <c r="M67" i="5" s="1"/>
  <c r="L61" i="5"/>
  <c r="M61" i="5" s="1"/>
  <c r="L65" i="5"/>
  <c r="M65" i="5" s="1"/>
  <c r="L60" i="5"/>
  <c r="M60" i="5" s="1"/>
  <c r="L68" i="5"/>
  <c r="M68" i="5" s="1"/>
  <c r="K69" i="5"/>
  <c r="L59" i="5"/>
  <c r="J69" i="5"/>
  <c r="L64" i="5"/>
  <c r="M64" i="5" s="1"/>
  <c r="L63" i="5"/>
  <c r="M63" i="5" s="1"/>
  <c r="N61" i="5" l="1"/>
  <c r="N68" i="5"/>
  <c r="N63" i="5"/>
  <c r="N65" i="5"/>
  <c r="N64" i="5"/>
  <c r="N60" i="5"/>
  <c r="M59" i="5"/>
  <c r="M69" i="5" s="1"/>
  <c r="L69" i="5"/>
  <c r="N67" i="5"/>
  <c r="N59" i="5"/>
  <c r="O69" i="5" l="1"/>
  <c r="N69" i="5"/>
  <c r="B5" i="2" l="1"/>
  <c r="U11" i="6"/>
  <c r="U10" i="6"/>
  <c r="O28" i="6"/>
  <c r="P28" i="6" s="1"/>
  <c r="P29" i="6" s="1"/>
  <c r="N28" i="6"/>
  <c r="J28" i="6"/>
  <c r="K28" i="6" s="1"/>
  <c r="L28" i="6" s="1"/>
  <c r="L29" i="6" s="1"/>
  <c r="F28" i="6"/>
  <c r="G28" i="6" s="1"/>
  <c r="H28" i="6" s="1"/>
  <c r="O26" i="6"/>
  <c r="P26" i="6" s="1"/>
  <c r="N26" i="6"/>
  <c r="J26" i="6"/>
  <c r="K26" i="6" s="1"/>
  <c r="L26" i="6" s="1"/>
  <c r="F26" i="6"/>
  <c r="G26" i="6" s="1"/>
  <c r="H26" i="6" s="1"/>
  <c r="N25" i="6"/>
  <c r="O25" i="6" s="1"/>
  <c r="P25" i="6" s="1"/>
  <c r="J25" i="6"/>
  <c r="K25" i="6" s="1"/>
  <c r="L25" i="6" s="1"/>
  <c r="F25" i="6"/>
  <c r="G25" i="6" s="1"/>
  <c r="H25" i="6" s="1"/>
  <c r="N24" i="6"/>
  <c r="O24" i="6" s="1"/>
  <c r="P24" i="6" s="1"/>
  <c r="J24" i="6"/>
  <c r="K24" i="6" s="1"/>
  <c r="L24" i="6" s="1"/>
  <c r="U24" i="6" s="1"/>
  <c r="G24" i="6"/>
  <c r="H24" i="6" s="1"/>
  <c r="F24" i="6"/>
  <c r="N23" i="6"/>
  <c r="O23" i="6" s="1"/>
  <c r="P23" i="6" s="1"/>
  <c r="K23" i="6"/>
  <c r="L23" i="6" s="1"/>
  <c r="U23" i="6" s="1"/>
  <c r="J23" i="6"/>
  <c r="F23" i="6"/>
  <c r="G23" i="6" s="1"/>
  <c r="H23" i="6" s="1"/>
  <c r="O22" i="6"/>
  <c r="P22" i="6" s="1"/>
  <c r="N22" i="6"/>
  <c r="J22" i="6"/>
  <c r="K22" i="6" s="1"/>
  <c r="L22" i="6" s="1"/>
  <c r="F22" i="6"/>
  <c r="G22" i="6" s="1"/>
  <c r="H22" i="6" s="1"/>
  <c r="R22" i="6" s="1"/>
  <c r="N21" i="6"/>
  <c r="O21" i="6" s="1"/>
  <c r="P21" i="6" s="1"/>
  <c r="J21" i="6"/>
  <c r="K21" i="6" s="1"/>
  <c r="L21" i="6" s="1"/>
  <c r="F21" i="6"/>
  <c r="G21" i="6" s="1"/>
  <c r="H21" i="6" s="1"/>
  <c r="N20" i="6"/>
  <c r="O20" i="6" s="1"/>
  <c r="P20" i="6" s="1"/>
  <c r="J20" i="6"/>
  <c r="K20" i="6" s="1"/>
  <c r="L20" i="6" s="1"/>
  <c r="U20" i="6" s="1"/>
  <c r="G20" i="6"/>
  <c r="H20" i="6" s="1"/>
  <c r="F20" i="6"/>
  <c r="N19" i="6"/>
  <c r="O19" i="6" s="1"/>
  <c r="P19" i="6" s="1"/>
  <c r="K19" i="6"/>
  <c r="L19" i="6" s="1"/>
  <c r="J19" i="6"/>
  <c r="F19" i="6"/>
  <c r="G19" i="6" s="1"/>
  <c r="H19" i="6" s="1"/>
  <c r="P18" i="6"/>
  <c r="R18" i="6" s="1"/>
  <c r="O18" i="6"/>
  <c r="N18" i="6"/>
  <c r="J18" i="6"/>
  <c r="K18" i="6" s="1"/>
  <c r="L18" i="6" s="1"/>
  <c r="F18" i="6"/>
  <c r="G18" i="6" s="1"/>
  <c r="H18" i="6" s="1"/>
  <c r="N16" i="6"/>
  <c r="O16" i="6" s="1"/>
  <c r="P16" i="6" s="1"/>
  <c r="J16" i="6"/>
  <c r="K16" i="6" s="1"/>
  <c r="L16" i="6" s="1"/>
  <c r="F16" i="6"/>
  <c r="G16" i="6" s="1"/>
  <c r="H16" i="6" s="1"/>
  <c r="N15" i="6"/>
  <c r="O15" i="6" s="1"/>
  <c r="P15" i="6" s="1"/>
  <c r="J15" i="6"/>
  <c r="K15" i="6" s="1"/>
  <c r="L15" i="6" s="1"/>
  <c r="F15" i="6"/>
  <c r="G15" i="6" s="1"/>
  <c r="H15" i="6" s="1"/>
  <c r="N14" i="6"/>
  <c r="O14" i="6" s="1"/>
  <c r="P14" i="6" s="1"/>
  <c r="J14" i="6"/>
  <c r="K14" i="6" s="1"/>
  <c r="L14" i="6" s="1"/>
  <c r="F14" i="6"/>
  <c r="G14" i="6" s="1"/>
  <c r="H14" i="6" s="1"/>
  <c r="N13" i="6"/>
  <c r="O13" i="6" s="1"/>
  <c r="P13" i="6" s="1"/>
  <c r="P17" i="6" s="1"/>
  <c r="J13" i="6"/>
  <c r="K13" i="6" s="1"/>
  <c r="L13" i="6" s="1"/>
  <c r="L17" i="6" s="1"/>
  <c r="F13" i="6"/>
  <c r="G13" i="6" s="1"/>
  <c r="H13" i="6" s="1"/>
  <c r="N11" i="6"/>
  <c r="O11" i="6" s="1"/>
  <c r="P11" i="6" s="1"/>
  <c r="K11" i="6"/>
  <c r="L11" i="6" s="1"/>
  <c r="J11" i="6"/>
  <c r="F11" i="6"/>
  <c r="G11" i="6" s="1"/>
  <c r="H11" i="6" s="1"/>
  <c r="O10" i="6"/>
  <c r="P10" i="6" s="1"/>
  <c r="N10" i="6"/>
  <c r="J10" i="6"/>
  <c r="K10" i="6" s="1"/>
  <c r="L10" i="6" s="1"/>
  <c r="F10" i="6"/>
  <c r="G10" i="6" s="1"/>
  <c r="H10" i="6" s="1"/>
  <c r="N9" i="6"/>
  <c r="O9" i="6" s="1"/>
  <c r="P9" i="6" s="1"/>
  <c r="J9" i="6"/>
  <c r="K9" i="6" s="1"/>
  <c r="L9" i="6" s="1"/>
  <c r="F9" i="6"/>
  <c r="G9" i="6" s="1"/>
  <c r="H9" i="6" s="1"/>
  <c r="N8" i="6"/>
  <c r="O8" i="6" s="1"/>
  <c r="P8" i="6" s="1"/>
  <c r="J8" i="6"/>
  <c r="K8" i="6" s="1"/>
  <c r="L8" i="6" s="1"/>
  <c r="G8" i="6"/>
  <c r="H8" i="6" s="1"/>
  <c r="F8" i="6"/>
  <c r="P7" i="6"/>
  <c r="N6" i="6"/>
  <c r="O6" i="6" s="1"/>
  <c r="P6" i="6" s="1"/>
  <c r="J6" i="6"/>
  <c r="K6" i="6" s="1"/>
  <c r="L6" i="6" s="1"/>
  <c r="L7" i="6" s="1"/>
  <c r="G6" i="6"/>
  <c r="H6" i="6" s="1"/>
  <c r="F6" i="6"/>
  <c r="F43" i="5"/>
  <c r="F44" i="5"/>
  <c r="F45" i="5"/>
  <c r="F46" i="5"/>
  <c r="F47" i="5"/>
  <c r="F48" i="5"/>
  <c r="F49" i="5"/>
  <c r="F51" i="5"/>
  <c r="F27" i="5"/>
  <c r="F28" i="5"/>
  <c r="F29" i="5"/>
  <c r="F30" i="5"/>
  <c r="F31" i="5"/>
  <c r="F32" i="5"/>
  <c r="F34" i="5"/>
  <c r="F35" i="5"/>
  <c r="F26" i="5"/>
  <c r="F50" i="5"/>
  <c r="T5" i="5"/>
  <c r="G35" i="5" s="1"/>
  <c r="T4" i="5"/>
  <c r="F10" i="5"/>
  <c r="G9" i="5" l="1"/>
  <c r="G10" i="5"/>
  <c r="G18" i="5"/>
  <c r="G47" i="5"/>
  <c r="H47" i="5" s="1"/>
  <c r="J47" i="5" s="1"/>
  <c r="K47" i="5" s="1"/>
  <c r="G26" i="5"/>
  <c r="H26" i="5" s="1"/>
  <c r="G46" i="5"/>
  <c r="H46" i="5" s="1"/>
  <c r="J46" i="5" s="1"/>
  <c r="K46" i="5" s="1"/>
  <c r="G28" i="5"/>
  <c r="H28" i="5" s="1"/>
  <c r="G45" i="5"/>
  <c r="H45" i="5" s="1"/>
  <c r="J45" i="5" s="1"/>
  <c r="K45" i="5" s="1"/>
  <c r="G51" i="5"/>
  <c r="H51" i="5" s="1"/>
  <c r="J51" i="5" s="1"/>
  <c r="K51" i="5" s="1"/>
  <c r="U9" i="6"/>
  <c r="R9" i="6"/>
  <c r="Q9" i="6"/>
  <c r="Q21" i="6"/>
  <c r="R21" i="6"/>
  <c r="U21" i="6"/>
  <c r="R10" i="6"/>
  <c r="Q10" i="6"/>
  <c r="Q25" i="6"/>
  <c r="U25" i="6"/>
  <c r="R25" i="6"/>
  <c r="R6" i="6"/>
  <c r="Q6" i="6"/>
  <c r="H7" i="6"/>
  <c r="U6" i="6"/>
  <c r="Q26" i="6"/>
  <c r="R24" i="6"/>
  <c r="Q24" i="6"/>
  <c r="U14" i="6"/>
  <c r="R14" i="6"/>
  <c r="Q14" i="6"/>
  <c r="R20" i="6"/>
  <c r="Q20" i="6"/>
  <c r="U26" i="6"/>
  <c r="R26" i="6"/>
  <c r="L12" i="6"/>
  <c r="R28" i="6"/>
  <c r="Q28" i="6"/>
  <c r="H29" i="6"/>
  <c r="U28" i="6"/>
  <c r="P12" i="6"/>
  <c r="P30" i="6" s="1"/>
  <c r="R13" i="6"/>
  <c r="Q13" i="6"/>
  <c r="U13" i="6"/>
  <c r="H17" i="6"/>
  <c r="U22" i="6"/>
  <c r="Q18" i="6"/>
  <c r="U8" i="6"/>
  <c r="H12" i="6"/>
  <c r="R8" i="6"/>
  <c r="U19" i="6"/>
  <c r="R19" i="6"/>
  <c r="Q19" i="6"/>
  <c r="R15" i="6"/>
  <c r="U15" i="6"/>
  <c r="Q22" i="6"/>
  <c r="Q11" i="6"/>
  <c r="H27" i="6"/>
  <c r="U18" i="6"/>
  <c r="R23" i="6"/>
  <c r="Q23" i="6"/>
  <c r="Q8" i="6"/>
  <c r="R11" i="6"/>
  <c r="L27" i="6"/>
  <c r="L30" i="6" s="1"/>
  <c r="Q15" i="6"/>
  <c r="U16" i="6"/>
  <c r="R16" i="6"/>
  <c r="Q16" i="6"/>
  <c r="P27" i="6"/>
  <c r="G32" i="5"/>
  <c r="H32" i="5" s="1"/>
  <c r="G27" i="5"/>
  <c r="F33" i="5"/>
  <c r="G31" i="5"/>
  <c r="H31" i="5" s="1"/>
  <c r="F42" i="5"/>
  <c r="G43" i="5"/>
  <c r="H43" i="5" s="1"/>
  <c r="J43" i="5" s="1"/>
  <c r="K43" i="5" s="1"/>
  <c r="G34" i="5"/>
  <c r="H34" i="5" s="1"/>
  <c r="J34" i="5" s="1"/>
  <c r="K34" i="5" s="1"/>
  <c r="G33" i="5"/>
  <c r="G29" i="5"/>
  <c r="H29" i="5" s="1"/>
  <c r="J29" i="5" s="1"/>
  <c r="K29" i="5" s="1"/>
  <c r="G50" i="5"/>
  <c r="H50" i="5" s="1"/>
  <c r="J50" i="5" s="1"/>
  <c r="K50" i="5" s="1"/>
  <c r="G30" i="5"/>
  <c r="H30" i="5" s="1"/>
  <c r="G44" i="5"/>
  <c r="H44" i="5" s="1"/>
  <c r="J44" i="5" s="1"/>
  <c r="K44" i="5" s="1"/>
  <c r="G49" i="5"/>
  <c r="H49" i="5" s="1"/>
  <c r="J49" i="5" s="1"/>
  <c r="K49" i="5" s="1"/>
  <c r="G42" i="5"/>
  <c r="G48" i="5"/>
  <c r="H48" i="5" s="1"/>
  <c r="J48" i="5" s="1"/>
  <c r="K48" i="5" s="1"/>
  <c r="L48" i="5" s="1"/>
  <c r="M48" i="5" s="1"/>
  <c r="G11" i="5"/>
  <c r="G17" i="5"/>
  <c r="G16" i="5"/>
  <c r="G15" i="5"/>
  <c r="G14" i="5"/>
  <c r="G13" i="5"/>
  <c r="G12" i="5"/>
  <c r="F9" i="5"/>
  <c r="F18" i="5"/>
  <c r="F17" i="5"/>
  <c r="F16" i="5"/>
  <c r="F15" i="5"/>
  <c r="F14" i="5"/>
  <c r="F13" i="5"/>
  <c r="F12" i="5"/>
  <c r="F11" i="5"/>
  <c r="H9" i="5" l="1"/>
  <c r="J18" i="5"/>
  <c r="K18" i="5" s="1"/>
  <c r="L18" i="5" s="1"/>
  <c r="H42" i="5"/>
  <c r="H52" i="5" s="1"/>
  <c r="H13" i="5"/>
  <c r="H14" i="5"/>
  <c r="J14" i="5" s="1"/>
  <c r="K14" i="5" s="1"/>
  <c r="H15" i="5"/>
  <c r="H16" i="5"/>
  <c r="J16" i="5" s="1"/>
  <c r="K16" i="5" s="1"/>
  <c r="F52" i="5"/>
  <c r="G36" i="5"/>
  <c r="V17" i="6"/>
  <c r="T26" i="6"/>
  <c r="S26" i="6"/>
  <c r="T16" i="6"/>
  <c r="S16" i="6"/>
  <c r="S22" i="6"/>
  <c r="T22" i="6"/>
  <c r="T6" i="6"/>
  <c r="S6" i="6"/>
  <c r="T20" i="6"/>
  <c r="S20" i="6"/>
  <c r="T15" i="6"/>
  <c r="S15" i="6"/>
  <c r="T19" i="6"/>
  <c r="S19" i="6"/>
  <c r="S13" i="6"/>
  <c r="T13" i="6"/>
  <c r="T14" i="6"/>
  <c r="S14" i="6"/>
  <c r="T25" i="6"/>
  <c r="S25" i="6"/>
  <c r="T8" i="6"/>
  <c r="S8" i="6"/>
  <c r="V29" i="6"/>
  <c r="T24" i="6"/>
  <c r="S24" i="6"/>
  <c r="S10" i="6"/>
  <c r="T10" i="6"/>
  <c r="T23" i="6"/>
  <c r="S23" i="6"/>
  <c r="H30" i="6"/>
  <c r="T28" i="6"/>
  <c r="S28" i="6"/>
  <c r="V27" i="6"/>
  <c r="V12" i="6"/>
  <c r="S18" i="6"/>
  <c r="T18" i="6"/>
  <c r="V7" i="6"/>
  <c r="T21" i="6"/>
  <c r="S21" i="6"/>
  <c r="T11" i="6"/>
  <c r="S11" i="6"/>
  <c r="T9" i="6"/>
  <c r="S9" i="6"/>
  <c r="H17" i="5"/>
  <c r="G52" i="5"/>
  <c r="H33" i="5"/>
  <c r="J33" i="5" s="1"/>
  <c r="K33" i="5" s="1"/>
  <c r="F19" i="5"/>
  <c r="F36" i="5"/>
  <c r="H11" i="5"/>
  <c r="H12" i="5"/>
  <c r="J12" i="5" s="1"/>
  <c r="K12" i="5" s="1"/>
  <c r="G19" i="5"/>
  <c r="L43" i="5"/>
  <c r="M43" i="5" s="1"/>
  <c r="L46" i="5"/>
  <c r="M46" i="5" s="1"/>
  <c r="L44" i="5"/>
  <c r="M44" i="5" s="1"/>
  <c r="L51" i="5"/>
  <c r="M51" i="5" s="1"/>
  <c r="N51" i="5" s="1"/>
  <c r="O51" i="5" s="1"/>
  <c r="L50" i="5"/>
  <c r="M50" i="5" s="1"/>
  <c r="L49" i="5"/>
  <c r="M49" i="5" s="1"/>
  <c r="N48" i="5"/>
  <c r="O48" i="5" s="1"/>
  <c r="L47" i="5"/>
  <c r="M47" i="5" s="1"/>
  <c r="L45" i="5"/>
  <c r="M45" i="5" s="1"/>
  <c r="L29" i="5"/>
  <c r="M29" i="5" s="1"/>
  <c r="L34" i="5"/>
  <c r="M34" i="5" s="1"/>
  <c r="J31" i="5"/>
  <c r="K31" i="5" s="1"/>
  <c r="J26" i="5"/>
  <c r="J28" i="5"/>
  <c r="K28" i="5" s="1"/>
  <c r="J35" i="5"/>
  <c r="K35" i="5" s="1"/>
  <c r="L35" i="5" s="1"/>
  <c r="J30" i="5"/>
  <c r="K30" i="5" s="1"/>
  <c r="J32" i="5"/>
  <c r="K32" i="5" s="1"/>
  <c r="J10" i="5"/>
  <c r="K10" i="5" s="1"/>
  <c r="L10" i="5" s="1"/>
  <c r="V30" i="6" l="1"/>
  <c r="B6" i="2" s="1"/>
  <c r="H36" i="5"/>
  <c r="J42" i="5"/>
  <c r="J27" i="5"/>
  <c r="K27" i="5" s="1"/>
  <c r="L27" i="5" s="1"/>
  <c r="M27" i="5" s="1"/>
  <c r="N46" i="5"/>
  <c r="O46" i="5" s="1"/>
  <c r="N49" i="5"/>
  <c r="O49" i="5" s="1"/>
  <c r="N43" i="5"/>
  <c r="O43" i="5" s="1"/>
  <c r="N50" i="5"/>
  <c r="O50" i="5" s="1"/>
  <c r="N45" i="5"/>
  <c r="O45" i="5" s="1"/>
  <c r="N47" i="5"/>
  <c r="O47" i="5" s="1"/>
  <c r="N44" i="5"/>
  <c r="O44" i="5" s="1"/>
  <c r="K26" i="5"/>
  <c r="L30" i="5"/>
  <c r="M30" i="5" s="1"/>
  <c r="L28" i="5"/>
  <c r="M28" i="5" s="1"/>
  <c r="M35" i="5"/>
  <c r="N34" i="5"/>
  <c r="L33" i="5"/>
  <c r="M33" i="5" s="1"/>
  <c r="L32" i="5"/>
  <c r="M32" i="5" s="1"/>
  <c r="N32" i="5" s="1"/>
  <c r="L31" i="5"/>
  <c r="M31" i="5" s="1"/>
  <c r="N29" i="5"/>
  <c r="H19" i="5"/>
  <c r="L12" i="5"/>
  <c r="M12" i="5" s="1"/>
  <c r="L16" i="5"/>
  <c r="M16" i="5" s="1"/>
  <c r="M10" i="5"/>
  <c r="L14" i="5"/>
  <c r="M14" i="5" s="1"/>
  <c r="M18" i="5"/>
  <c r="J9" i="5"/>
  <c r="J11" i="5"/>
  <c r="K11" i="5" s="1"/>
  <c r="J13" i="5"/>
  <c r="K13" i="5" s="1"/>
  <c r="J15" i="5"/>
  <c r="K15" i="5" s="1"/>
  <c r="J17" i="5"/>
  <c r="K17" i="5" s="1"/>
  <c r="K42" i="5" l="1"/>
  <c r="J52" i="5"/>
  <c r="K36" i="5"/>
  <c r="J36" i="5"/>
  <c r="L26" i="5"/>
  <c r="N33" i="5"/>
  <c r="N35" i="5"/>
  <c r="N27" i="5"/>
  <c r="N31" i="5"/>
  <c r="N28" i="5"/>
  <c r="N30" i="5"/>
  <c r="J19" i="5"/>
  <c r="K9" i="5"/>
  <c r="K19" i="5" s="1"/>
  <c r="L13" i="5"/>
  <c r="M13" i="5" s="1"/>
  <c r="N13" i="5" s="1"/>
  <c r="L11" i="5"/>
  <c r="M11" i="5" s="1"/>
  <c r="L17" i="5"/>
  <c r="M17" i="5" s="1"/>
  <c r="L15" i="5"/>
  <c r="M15" i="5" s="1"/>
  <c r="N18" i="5"/>
  <c r="N10" i="5"/>
  <c r="N12" i="5"/>
  <c r="N14" i="5"/>
  <c r="N16" i="5"/>
  <c r="K52" i="5" l="1"/>
  <c r="L42" i="5"/>
  <c r="M26" i="5"/>
  <c r="M36" i="5" s="1"/>
  <c r="L36" i="5"/>
  <c r="L9" i="5"/>
  <c r="M9" i="5" s="1"/>
  <c r="N11" i="5"/>
  <c r="N15" i="5"/>
  <c r="N17" i="5"/>
  <c r="M42" i="5" l="1"/>
  <c r="M52" i="5" s="1"/>
  <c r="L52" i="5"/>
  <c r="N26" i="5"/>
  <c r="L19" i="5"/>
  <c r="M19" i="5"/>
  <c r="N9" i="5"/>
  <c r="N42" i="5" l="1"/>
  <c r="O36" i="5"/>
  <c r="B4" i="2" s="1"/>
  <c r="N36" i="5"/>
  <c r="N19" i="5"/>
  <c r="O19" i="5"/>
  <c r="B3" i="2" l="1"/>
  <c r="B8" i="2" s="1"/>
  <c r="O71" i="5"/>
  <c r="O42" i="5"/>
  <c r="O52" i="5" s="1"/>
  <c r="N52" i="5"/>
</calcChain>
</file>

<file path=xl/sharedStrings.xml><?xml version="1.0" encoding="utf-8"?>
<sst xmlns="http://schemas.openxmlformats.org/spreadsheetml/2006/main" count="315" uniqueCount="113">
  <si>
    <t>UBICACIÓN</t>
  </si>
  <si>
    <t>CANTIDAD</t>
  </si>
  <si>
    <t>TIEMPO DE SERVICIO</t>
  </si>
  <si>
    <t>DOTACION ARMA</t>
  </si>
  <si>
    <t xml:space="preserve">EQUIPO DE COMUNICACIÓN </t>
  </si>
  <si>
    <t>TARIFA</t>
  </si>
  <si>
    <t>PRIMA SEGURO DE VIDA</t>
  </si>
  <si>
    <t>TARIFA + VALOR PRIMA SEGURO DE VIDA (EM SUGERIDO)</t>
  </si>
  <si>
    <t xml:space="preserve">PORCENTAJE DE GASTO DE ADMINISTRACIÓN Y SUPERVISIÓN </t>
  </si>
  <si>
    <t xml:space="preserve"> VALOR GASTOS DE ADMINISTRACIÓN DE SUPERVISIÓN</t>
  </si>
  <si>
    <t>TARIFA BASE + ADMINISTRACION Y SUPERVISION</t>
  </si>
  <si>
    <t>AIU(10%) Base IVA</t>
  </si>
  <si>
    <t>IVA ( (19% sobre AIU)</t>
  </si>
  <si>
    <t>Carrera 6A # 118 - 03</t>
  </si>
  <si>
    <t>24 HORAS PERMANENTE, DE LUNES A DOMINGO INCLUYENDO FESTIVOS</t>
  </si>
  <si>
    <t>SI</t>
  </si>
  <si>
    <t>NO</t>
  </si>
  <si>
    <t>CLL 120 A # 7 - 55</t>
  </si>
  <si>
    <t>CALLE 121 # 7 - 31</t>
  </si>
  <si>
    <t xml:space="preserve">CALLE 120 # 5 - 45 </t>
  </si>
  <si>
    <t>CARRERA 3a # 183 A - 30</t>
  </si>
  <si>
    <t>CALLE 122 # 7A 61</t>
  </si>
  <si>
    <t>Calle 153 A No. 7-08</t>
  </si>
  <si>
    <t>Calle 161A No. 7 F 69</t>
  </si>
  <si>
    <t xml:space="preserve">Carrera 7 No. 119- B-03 </t>
  </si>
  <si>
    <t>12 HORAS TURNO NOCTURNO DE LUNES A DOMINGO INCLUYENDO FESTIVOS  (6:00 pm a 6:00 am)</t>
  </si>
  <si>
    <t>PLAZO ESTIMADO</t>
  </si>
  <si>
    <t>VALOR PRESUPUESTO ESTIMADO</t>
  </si>
  <si>
    <t>12 HORAS DE LUNES AVIERNES SIN FESTIVOS (6:00 am a 6:00 pm) Y SABADOS SIN FESTIVOS (8:00 am a 2pm)</t>
  </si>
  <si>
    <t>SUBTOTAL</t>
  </si>
  <si>
    <t xml:space="preserve">Poryecciones y cálculos realizados con base en la resolucion de la Superintendencia de vigilancía; Por el cual se actualiza la tarifa mínima regulada de los servicios de vigilancia y seguridad privada a partir del 1 de julio de 2025 </t>
  </si>
  <si>
    <t>SMMLV</t>
  </si>
  <si>
    <t>AJUSTE</t>
  </si>
  <si>
    <t>IPC</t>
  </si>
  <si>
    <t>SEGUROS CON ARMA</t>
  </si>
  <si>
    <t>SEGUROS SIN ARMA</t>
  </si>
  <si>
    <t>VALOR MENSUAL TARIFAS ESTABLECIDAS POR CIRCULAR EXTERNA N°20251000059517CS DEL 15 DE JULIO DE 2026 HASTA EL 30 DE JUNIO DE 2027 (10,21) PARA SERVICIOS DE VIGILANCIA Y SEGURIDAD PRIVADA - CON INCREMENTO 22,7% SMMLV  E IPC 5,4% PERIODO 2026</t>
  </si>
  <si>
    <t xml:space="preserve">VALOR MENSUAL REFERENCIA (TARIFA 01 JUL - 14 JUL 2026) </t>
  </si>
  <si>
    <t>VALOR TOTAL (01 JUL - 14 JUL 2026)</t>
  </si>
  <si>
    <t xml:space="preserve">VALOR MENSUAL REFERENCIA (TARIFA 15 JUL - 31 DIC 2026) </t>
  </si>
  <si>
    <t>VALOR TOTAL (15 JUL - 31 DIC 2026)</t>
  </si>
  <si>
    <t>ESTUDIO DE MERCADO  SEGURIDAD Y VIGILANCIA - 2026</t>
  </si>
  <si>
    <t>EQUIPO</t>
  </si>
  <si>
    <t>CARACTERÍSTICAS TÉCNICAS</t>
  </si>
  <si>
    <t>SEDES</t>
  </si>
  <si>
    <t>COTIZACION 1 (SEGURITEL)</t>
  </si>
  <si>
    <t>COTIZACION 2 (MEGASEGURIDAD)</t>
  </si>
  <si>
    <t>COTIZACION 3 (TECHNIUMIA)</t>
  </si>
  <si>
    <t>PROMEDIO TOTAL CON IVA</t>
  </si>
  <si>
    <t>DESVIACIÓN ESTÁNDAR</t>
  </si>
  <si>
    <t>LIM SUP</t>
  </si>
  <si>
    <t>LIM INF</t>
  </si>
  <si>
    <t>VALOR TOTAL MENSUAL DE REFERENCIA IVA INCLUIDO</t>
  </si>
  <si>
    <t>VALOR UNITARIO</t>
  </si>
  <si>
    <t>VALOR IVA</t>
  </si>
  <si>
    <t>VALOR UNITARIO CON IVA</t>
  </si>
  <si>
    <t>VALOR TOTAL MENSUAL CON IVA (PRESUNTIVO)</t>
  </si>
  <si>
    <t xml:space="preserve">VALOR TOTAL MENSUAL CON IVA </t>
  </si>
  <si>
    <t>BIOMETRICO CONTROL DE ACCESO FUNCIONARIOS, CARACTERISTICAS</t>
  </si>
  <si>
    <t>1. Capacidad de Usuarios: 1500 usuarios por huella y tarjeta, almacenaje          
2.Colocación en base metálica, en 99 usos horarios, grupos de 5 y 10 combinaciones.independiente 50000 registros.(Protección IP 65 o IK 10)                                        
3. Comunicaciones: TCP / IP, RS 485/232, Weigand in / out, USB. 
4. Programaciones de alarmas, robo de alarma.               
5. Otras características: alarmas programadas                  
6. Lectura de código QR (Carnet institucional, debe contener lectura biometrica dactilar,biometrica facial y lectura con targeta)                                                                    
7. Los equipos biometricos estarán centralizados a la sede administrativa y se debera garantizar el correccto funcionamiento de los mismos como tambien la capacitación al personal que sea asignado por parte de la alcaldia                                                                                    
8. Todos los equipos e infrestructura que sean necesarios para la centralización seran aportados directamente por el proponete. Para las sedes: Sede principal Carrera 6a Nro 118 -03; Sede Administrativa Calle 120 A Nro 5-45 y Sede Inspecciones Calle 153 Nro 7-08</t>
  </si>
  <si>
    <r>
      <rPr>
        <sz val="9"/>
        <color theme="1"/>
        <rFont val="Calibri"/>
        <family val="2"/>
      </rPr>
      <t>•</t>
    </r>
    <r>
      <rPr>
        <sz val="9"/>
        <color theme="1"/>
        <rFont val="Arial"/>
        <family val="2"/>
      </rPr>
      <t xml:space="preserve"> Sede principal Carrera 6a Nro 118 -03
• Sede Administrativa Calle 120 A Nro 5-45 
• Sede Inspecciones  Calle 153 Nr 7-08</t>
    </r>
  </si>
  <si>
    <t>SUBTOTAL ARRENDAMIENTO, INSTALACION, CONFIGURACION Y MANTENIMIENTO</t>
  </si>
  <si>
    <t>EQUIPOS PARA CONTROL DE VISITANTES</t>
  </si>
  <si>
    <t>Software de control de visitantes</t>
  </si>
  <si>
    <t>Sede principal (Carrera 6a Nro 118 -03)</t>
  </si>
  <si>
    <t>Cámara USB a color para toma de fotos de alta definición</t>
  </si>
  <si>
    <t>Lector de Huella</t>
  </si>
  <si>
    <t>Un PC para la instalación del software y el control de visitantes. (Windows 10, licencia de Windows, pantalla de 20 pulgadas, memoria RAM 8 Giga byte minimo, disco duro de 1 TERA) debe contener licencia ofice y antivirus</t>
  </si>
  <si>
    <t>SUBTOTAL ARRENDAMIENTO, INSTALACION ,CONFIGURACION Y MANTENIMIENTO DE EQUIPO PARA CONTROL DE VISITANTES</t>
  </si>
  <si>
    <t>EQUIPOS DE SEGURIDAD PARA ALARMAS CCTV Y MONITOREO</t>
  </si>
  <si>
    <t>DVR de 16 canales de video análogos wd1/4cif @15 fps,4 canales de audio de entrada y VGA/HDMI a una resolución de 3840×2160p, vista en vivo desde el teléfono celular o internet .3 puertos USB para fácil backup y disco duro  de 8 (ocho) Teras, para las siguientes sedes:
• Dos (2) Sede principal Carrera 6a Nro 118 -03
• Uno (1) Inspecciones  Calle 153 Nro 7-08
• Uno (1) en archivo calle 121 Nro 7-31
• Uno (1) Sede administrativa calle 120 A No 5-45 
• Uno (1) Sede Jal Antigua  Calle 120 A No 7- 55
• Uno (1) Sede casa de la cultura Carrera 3 A # 183 A 30
• Uno (1) Sede casa de la memoria  Calle 161a  # 7F - 69
• Uno (1) Sede Casa del consumidor Calle 122 #7a - 61   
Nota: Los canales de internet seran suministrados por la alcaldia, el proponente debera suministrar el cableado desde el dispositivo grabador hasta los puntos indicados por la alcaldia.
Los equipos e infraestructura necesarios para la puesta en funcionamiento seran totalmente independientes a los de la alcaldia.</t>
  </si>
  <si>
    <t xml:space="preserve">Sede principal Carrera 6a Nro 118 -03
Inspecciones  Calle 153 Nro 7-08
Archivo calle 121 Nro 7-31
Sede administrativa calle 120 A No 5-45 
Sede Jal Antigua  Calle 120 A No 7- 55
Sede casa de la cultura Carrera 3 A # 183 A 30
Sede casa de la memoria  Calle 161a  # 7F - 69
Sede Casa del consumidor Calle 122 #7a - 61   </t>
  </si>
  <si>
    <t>Monitores de 24 pulgadas, tipo FULL HD</t>
  </si>
  <si>
    <t>En las 8 sedes</t>
  </si>
  <si>
    <t xml:space="preserve">Cámaras tipo domo y/o tipo bullet de interiores como minimo de 8mp, 4k - 2.8 mm a 12mm,  20 metros la asignacion se realizara en cada puesto de trabajo se solicitara el tipo de camara </t>
  </si>
  <si>
    <t>CÁMARA TIPO DOMO PTZ PARA EXTERIORES, IR 100M ¼”, 540 TVL, ZOOM 23X OPTICO 16 X DIGITAL DNR DIGITAL WDR 128X POSICIO- NAMIENTO 3 D, AGC 8 MASCARAS DE PRIVACIDAD, 256 PRESETS, 8 PATRULLAS,4 PATRONES, DIAMETRO 245 X 399 MMM, 5.5 kg Adaptador y soporte.</t>
  </si>
  <si>
    <t>SUBTOTAL ARRENDAMIENTO, E INSTALACION CCTV</t>
  </si>
  <si>
    <r>
      <t xml:space="preserve">EQUIPO PARA ALARMA
</t>
    </r>
    <r>
      <rPr>
        <b/>
        <sz val="9"/>
        <color theme="1"/>
        <rFont val="Arial"/>
        <family val="2"/>
      </rPr>
      <t>Nota: Se entrega instalado con su respectivo cableado UTP nivel 6 certificado y Cable dúplex 2X18</t>
    </r>
  </si>
  <si>
    <t>Panel de alarma hibrido de 32 zonas , inalámbricas ,alambradas, a través de buzón de datos, cuatro particiones, salida para sirena, monitoreable full datos por radio línea telefónica, y gprs y sus respectivas baterías de carga Transformador de entrada 110 voltios AC y salida de 14,8 Voltios AC, 40 voltiamperios</t>
  </si>
  <si>
    <t>Teclados liquid quarts alfanumérico compatible con el panel</t>
  </si>
  <si>
    <t>Transmisores de alarma vía radio full datos compatible 100 con el panel</t>
  </si>
  <si>
    <t>Detectores de movimiento de exteriores, triple tecnología infrarrojo, microondas, y aná- lisis de señales, pet inmune, cubrimiento de 12 metros, ángulo  de detección entre 90 y  110 grados. (2) en la sede principal, (2) en archivo, (2) en Administrativa (2) en la Antigua Jal  (2)  Casa de Fortalecimiento institucional (2) Inspecciones de policia  (2) Archivo  (2) casa del consumidor</t>
  </si>
  <si>
    <t xml:space="preserve">Detectores acústicos de rotura de vidrio y apertura de ventanas en las sedes :
• Una (1) sede principal alcaldia 
• Dos (2)sede inspoecciones </t>
  </si>
  <si>
    <t>Sede principal Carrera 6a Nro 118 -03 Inspecciones  Calle 153 Nro 7-08</t>
  </si>
  <si>
    <t xml:space="preserve">Detectores de apertura de puertas, contacto magnético liviano:
•Dos (2) en la sede principal
•Dos (2) en Administritativa 
•Una (1) en la Antigua JAL
•Una (1) casa del consumidor 
•Dos (2) Archivo 
•Una (1) inspecciones de policia </t>
  </si>
  <si>
    <t xml:space="preserve">Sede principal Carrera 6a Nro 118 -03
Inspecciones  Calle 153 Nro 7-08
Archivo calle 121 Nro 7-31
Sede administrativa calle 120 A No 5-45 
Sede Jal Antigua  Calle 120 A No 7- 55
Sede Casa del consumidor Calle 122 #7a - 61   </t>
  </si>
  <si>
    <t>Detectores de apertura de puertas, contacto magnetico pesado ( Una (1) en archivo)</t>
  </si>
  <si>
    <t>Archivo calle 121 Nro 7-31</t>
  </si>
  <si>
    <t>Sirena de 12 voltios 16 DB, 380 miliamperios (Una (1) para cada sede )</t>
  </si>
  <si>
    <t>Kit de receptor y dos trasmisores de botón inalámbrico (boton de panico) rango de 40 metros</t>
  </si>
  <si>
    <t>SUBTOTAL, ARRENDAMIENTO E INSTALACION DE ALARMAS</t>
  </si>
  <si>
    <t xml:space="preserve">MARCADOR DE RONDA  </t>
  </si>
  <si>
    <t>Puntos de control electronico de ronda  con el fin de validar el correcto cumplimiento de las funcionesde supervision (los registros de marcacion se deberan entragr menualmente  junto con el informe) 
los puntos de marcacion podran ser NFC, QR, RFID, con el fin de evitar despredimientos de los mismos deberan contar con la proteccion necesaria en caso de ser vandalizada</t>
  </si>
  <si>
    <t>SUBTOTAL MARCADOR DE RONDAS</t>
  </si>
  <si>
    <t>TOTAL ARRIENDO MEDIOS ELECTRONICOS</t>
  </si>
  <si>
    <t xml:space="preserve">VALOR TOTAL (01 JULIO AL 14 JULIO 2026) </t>
  </si>
  <si>
    <t>ESTUDIO DE MERCADO  FDLUSA (CIRCULAR EXTERNA 20251300000115CS - TARIFAS MINIMAS 25 a 31 de Diciembre 2025 y Vigencia 2026)  SEGURIDAD Y VIGILANCIA 2026
ALCALDIA LOCAL DE USAQUÉN</t>
  </si>
  <si>
    <t>VALOR MENSUAL TARIFAS ESTABLECIDAS POR CIRCULAR EXTERNA N° 20251300000115CS DEL 25 DE DICIEMBRE DE 2025 AL 30 DE JUNIO DE 2026 (9,77) PARA SERVICIOS DE VIGILANCIA Y SEGURIDAD PRIVADA</t>
  </si>
  <si>
    <t xml:space="preserve">VALOR MENSUAL REFERENCIA(TARIFAS 28 MAYO - 30 JUN) </t>
  </si>
  <si>
    <t>VALOR TOTAL (28 MAYO - 30 JUN)</t>
  </si>
  <si>
    <t>12 HORAS DE LUNES AVIERNES SIN FESTIVOS (6:00 am a 7:00 pm) Y SABADOS SIN FESTIVOS (8:00 am a 2pm)</t>
  </si>
  <si>
    <t>12 HORAS TURNO NOCTURNO DE LUNES A DOMINGO INCLUYENDO FESTIVOS  (7:00 pm a 6:00 am)</t>
  </si>
  <si>
    <t>VALOR MENSUAL TARIFAS ESTABLECIDAS POR CIRCULAR EXTERNA  N° 20251300000115CS DEL 01 DE JULIO DE 2026 AL 14 DE JULIO DE 2026 (9,85) PARA SERVICIOS DE VIGILANCIA Y SEGURIDAD PRIVADA</t>
  </si>
  <si>
    <t>VALOR MENSUAL TARIFAS ESTABLECIDAS POR CIRCULAR EXTERNA  N° 20251300000115CS DEL 15 DE JULIO DE 2026 AL 31 DE DICIEMBRE DE 2026 (10,21) PARA SERVICIOS DE VIGILANCIA Y SEGURIDAD PRIVADA</t>
  </si>
  <si>
    <t>VALOR TOTAL (28 MAYO AL 30 JUNIO 2026)</t>
  </si>
  <si>
    <t>TOTAL VALOR ESTIMADO DEL MERCADO (7) MESES</t>
  </si>
  <si>
    <t>AYS(10%) Base IVA</t>
  </si>
  <si>
    <t>IVA ( (19% sobre AYS)</t>
  </si>
  <si>
    <t>VALOR TOTAL (15 JUL - 27 ENERO 2027)</t>
  </si>
  <si>
    <t xml:space="preserve">VALOR TOTAL (15 JULIO AL 28 ENERO 2027) </t>
  </si>
  <si>
    <t>VALOR ESTIMADO MEDIOS TECNOLÓGICOS * 8 MESES</t>
  </si>
  <si>
    <t>TOTAL SERVICIO VIGILANCIA 8 MESES</t>
  </si>
  <si>
    <t>8 MESES (DESDE EL 28 MAYO 2026 hasta 27 ENERO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</si>
</sst>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_-"/>
    <numFmt numFmtId="165" formatCode="0.0%"/>
    <numFmt numFmtId="166" formatCode="_-&quot;$&quot;\ * #,##0.0_-;\-&quot;$&quot;\ * #,##0.0_-;_-&quot;$&quot;\ *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b/>
      <u/>
      <sz val="11"/>
      <color theme="1"/>
      <name val="Calibri"/>
      <family val="2"/>
      <scheme val="minor"/>
    </font>
    <font>
      <b/>
      <sz val="14"/>
      <color theme="1"/>
      <name val="Calibri"/>
      <family val="2"/>
      <scheme val="minor"/>
    </font>
    <font>
      <b/>
      <sz val="11"/>
      <color theme="1"/>
      <name val="Arial"/>
      <family val="2"/>
    </font>
    <font>
      <sz val="10"/>
      <color theme="1"/>
      <name val="Calibri"/>
      <family val="2"/>
      <scheme val="minor"/>
    </font>
    <font>
      <b/>
      <sz val="11"/>
      <color theme="0"/>
      <name val="Arial"/>
      <family val="2"/>
    </font>
    <font>
      <b/>
      <sz val="28"/>
      <color theme="0"/>
      <name val="Calibri"/>
      <family val="2"/>
      <scheme val="minor"/>
    </font>
    <font>
      <sz val="11"/>
      <color theme="1"/>
      <name val="Arial"/>
      <family val="2"/>
    </font>
    <font>
      <b/>
      <sz val="9"/>
      <color theme="0"/>
      <name val="Arial"/>
      <family val="2"/>
    </font>
    <font>
      <b/>
      <sz val="10"/>
      <color theme="1"/>
      <name val="Calibri"/>
      <family val="2"/>
    </font>
    <font>
      <sz val="9"/>
      <color theme="1"/>
      <name val="Arial"/>
      <family val="2"/>
    </font>
    <font>
      <sz val="9"/>
      <color theme="1"/>
      <name val="Calibri"/>
      <family val="2"/>
    </font>
    <font>
      <b/>
      <sz val="9"/>
      <color theme="1"/>
      <name val="Arial"/>
      <family val="2"/>
    </font>
    <font>
      <b/>
      <sz val="9"/>
      <name val="Arial"/>
      <family val="2"/>
    </font>
  </fonts>
  <fills count="12">
    <fill>
      <patternFill patternType="none"/>
    </fill>
    <fill>
      <patternFill patternType="gray125"/>
    </fill>
    <fill>
      <patternFill patternType="solid">
        <fgColor theme="4" tint="0.79998168889431442"/>
        <bgColor indexed="64"/>
      </patternFill>
    </fill>
    <fill>
      <patternFill patternType="solid">
        <fgColor theme="0" tint="-0.34998626667073579"/>
        <bgColor indexed="64"/>
      </patternFill>
    </fill>
    <fill>
      <patternFill patternType="solid">
        <fgColor theme="4" tint="-0.499984740745262"/>
        <bgColor indexed="64"/>
      </patternFill>
    </fill>
    <fill>
      <patternFill patternType="solid">
        <fgColor theme="0"/>
        <bgColor indexed="64"/>
      </patternFill>
    </fill>
    <fill>
      <patternFill patternType="solid">
        <fgColor theme="9" tint="-0.499984740745262"/>
        <bgColor indexed="64"/>
      </patternFill>
    </fill>
    <fill>
      <patternFill patternType="solid">
        <fgColor theme="8" tint="-0.499984740745262"/>
        <bgColor indexed="64"/>
      </patternFill>
    </fill>
    <fill>
      <patternFill patternType="solid">
        <fgColor theme="7" tint="-0.49998474074526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12">
    <xf numFmtId="0" fontId="0" fillId="0" borderId="0" xfId="0"/>
    <xf numFmtId="0" fontId="3" fillId="0" borderId="0" xfId="0" applyFont="1" applyAlignment="1">
      <alignment horizont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vertical="center" wrapText="1"/>
    </xf>
    <xf numFmtId="4" fontId="0" fillId="0" borderId="0" xfId="0" applyNumberFormat="1"/>
    <xf numFmtId="0" fontId="2" fillId="0" borderId="0" xfId="0" applyFont="1"/>
    <xf numFmtId="4" fontId="2" fillId="0" borderId="0" xfId="0" applyNumberFormat="1" applyFont="1"/>
    <xf numFmtId="4" fontId="0" fillId="2" borderId="1" xfId="0" applyNumberFormat="1" applyFill="1" applyBorder="1"/>
    <xf numFmtId="4" fontId="2" fillId="2" borderId="1" xfId="0" applyNumberFormat="1" applyFont="1" applyFill="1" applyBorder="1"/>
    <xf numFmtId="0" fontId="2"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xf numFmtId="0" fontId="0" fillId="0" borderId="0" xfId="0" applyAlignment="1">
      <alignment horizontal="center" wrapText="1"/>
    </xf>
    <xf numFmtId="0" fontId="0" fillId="0" borderId="0" xfId="0" applyAlignment="1">
      <alignment horizontal="center"/>
    </xf>
    <xf numFmtId="4" fontId="0" fillId="0" borderId="0" xfId="0" applyNumberFormat="1" applyAlignment="1">
      <alignment horizontal="center"/>
    </xf>
    <xf numFmtId="9" fontId="0" fillId="0" borderId="0" xfId="0" applyNumberFormat="1"/>
    <xf numFmtId="0" fontId="0" fillId="0" borderId="1" xfId="0" applyBorder="1" applyAlignment="1">
      <alignment horizontal="center" vertical="center" wrapText="1"/>
    </xf>
    <xf numFmtId="0" fontId="0" fillId="0" borderId="1" xfId="0" applyBorder="1" applyAlignment="1">
      <alignment horizontal="center" vertical="center"/>
    </xf>
    <xf numFmtId="4" fontId="0" fillId="0" borderId="1" xfId="0" applyNumberFormat="1" applyBorder="1" applyAlignment="1">
      <alignment horizontal="center" vertical="center"/>
    </xf>
    <xf numFmtId="4" fontId="0" fillId="0" borderId="1" xfId="0" applyNumberFormat="1" applyBorder="1" applyAlignment="1">
      <alignment vertical="center"/>
    </xf>
    <xf numFmtId="9" fontId="0" fillId="0" borderId="1" xfId="0" applyNumberFormat="1" applyBorder="1" applyAlignment="1">
      <alignment vertical="center"/>
    </xf>
    <xf numFmtId="4" fontId="0" fillId="2" borderId="1" xfId="0" applyNumberFormat="1" applyFill="1" applyBorder="1" applyAlignment="1">
      <alignment vertical="center"/>
    </xf>
    <xf numFmtId="4" fontId="2" fillId="2" borderId="1" xfId="0" applyNumberFormat="1" applyFont="1" applyFill="1" applyBorder="1" applyAlignment="1">
      <alignment vertical="center"/>
    </xf>
    <xf numFmtId="10" fontId="0" fillId="0" borderId="0" xfId="0" applyNumberFormat="1"/>
    <xf numFmtId="44" fontId="0" fillId="0" borderId="1" xfId="2" applyFont="1" applyBorder="1" applyAlignment="1">
      <alignment horizontal="center" vertical="center"/>
    </xf>
    <xf numFmtId="164" fontId="0" fillId="0" borderId="1" xfId="2" applyNumberFormat="1" applyFont="1" applyBorder="1" applyAlignment="1">
      <alignment horizontal="center" vertical="center"/>
    </xf>
    <xf numFmtId="166" fontId="0" fillId="0" borderId="1" xfId="0" applyNumberFormat="1" applyBorder="1" applyAlignment="1">
      <alignment horizontal="center" vertical="center"/>
    </xf>
    <xf numFmtId="0" fontId="2" fillId="0" borderId="0" xfId="0" applyFont="1" applyAlignment="1">
      <alignment wrapText="1"/>
    </xf>
    <xf numFmtId="165" fontId="0" fillId="0" borderId="1" xfId="0" applyNumberFormat="1" applyBorder="1" applyAlignment="1">
      <alignment horizontal="center" vertical="center"/>
    </xf>
    <xf numFmtId="0" fontId="9" fillId="5" borderId="0" xfId="0" applyFont="1" applyFill="1" applyAlignment="1">
      <alignment horizontal="center" vertical="center"/>
    </xf>
    <xf numFmtId="0" fontId="10" fillId="6" borderId="1" xfId="0" applyFont="1" applyFill="1" applyBorder="1" applyAlignment="1">
      <alignment horizontal="center" vertical="center" wrapText="1"/>
    </xf>
    <xf numFmtId="3" fontId="10" fillId="6" borderId="1" xfId="0" applyNumberFormat="1" applyFont="1" applyFill="1" applyBorder="1" applyAlignment="1">
      <alignment horizontal="center" vertical="center" wrapText="1"/>
    </xf>
    <xf numFmtId="0" fontId="10" fillId="7" borderId="1" xfId="0" applyFont="1" applyFill="1" applyBorder="1" applyAlignment="1">
      <alignment horizontal="center" vertical="center" wrapText="1"/>
    </xf>
    <xf numFmtId="3" fontId="10" fillId="7" borderId="1" xfId="0" applyNumberFormat="1" applyFont="1" applyFill="1" applyBorder="1" applyAlignment="1">
      <alignment horizontal="center" vertical="center" wrapText="1"/>
    </xf>
    <xf numFmtId="0" fontId="10" fillId="8" borderId="1" xfId="0" applyFont="1" applyFill="1" applyBorder="1" applyAlignment="1">
      <alignment horizontal="center" vertical="center" wrapText="1"/>
    </xf>
    <xf numFmtId="3" fontId="10" fillId="8" borderId="1"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justify" vertical="justify" wrapText="1"/>
    </xf>
    <xf numFmtId="0" fontId="12" fillId="0" borderId="1" xfId="0" applyFont="1" applyBorder="1" applyAlignment="1">
      <alignment horizontal="justify" vertical="center" wrapText="1"/>
    </xf>
    <xf numFmtId="1" fontId="12" fillId="0" borderId="1" xfId="0" applyNumberFormat="1" applyFont="1" applyBorder="1" applyAlignment="1">
      <alignment horizontal="center" vertical="center" wrapText="1"/>
    </xf>
    <xf numFmtId="4" fontId="12" fillId="9" borderId="1" xfId="0" applyNumberFormat="1" applyFont="1" applyFill="1" applyBorder="1" applyAlignment="1">
      <alignment horizontal="right" vertical="center" wrapText="1"/>
    </xf>
    <xf numFmtId="4" fontId="12" fillId="10" borderId="1" xfId="0" applyNumberFormat="1" applyFont="1" applyFill="1" applyBorder="1" applyAlignment="1">
      <alignment horizontal="right" vertical="center" wrapText="1"/>
    </xf>
    <xf numFmtId="4" fontId="12" fillId="11" borderId="1" xfId="0" applyNumberFormat="1" applyFont="1" applyFill="1" applyBorder="1" applyAlignment="1">
      <alignment horizontal="right" vertical="center" wrapText="1"/>
    </xf>
    <xf numFmtId="4" fontId="12" fillId="0" borderId="1" xfId="0" applyNumberFormat="1" applyFont="1" applyBorder="1" applyAlignment="1">
      <alignment horizontal="right" vertical="center" wrapText="1"/>
    </xf>
    <xf numFmtId="164" fontId="9" fillId="5" borderId="1" xfId="1" applyNumberFormat="1" applyFont="1" applyFill="1" applyBorder="1" applyAlignment="1">
      <alignment horizontal="center" vertical="center"/>
    </xf>
    <xf numFmtId="44" fontId="9" fillId="5" borderId="1" xfId="0" applyNumberFormat="1" applyFont="1" applyFill="1" applyBorder="1" applyAlignment="1">
      <alignment horizontal="center" vertical="center"/>
    </xf>
    <xf numFmtId="4" fontId="14" fillId="9" borderId="1" xfId="0" applyNumberFormat="1" applyFont="1" applyFill="1" applyBorder="1" applyAlignment="1">
      <alignment horizontal="right" vertical="center" wrapText="1"/>
    </xf>
    <xf numFmtId="4" fontId="14" fillId="10" borderId="1" xfId="0" applyNumberFormat="1" applyFont="1" applyFill="1" applyBorder="1" applyAlignment="1">
      <alignment horizontal="right" vertical="center" wrapText="1"/>
    </xf>
    <xf numFmtId="4" fontId="14" fillId="11" borderId="1" xfId="0" applyNumberFormat="1" applyFont="1" applyFill="1" applyBorder="1" applyAlignment="1">
      <alignment horizontal="right" vertical="center" wrapText="1"/>
    </xf>
    <xf numFmtId="4" fontId="14" fillId="2" borderId="1" xfId="0" applyNumberFormat="1" applyFont="1" applyFill="1" applyBorder="1" applyAlignment="1">
      <alignment horizontal="right" vertical="center" wrapText="1"/>
    </xf>
    <xf numFmtId="164" fontId="14" fillId="2" borderId="1" xfId="0" applyNumberFormat="1" applyFont="1" applyFill="1" applyBorder="1" applyAlignment="1">
      <alignment horizontal="justify" vertical="center" wrapText="1"/>
    </xf>
    <xf numFmtId="44" fontId="14" fillId="2" borderId="1" xfId="0" applyNumberFormat="1" applyFont="1" applyFill="1" applyBorder="1" applyAlignment="1">
      <alignment horizontal="justify" vertical="center" wrapText="1"/>
    </xf>
    <xf numFmtId="0" fontId="12" fillId="0" borderId="1" xfId="0" applyFont="1" applyBorder="1" applyAlignment="1">
      <alignment vertical="center" wrapText="1"/>
    </xf>
    <xf numFmtId="4" fontId="9" fillId="5" borderId="1" xfId="1" applyNumberFormat="1" applyFont="1" applyFill="1" applyBorder="1" applyAlignment="1">
      <alignment horizontal="right" vertical="center"/>
    </xf>
    <xf numFmtId="0" fontId="12" fillId="5" borderId="1" xfId="0" applyFont="1" applyFill="1" applyBorder="1" applyAlignment="1">
      <alignment vertical="center" wrapText="1"/>
    </xf>
    <xf numFmtId="0" fontId="12" fillId="5" borderId="1" xfId="0" applyFont="1" applyFill="1" applyBorder="1" applyAlignment="1">
      <alignment horizontal="center" vertical="center" wrapText="1"/>
    </xf>
    <xf numFmtId="0" fontId="12" fillId="5" borderId="1" xfId="0" applyFont="1" applyFill="1" applyBorder="1" applyAlignment="1">
      <alignment horizontal="justify" vertical="center" wrapText="1"/>
    </xf>
    <xf numFmtId="0" fontId="13" fillId="0" borderId="1" xfId="0" applyFont="1" applyBorder="1" applyAlignment="1">
      <alignment horizontal="justify" vertical="center" wrapText="1"/>
    </xf>
    <xf numFmtId="4" fontId="9" fillId="11" borderId="1" xfId="1" applyNumberFormat="1" applyFont="1" applyFill="1" applyBorder="1" applyAlignment="1">
      <alignment horizontal="right" vertical="center"/>
    </xf>
    <xf numFmtId="4" fontId="10" fillId="9" borderId="1" xfId="0" applyNumberFormat="1" applyFont="1" applyFill="1" applyBorder="1" applyAlignment="1">
      <alignment horizontal="right" vertical="center" wrapText="1"/>
    </xf>
    <xf numFmtId="4" fontId="15" fillId="9" borderId="1" xfId="0" applyNumberFormat="1" applyFont="1" applyFill="1" applyBorder="1" applyAlignment="1">
      <alignment horizontal="right" vertical="center" wrapText="1"/>
    </xf>
    <xf numFmtId="4" fontId="10" fillId="10" borderId="1" xfId="0" applyNumberFormat="1" applyFont="1" applyFill="1" applyBorder="1" applyAlignment="1">
      <alignment horizontal="right" vertical="center" wrapText="1"/>
    </xf>
    <xf numFmtId="4" fontId="15" fillId="10" borderId="1" xfId="0" applyNumberFormat="1" applyFont="1" applyFill="1" applyBorder="1" applyAlignment="1">
      <alignment horizontal="right" vertical="center" wrapText="1"/>
    </xf>
    <xf numFmtId="4" fontId="10" fillId="11" borderId="1" xfId="0" applyNumberFormat="1" applyFont="1" applyFill="1" applyBorder="1" applyAlignment="1">
      <alignment horizontal="right" vertical="center" wrapText="1"/>
    </xf>
    <xf numFmtId="4" fontId="15" fillId="11" borderId="1" xfId="0" applyNumberFormat="1" applyFont="1" applyFill="1" applyBorder="1" applyAlignment="1">
      <alignment horizontal="right" vertical="center" wrapText="1"/>
    </xf>
    <xf numFmtId="4" fontId="10" fillId="4" borderId="1" xfId="0" applyNumberFormat="1" applyFont="1" applyFill="1" applyBorder="1" applyAlignment="1">
      <alignment horizontal="right" vertical="center" wrapText="1"/>
    </xf>
    <xf numFmtId="164" fontId="10" fillId="4" borderId="1" xfId="0" applyNumberFormat="1" applyFont="1" applyFill="1" applyBorder="1" applyAlignment="1">
      <alignment horizontal="center" vertical="center" wrapText="1"/>
    </xf>
    <xf numFmtId="44" fontId="10" fillId="4" borderId="1" xfId="0" applyNumberFormat="1" applyFont="1" applyFill="1" applyBorder="1" applyAlignment="1">
      <alignment horizontal="center" vertical="center" wrapText="1"/>
    </xf>
    <xf numFmtId="0" fontId="9" fillId="5" borderId="0" xfId="0" applyFont="1" applyFill="1" applyAlignment="1">
      <alignment horizontal="left" vertical="center"/>
    </xf>
    <xf numFmtId="3" fontId="9" fillId="5" borderId="0" xfId="0" applyNumberFormat="1" applyFont="1" applyFill="1" applyAlignment="1">
      <alignment horizontal="right" vertical="center"/>
    </xf>
    <xf numFmtId="164" fontId="9" fillId="5" borderId="0" xfId="0" applyNumberFormat="1" applyFont="1" applyFill="1" applyAlignment="1">
      <alignment horizontal="center" vertical="center"/>
    </xf>
    <xf numFmtId="0" fontId="2" fillId="0" borderId="1" xfId="0" applyFont="1" applyBorder="1" applyAlignment="1">
      <alignment vertical="center"/>
    </xf>
    <xf numFmtId="0" fontId="2" fillId="0" borderId="1" xfId="0" applyFont="1" applyBorder="1" applyAlignment="1">
      <alignment horizontal="center" vertical="center" wrapText="1"/>
    </xf>
    <xf numFmtId="0" fontId="2" fillId="0" borderId="1" xfId="0" applyFont="1" applyBorder="1"/>
    <xf numFmtId="4" fontId="0" fillId="0" borderId="1" xfId="0" applyNumberFormat="1" applyBorder="1"/>
    <xf numFmtId="0" fontId="0" fillId="0" borderId="1" xfId="0" applyBorder="1"/>
    <xf numFmtId="4" fontId="2" fillId="0" borderId="1" xfId="0" applyNumberFormat="1" applyFont="1" applyBorder="1"/>
    <xf numFmtId="10" fontId="0" fillId="0" borderId="1" xfId="3" applyNumberFormat="1" applyFont="1" applyBorder="1" applyAlignment="1">
      <alignment horizontal="center" vertical="center"/>
    </xf>
    <xf numFmtId="0" fontId="2" fillId="2" borderId="1" xfId="0" applyFont="1" applyFill="1" applyBorder="1" applyAlignment="1">
      <alignment horizontal="center"/>
    </xf>
    <xf numFmtId="0" fontId="4" fillId="0" borderId="0" xfId="0" applyFont="1" applyAlignment="1">
      <alignment horizontal="center"/>
    </xf>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8" fillId="4" borderId="1" xfId="0" applyFont="1" applyFill="1" applyBorder="1" applyAlignment="1">
      <alignment horizontal="center"/>
    </xf>
    <xf numFmtId="0" fontId="2" fillId="2" borderId="1" xfId="0" applyFont="1" applyFill="1" applyBorder="1" applyAlignment="1">
      <alignment horizontal="center" vertical="center"/>
    </xf>
    <xf numFmtId="4" fontId="4" fillId="3" borderId="1" xfId="0" applyNumberFormat="1" applyFont="1" applyFill="1" applyBorder="1" applyAlignment="1">
      <alignment horizontal="center" vertical="center"/>
    </xf>
    <xf numFmtId="0" fontId="4" fillId="3" borderId="1" xfId="0" applyFont="1" applyFill="1" applyBorder="1" applyAlignment="1">
      <alignment horizontal="center" vertical="center"/>
    </xf>
    <xf numFmtId="0" fontId="5"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2" fillId="0" borderId="0" xfId="0" applyFont="1" applyAlignment="1">
      <alignment horizontal="center" vertical="center" wrapText="1"/>
    </xf>
    <xf numFmtId="0" fontId="5" fillId="5" borderId="0" xfId="0" applyFont="1" applyFill="1" applyAlignment="1">
      <alignment horizontal="left" vertical="center"/>
    </xf>
    <xf numFmtId="0" fontId="5" fillId="5" borderId="2" xfId="0" applyFont="1" applyFill="1" applyBorder="1" applyAlignment="1">
      <alignment horizontal="left" vertical="center"/>
    </xf>
    <xf numFmtId="0" fontId="10" fillId="4" borderId="1"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7" borderId="5"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7" borderId="7" xfId="0" applyFont="1" applyFill="1" applyBorder="1" applyAlignment="1">
      <alignment horizontal="center" vertical="center" wrapText="1"/>
    </xf>
    <xf numFmtId="0" fontId="10" fillId="8" borderId="5" xfId="0" applyFont="1" applyFill="1" applyBorder="1" applyAlignment="1">
      <alignment horizontal="center" vertical="center" wrapText="1"/>
    </xf>
    <xf numFmtId="0" fontId="10" fillId="8" borderId="6"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9" xfId="0" applyFont="1" applyFill="1" applyBorder="1" applyAlignment="1">
      <alignment horizontal="center" vertical="center" wrapText="1"/>
    </xf>
    <xf numFmtId="164" fontId="11" fillId="3" borderId="1" xfId="0" applyNumberFormat="1" applyFont="1" applyFill="1" applyBorder="1" applyAlignment="1">
      <alignment horizontal="center" vertical="center" wrapText="1"/>
    </xf>
    <xf numFmtId="49" fontId="11" fillId="3" borderId="1"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4" fillId="2" borderId="1" xfId="0" applyFont="1" applyFill="1" applyBorder="1" applyAlignment="1">
      <alignment horizontal="right" vertical="center" wrapText="1"/>
    </xf>
    <xf numFmtId="0" fontId="10" fillId="4" borderId="1" xfId="0" applyFont="1" applyFill="1" applyBorder="1" applyAlignment="1">
      <alignment horizontal="right" vertical="center" wrapText="1"/>
    </xf>
  </cellXfs>
  <cellStyles count="4">
    <cellStyle name="Moneda" xfId="2" builtinId="4"/>
    <cellStyle name="Moneda 2" xfId="1" xr:uid="{2DD27B29-6206-4516-9097-B831BA42343A}"/>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643467</xdr:colOff>
      <xdr:row>0</xdr:row>
      <xdr:rowOff>76200</xdr:rowOff>
    </xdr:from>
    <xdr:ext cx="2783363" cy="398500"/>
    <xdr:pic macro="[1]!Imagen1_Haga_clic_en">
      <xdr:nvPicPr>
        <xdr:cNvPr id="2" name="Imagen 1">
          <a:extLst>
            <a:ext uri="{FF2B5EF4-FFF2-40B4-BE49-F238E27FC236}">
              <a16:creationId xmlns:a16="http://schemas.microsoft.com/office/drawing/2014/main" id="{4DE682F6-2FE7-4588-AD83-36303584CD4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288" t="6130"/>
        <a:stretch/>
      </xdr:blipFill>
      <xdr:spPr>
        <a:xfrm>
          <a:off x="11364807" y="76200"/>
          <a:ext cx="2783363" cy="3985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uarc\OneDrive\Im&#225;genes\FUNCIONAMIENTO%202023\EP%20SEGURIDAD\EP%20SEGURIDAD%202023\DOCUMENTOS%20EP%20SEGURIDAD\ESTUDIO%20DEL%20MERCADO%20%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ESONAL SERVICOS (2)"/>
      <sheetName val="MEDIOS ELECTRONICOS (2)"/>
      <sheetName val="Hoja1"/>
      <sheetName val="ESTUDIO DEL MERCADO  2023"/>
    </sheetNames>
    <definedNames>
      <definedName name="Imagen1_Haga_clic_en"/>
    </definedNames>
    <sheetDataSet>
      <sheetData sheetId="0"/>
      <sheetData sheetId="1"/>
      <sheetData sheetId="2"/>
      <sheetData sheetId="3"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84E01-EB7D-4BED-B2B3-5C29949C26C7}">
  <dimension ref="A1:U73"/>
  <sheetViews>
    <sheetView topLeftCell="C35" zoomScale="70" zoomScaleNormal="70" workbookViewId="0">
      <selection activeCell="O59" sqref="O59"/>
    </sheetView>
  </sheetViews>
  <sheetFormatPr baseColWidth="10" defaultRowHeight="14.4" x14ac:dyDescent="0.3"/>
  <cols>
    <col min="1" max="1" width="58.5546875" customWidth="1"/>
    <col min="2" max="2" width="22.44140625" customWidth="1"/>
    <col min="3" max="3" width="37.33203125" customWidth="1"/>
    <col min="4" max="4" width="19.109375" bestFit="1" customWidth="1"/>
    <col min="5" max="5" width="19.88671875" customWidth="1"/>
    <col min="6" max="7" width="18.33203125" customWidth="1"/>
    <col min="8" max="8" width="25.88671875" customWidth="1"/>
    <col min="9" max="9" width="31" customWidth="1"/>
    <col min="10" max="10" width="21.5546875" customWidth="1"/>
    <col min="11" max="11" width="23.33203125" customWidth="1"/>
    <col min="12" max="13" width="20.44140625" customWidth="1"/>
    <col min="14" max="14" width="27.33203125" customWidth="1"/>
    <col min="15" max="15" width="23" customWidth="1"/>
    <col min="18" max="18" width="15.33203125" bestFit="1" customWidth="1"/>
    <col min="20" max="20" width="15.33203125" bestFit="1" customWidth="1"/>
  </cols>
  <sheetData>
    <row r="1" spans="1:21" ht="15" customHeight="1" x14ac:dyDescent="0.3">
      <c r="A1" s="88" t="s">
        <v>96</v>
      </c>
      <c r="B1" s="89"/>
      <c r="C1" s="89"/>
      <c r="D1" s="89"/>
      <c r="E1" s="89"/>
      <c r="F1" s="89"/>
      <c r="G1" s="89"/>
      <c r="H1" s="89"/>
      <c r="I1" s="89"/>
      <c r="J1" s="89"/>
      <c r="K1" s="89"/>
      <c r="L1" s="89"/>
      <c r="M1" s="89"/>
      <c r="N1" s="89"/>
      <c r="O1" s="89"/>
      <c r="R1" s="10">
        <v>2025</v>
      </c>
      <c r="S1" s="10" t="s">
        <v>32</v>
      </c>
      <c r="T1" s="10">
        <v>2026</v>
      </c>
    </row>
    <row r="2" spans="1:21" x14ac:dyDescent="0.3">
      <c r="A2" s="88"/>
      <c r="B2" s="89"/>
      <c r="C2" s="89"/>
      <c r="D2" s="89"/>
      <c r="E2" s="89"/>
      <c r="F2" s="89"/>
      <c r="G2" s="89"/>
      <c r="H2" s="89"/>
      <c r="I2" s="89"/>
      <c r="J2" s="89"/>
      <c r="K2" s="89"/>
      <c r="L2" s="89"/>
      <c r="M2" s="89"/>
      <c r="N2" s="89"/>
      <c r="O2" s="89"/>
      <c r="Q2" s="6" t="s">
        <v>31</v>
      </c>
      <c r="R2" s="26">
        <v>1423500</v>
      </c>
      <c r="S2" s="30">
        <v>0.23</v>
      </c>
      <c r="T2" s="26">
        <v>1750905</v>
      </c>
    </row>
    <row r="3" spans="1:21" x14ac:dyDescent="0.3">
      <c r="A3" s="1"/>
      <c r="E3" s="92" t="s">
        <v>30</v>
      </c>
      <c r="F3" s="92"/>
      <c r="G3" s="92"/>
      <c r="H3" s="92"/>
      <c r="I3" s="92"/>
      <c r="Q3" s="6" t="s">
        <v>33</v>
      </c>
      <c r="R3" s="19"/>
      <c r="S3" s="79">
        <v>5.3499999999999999E-2</v>
      </c>
      <c r="T3" s="19"/>
      <c r="U3" s="17"/>
    </row>
    <row r="4" spans="1:21" ht="27" customHeight="1" x14ac:dyDescent="0.3">
      <c r="E4" s="92"/>
      <c r="F4" s="92"/>
      <c r="G4" s="92"/>
      <c r="H4" s="92"/>
      <c r="I4" s="92"/>
      <c r="Q4" s="29" t="s">
        <v>34</v>
      </c>
      <c r="R4" s="27">
        <v>4928</v>
      </c>
      <c r="S4" s="19"/>
      <c r="T4" s="28">
        <f>ROUND(R4*$S$3+R4,0)</f>
        <v>5192</v>
      </c>
      <c r="U4" s="25"/>
    </row>
    <row r="5" spans="1:21" ht="28.8" x14ac:dyDescent="0.3">
      <c r="A5" s="90" t="s">
        <v>97</v>
      </c>
      <c r="B5" s="91"/>
      <c r="C5" s="91"/>
      <c r="D5" s="91"/>
      <c r="E5" s="91"/>
      <c r="F5" s="91"/>
      <c r="G5" s="91"/>
      <c r="H5" s="91"/>
      <c r="I5" s="91"/>
      <c r="J5" s="91"/>
      <c r="K5" s="91"/>
      <c r="L5" s="91"/>
      <c r="M5" s="91"/>
      <c r="N5" s="91"/>
      <c r="O5" s="91"/>
      <c r="Q5" s="29" t="s">
        <v>35</v>
      </c>
      <c r="R5" s="27">
        <v>1643</v>
      </c>
      <c r="S5" s="19"/>
      <c r="T5" s="28">
        <f>ROUND(R5*$S$3+R5,0)</f>
        <v>1731</v>
      </c>
    </row>
    <row r="6" spans="1:21" x14ac:dyDescent="0.3">
      <c r="A6" s="82" t="s">
        <v>0</v>
      </c>
      <c r="B6" s="82" t="s">
        <v>1</v>
      </c>
      <c r="C6" s="83" t="s">
        <v>2</v>
      </c>
      <c r="D6" s="82" t="s">
        <v>3</v>
      </c>
      <c r="E6" s="82" t="s">
        <v>4</v>
      </c>
      <c r="F6" s="82" t="s">
        <v>5</v>
      </c>
      <c r="G6" s="82" t="s">
        <v>6</v>
      </c>
      <c r="H6" s="82" t="s">
        <v>7</v>
      </c>
      <c r="I6" s="82" t="s">
        <v>8</v>
      </c>
      <c r="J6" s="82" t="s">
        <v>9</v>
      </c>
      <c r="K6" s="82" t="s">
        <v>10</v>
      </c>
      <c r="L6" s="82" t="s">
        <v>106</v>
      </c>
      <c r="M6" s="82" t="s">
        <v>107</v>
      </c>
      <c r="N6" s="82" t="s">
        <v>98</v>
      </c>
      <c r="O6" s="82" t="s">
        <v>99</v>
      </c>
    </row>
    <row r="7" spans="1:21" x14ac:dyDescent="0.3">
      <c r="A7" s="82"/>
      <c r="B7" s="82"/>
      <c r="C7" s="83"/>
      <c r="D7" s="82"/>
      <c r="E7" s="82"/>
      <c r="F7" s="82"/>
      <c r="G7" s="82"/>
      <c r="H7" s="82"/>
      <c r="I7" s="82"/>
      <c r="J7" s="82"/>
      <c r="K7" s="82"/>
      <c r="L7" s="82"/>
      <c r="M7" s="82"/>
      <c r="N7" s="82"/>
      <c r="O7" s="82"/>
    </row>
    <row r="8" spans="1:21" x14ac:dyDescent="0.3">
      <c r="A8" s="82"/>
      <c r="B8" s="82"/>
      <c r="C8" s="83"/>
      <c r="D8" s="82"/>
      <c r="E8" s="82"/>
      <c r="F8" s="82"/>
      <c r="G8" s="82"/>
      <c r="H8" s="82"/>
      <c r="I8" s="82"/>
      <c r="J8" s="82"/>
      <c r="K8" s="82"/>
      <c r="L8" s="82"/>
      <c r="M8" s="82"/>
      <c r="N8" s="82"/>
      <c r="O8" s="82"/>
    </row>
    <row r="9" spans="1:21" ht="27.6" x14ac:dyDescent="0.3">
      <c r="A9" s="2" t="s">
        <v>13</v>
      </c>
      <c r="B9" s="3">
        <v>1</v>
      </c>
      <c r="C9" s="4" t="s">
        <v>14</v>
      </c>
      <c r="D9" s="18" t="s">
        <v>15</v>
      </c>
      <c r="E9" s="19" t="s">
        <v>15</v>
      </c>
      <c r="F9" s="20">
        <f>$T$2</f>
        <v>1750905</v>
      </c>
      <c r="G9" s="20">
        <f>T4</f>
        <v>5192</v>
      </c>
      <c r="H9" s="21">
        <f>+ROUND((F9*9.77)+G9,0)</f>
        <v>17111534</v>
      </c>
      <c r="I9" s="22">
        <v>0.1</v>
      </c>
      <c r="J9" s="21">
        <f t="shared" ref="J9:J18" si="0">ROUND((H9*I9),0)</f>
        <v>1711153</v>
      </c>
      <c r="K9" s="21">
        <f t="shared" ref="K9:K18" si="1">+H9+J9</f>
        <v>18822687</v>
      </c>
      <c r="L9" s="21">
        <f t="shared" ref="L9:L17" si="2">+ROUND(K9*10%,0)</f>
        <v>1882269</v>
      </c>
      <c r="M9" s="21">
        <f t="shared" ref="M9:M18" si="3">+ROUND(L9*19%,0)</f>
        <v>357631</v>
      </c>
      <c r="N9" s="21">
        <f t="shared" ref="N9:N18" si="4">+ROUND(K9+L9+M9,0)</f>
        <v>21062587</v>
      </c>
      <c r="O9" s="21">
        <f>+ROUND(((N9/30)*33),0)</f>
        <v>23168846</v>
      </c>
    </row>
    <row r="10" spans="1:21" ht="41.4" x14ac:dyDescent="0.3">
      <c r="A10" s="2" t="s">
        <v>13</v>
      </c>
      <c r="B10" s="3">
        <v>1</v>
      </c>
      <c r="C10" s="4" t="s">
        <v>100</v>
      </c>
      <c r="D10" s="18" t="s">
        <v>16</v>
      </c>
      <c r="E10" s="19" t="s">
        <v>15</v>
      </c>
      <c r="F10" s="20">
        <f t="shared" ref="F10:F18" si="5">$T$2</f>
        <v>1750905</v>
      </c>
      <c r="G10" s="20">
        <f>T5</f>
        <v>1731</v>
      </c>
      <c r="H10" s="21">
        <f>ROUND(((((((F10*9.77+G10)*47.59%)/30)*24)/15)*12),0)+ROUND(((((((F10*9.77+G10)*47.59%)/30)*4)/15)*6),0)</f>
        <v>5644934</v>
      </c>
      <c r="I10" s="22">
        <v>0.08</v>
      </c>
      <c r="J10" s="21">
        <f t="shared" si="0"/>
        <v>451595</v>
      </c>
      <c r="K10" s="21">
        <f t="shared" si="1"/>
        <v>6096529</v>
      </c>
      <c r="L10" s="21">
        <f>+ROUND(K10*8%,0)</f>
        <v>487722</v>
      </c>
      <c r="M10" s="21">
        <f t="shared" si="3"/>
        <v>92667</v>
      </c>
      <c r="N10" s="21">
        <f t="shared" si="4"/>
        <v>6676918</v>
      </c>
      <c r="O10" s="21">
        <f>+ROUND(((N10/30)*33),0)</f>
        <v>7344610</v>
      </c>
    </row>
    <row r="11" spans="1:21" ht="27.6" x14ac:dyDescent="0.3">
      <c r="A11" s="2" t="s">
        <v>17</v>
      </c>
      <c r="B11" s="3">
        <v>1</v>
      </c>
      <c r="C11" s="4" t="s">
        <v>14</v>
      </c>
      <c r="D11" s="18" t="s">
        <v>15</v>
      </c>
      <c r="E11" s="19" t="s">
        <v>15</v>
      </c>
      <c r="F11" s="20">
        <f t="shared" si="5"/>
        <v>1750905</v>
      </c>
      <c r="G11" s="20">
        <f>$T$4</f>
        <v>5192</v>
      </c>
      <c r="H11" s="21">
        <f>+ROUND((F11*9.77)+G11,0)</f>
        <v>17111534</v>
      </c>
      <c r="I11" s="22">
        <v>0.1</v>
      </c>
      <c r="J11" s="21">
        <f t="shared" si="0"/>
        <v>1711153</v>
      </c>
      <c r="K11" s="21">
        <f t="shared" si="1"/>
        <v>18822687</v>
      </c>
      <c r="L11" s="21">
        <f t="shared" si="2"/>
        <v>1882269</v>
      </c>
      <c r="M11" s="21">
        <f t="shared" si="3"/>
        <v>357631</v>
      </c>
      <c r="N11" s="21">
        <f t="shared" si="4"/>
        <v>21062587</v>
      </c>
      <c r="O11" s="21">
        <f t="shared" ref="O11:O17" si="6">+ROUND(((N11/30)*33),0)</f>
        <v>23168846</v>
      </c>
    </row>
    <row r="12" spans="1:21" ht="27.6" x14ac:dyDescent="0.3">
      <c r="A12" s="2" t="s">
        <v>18</v>
      </c>
      <c r="B12" s="3">
        <v>1</v>
      </c>
      <c r="C12" s="4" t="s">
        <v>14</v>
      </c>
      <c r="D12" s="18" t="s">
        <v>15</v>
      </c>
      <c r="E12" s="19" t="s">
        <v>15</v>
      </c>
      <c r="F12" s="20">
        <f t="shared" si="5"/>
        <v>1750905</v>
      </c>
      <c r="G12" s="20">
        <f t="shared" ref="G12:G17" si="7">$T$4</f>
        <v>5192</v>
      </c>
      <c r="H12" s="21">
        <f t="shared" ref="H12:H17" si="8">+ROUND((F12*9.77)+G12,0)</f>
        <v>17111534</v>
      </c>
      <c r="I12" s="22">
        <v>0.1</v>
      </c>
      <c r="J12" s="21">
        <f t="shared" si="0"/>
        <v>1711153</v>
      </c>
      <c r="K12" s="21">
        <f t="shared" si="1"/>
        <v>18822687</v>
      </c>
      <c r="L12" s="21">
        <f t="shared" si="2"/>
        <v>1882269</v>
      </c>
      <c r="M12" s="21">
        <f t="shared" si="3"/>
        <v>357631</v>
      </c>
      <c r="N12" s="21">
        <f t="shared" si="4"/>
        <v>21062587</v>
      </c>
      <c r="O12" s="21">
        <f t="shared" si="6"/>
        <v>23168846</v>
      </c>
    </row>
    <row r="13" spans="1:21" ht="27.6" x14ac:dyDescent="0.3">
      <c r="A13" s="2" t="s">
        <v>19</v>
      </c>
      <c r="B13" s="3">
        <v>1</v>
      </c>
      <c r="C13" s="4" t="s">
        <v>14</v>
      </c>
      <c r="D13" s="18" t="s">
        <v>15</v>
      </c>
      <c r="E13" s="19" t="s">
        <v>15</v>
      </c>
      <c r="F13" s="20">
        <f t="shared" si="5"/>
        <v>1750905</v>
      </c>
      <c r="G13" s="20">
        <f t="shared" si="7"/>
        <v>5192</v>
      </c>
      <c r="H13" s="21">
        <f t="shared" si="8"/>
        <v>17111534</v>
      </c>
      <c r="I13" s="22">
        <v>0.1</v>
      </c>
      <c r="J13" s="21">
        <f t="shared" si="0"/>
        <v>1711153</v>
      </c>
      <c r="K13" s="21">
        <f t="shared" si="1"/>
        <v>18822687</v>
      </c>
      <c r="L13" s="21">
        <f t="shared" si="2"/>
        <v>1882269</v>
      </c>
      <c r="M13" s="21">
        <f t="shared" si="3"/>
        <v>357631</v>
      </c>
      <c r="N13" s="21">
        <f t="shared" si="4"/>
        <v>21062587</v>
      </c>
      <c r="O13" s="21">
        <f t="shared" si="6"/>
        <v>23168846</v>
      </c>
    </row>
    <row r="14" spans="1:21" ht="27.6" x14ac:dyDescent="0.3">
      <c r="A14" s="2" t="s">
        <v>20</v>
      </c>
      <c r="B14" s="3">
        <v>1</v>
      </c>
      <c r="C14" s="4" t="s">
        <v>14</v>
      </c>
      <c r="D14" s="18" t="s">
        <v>15</v>
      </c>
      <c r="E14" s="19" t="s">
        <v>15</v>
      </c>
      <c r="F14" s="20">
        <f t="shared" si="5"/>
        <v>1750905</v>
      </c>
      <c r="G14" s="20">
        <f t="shared" si="7"/>
        <v>5192</v>
      </c>
      <c r="H14" s="21">
        <f t="shared" si="8"/>
        <v>17111534</v>
      </c>
      <c r="I14" s="22">
        <v>0.1</v>
      </c>
      <c r="J14" s="21">
        <f t="shared" si="0"/>
        <v>1711153</v>
      </c>
      <c r="K14" s="21">
        <f t="shared" si="1"/>
        <v>18822687</v>
      </c>
      <c r="L14" s="21">
        <f t="shared" si="2"/>
        <v>1882269</v>
      </c>
      <c r="M14" s="21">
        <f t="shared" si="3"/>
        <v>357631</v>
      </c>
      <c r="N14" s="21">
        <f t="shared" si="4"/>
        <v>21062587</v>
      </c>
      <c r="O14" s="21">
        <f t="shared" si="6"/>
        <v>23168846</v>
      </c>
    </row>
    <row r="15" spans="1:21" ht="27.6" x14ac:dyDescent="0.3">
      <c r="A15" s="2" t="s">
        <v>21</v>
      </c>
      <c r="B15" s="3">
        <v>1</v>
      </c>
      <c r="C15" s="4" t="s">
        <v>14</v>
      </c>
      <c r="D15" s="18" t="s">
        <v>15</v>
      </c>
      <c r="E15" s="19" t="s">
        <v>15</v>
      </c>
      <c r="F15" s="20">
        <f t="shared" si="5"/>
        <v>1750905</v>
      </c>
      <c r="G15" s="20">
        <f t="shared" si="7"/>
        <v>5192</v>
      </c>
      <c r="H15" s="21">
        <f t="shared" si="8"/>
        <v>17111534</v>
      </c>
      <c r="I15" s="22">
        <v>0.1</v>
      </c>
      <c r="J15" s="21">
        <f t="shared" si="0"/>
        <v>1711153</v>
      </c>
      <c r="K15" s="21">
        <f t="shared" si="1"/>
        <v>18822687</v>
      </c>
      <c r="L15" s="21">
        <f t="shared" si="2"/>
        <v>1882269</v>
      </c>
      <c r="M15" s="21">
        <f t="shared" si="3"/>
        <v>357631</v>
      </c>
      <c r="N15" s="21">
        <f t="shared" si="4"/>
        <v>21062587</v>
      </c>
      <c r="O15" s="21">
        <f t="shared" si="6"/>
        <v>23168846</v>
      </c>
    </row>
    <row r="16" spans="1:21" ht="27.6" x14ac:dyDescent="0.3">
      <c r="A16" s="2" t="s">
        <v>22</v>
      </c>
      <c r="B16" s="3">
        <v>1</v>
      </c>
      <c r="C16" s="4" t="s">
        <v>14</v>
      </c>
      <c r="D16" s="18" t="s">
        <v>15</v>
      </c>
      <c r="E16" s="19" t="s">
        <v>15</v>
      </c>
      <c r="F16" s="20">
        <f t="shared" si="5"/>
        <v>1750905</v>
      </c>
      <c r="G16" s="20">
        <f t="shared" si="7"/>
        <v>5192</v>
      </c>
      <c r="H16" s="21">
        <f t="shared" si="8"/>
        <v>17111534</v>
      </c>
      <c r="I16" s="22">
        <v>0.1</v>
      </c>
      <c r="J16" s="21">
        <f t="shared" si="0"/>
        <v>1711153</v>
      </c>
      <c r="K16" s="21">
        <f t="shared" si="1"/>
        <v>18822687</v>
      </c>
      <c r="L16" s="21">
        <f t="shared" si="2"/>
        <v>1882269</v>
      </c>
      <c r="M16" s="21">
        <f t="shared" si="3"/>
        <v>357631</v>
      </c>
      <c r="N16" s="21">
        <f t="shared" si="4"/>
        <v>21062587</v>
      </c>
      <c r="O16" s="21">
        <f t="shared" si="6"/>
        <v>23168846</v>
      </c>
    </row>
    <row r="17" spans="1:15" ht="27.6" x14ac:dyDescent="0.3">
      <c r="A17" s="2" t="s">
        <v>23</v>
      </c>
      <c r="B17" s="3">
        <v>1</v>
      </c>
      <c r="C17" s="4" t="s">
        <v>14</v>
      </c>
      <c r="D17" s="18" t="s">
        <v>15</v>
      </c>
      <c r="E17" s="19" t="s">
        <v>15</v>
      </c>
      <c r="F17" s="20">
        <f t="shared" si="5"/>
        <v>1750905</v>
      </c>
      <c r="G17" s="20">
        <f t="shared" si="7"/>
        <v>5192</v>
      </c>
      <c r="H17" s="21">
        <f t="shared" si="8"/>
        <v>17111534</v>
      </c>
      <c r="I17" s="22">
        <v>0.1</v>
      </c>
      <c r="J17" s="21">
        <f t="shared" si="0"/>
        <v>1711153</v>
      </c>
      <c r="K17" s="21">
        <f t="shared" si="1"/>
        <v>18822687</v>
      </c>
      <c r="L17" s="21">
        <f t="shared" si="2"/>
        <v>1882269</v>
      </c>
      <c r="M17" s="21">
        <f t="shared" si="3"/>
        <v>357631</v>
      </c>
      <c r="N17" s="21">
        <f t="shared" si="4"/>
        <v>21062587</v>
      </c>
      <c r="O17" s="21">
        <f t="shared" si="6"/>
        <v>23168846</v>
      </c>
    </row>
    <row r="18" spans="1:15" ht="38.25" customHeight="1" x14ac:dyDescent="0.3">
      <c r="A18" s="2" t="s">
        <v>24</v>
      </c>
      <c r="B18" s="3">
        <v>1</v>
      </c>
      <c r="C18" s="4" t="s">
        <v>101</v>
      </c>
      <c r="D18" s="18" t="s">
        <v>16</v>
      </c>
      <c r="E18" s="19" t="s">
        <v>15</v>
      </c>
      <c r="F18" s="20">
        <f t="shared" si="5"/>
        <v>1750905</v>
      </c>
      <c r="G18" s="20">
        <f>T5</f>
        <v>1731</v>
      </c>
      <c r="H18" s="21">
        <f>ROUND(((((((F18*9.77+G18)*52.41%)/30)*30)/9)*9)+((((((F18*9.77+G18)*52.41%)/30)*30)/15)*3),0)</f>
        <v>10759609</v>
      </c>
      <c r="I18" s="22">
        <v>0.08</v>
      </c>
      <c r="J18" s="21">
        <f t="shared" si="0"/>
        <v>860769</v>
      </c>
      <c r="K18" s="21">
        <f t="shared" si="1"/>
        <v>11620378</v>
      </c>
      <c r="L18" s="21">
        <f>+ROUND(K18*8%,0)</f>
        <v>929630</v>
      </c>
      <c r="M18" s="21">
        <f t="shared" si="3"/>
        <v>176630</v>
      </c>
      <c r="N18" s="21">
        <f t="shared" si="4"/>
        <v>12726638</v>
      </c>
      <c r="O18" s="21">
        <f>+ROUND(((N18/30)*33),0)</f>
        <v>13999302</v>
      </c>
    </row>
    <row r="19" spans="1:15" x14ac:dyDescent="0.3">
      <c r="A19" s="85" t="s">
        <v>29</v>
      </c>
      <c r="B19" s="85"/>
      <c r="C19" s="85"/>
      <c r="D19" s="85"/>
      <c r="E19" s="85"/>
      <c r="F19" s="23">
        <f>SUM(F9:F18)</f>
        <v>17509050</v>
      </c>
      <c r="G19" s="23">
        <f t="shared" ref="G19" si="9">SUM(G9:G18)</f>
        <v>44998</v>
      </c>
      <c r="H19" s="23">
        <f t="shared" ref="H19" si="10">SUM(H9:H18)</f>
        <v>153296815</v>
      </c>
      <c r="I19" s="23"/>
      <c r="J19" s="23">
        <f t="shared" ref="J19" si="11">SUM(J9:J18)</f>
        <v>15001588</v>
      </c>
      <c r="K19" s="23">
        <f t="shared" ref="K19" si="12">SUM(K9:K18)</f>
        <v>168298403</v>
      </c>
      <c r="L19" s="23">
        <f t="shared" ref="L19" si="13">SUM(L9:L18)</f>
        <v>16475504</v>
      </c>
      <c r="M19" s="23">
        <f t="shared" ref="M19" si="14">SUM(M9:M18)</f>
        <v>3130345</v>
      </c>
      <c r="N19" s="23">
        <f t="shared" ref="N19" si="15">SUM(N9:N18)</f>
        <v>187904252</v>
      </c>
      <c r="O19" s="24">
        <f t="shared" ref="O19" si="16">SUM(O9:O18)</f>
        <v>206694680</v>
      </c>
    </row>
    <row r="20" spans="1:15" x14ac:dyDescent="0.3">
      <c r="A20" s="10"/>
      <c r="B20" s="10"/>
      <c r="C20" s="10"/>
      <c r="D20" s="10"/>
      <c r="E20" s="10"/>
      <c r="F20" s="5"/>
      <c r="G20" s="5"/>
      <c r="H20" s="5"/>
      <c r="I20" s="5"/>
      <c r="J20" s="5"/>
      <c r="K20" s="5"/>
      <c r="L20" s="5"/>
      <c r="M20" s="5"/>
      <c r="N20" s="5"/>
      <c r="O20" s="7"/>
    </row>
    <row r="21" spans="1:15" x14ac:dyDescent="0.3">
      <c r="A21" s="10"/>
      <c r="B21" s="10"/>
      <c r="C21" s="10"/>
      <c r="D21" s="10"/>
      <c r="E21" s="10"/>
      <c r="F21" s="5"/>
      <c r="G21" s="5"/>
      <c r="H21" s="5"/>
      <c r="I21" s="5"/>
      <c r="J21" s="5"/>
      <c r="K21" s="5"/>
      <c r="L21" s="5"/>
      <c r="M21" s="5"/>
      <c r="N21" s="5"/>
      <c r="O21" s="7"/>
    </row>
    <row r="22" spans="1:15" ht="18" x14ac:dyDescent="0.35">
      <c r="A22" s="81" t="s">
        <v>102</v>
      </c>
      <c r="B22" s="81"/>
      <c r="C22" s="81"/>
      <c r="D22" s="81"/>
      <c r="E22" s="81"/>
      <c r="F22" s="81"/>
      <c r="G22" s="81"/>
      <c r="H22" s="81"/>
      <c r="I22" s="81"/>
      <c r="J22" s="81"/>
      <c r="K22" s="81"/>
      <c r="L22" s="81"/>
      <c r="M22" s="81"/>
      <c r="N22" s="81"/>
      <c r="O22" s="81"/>
    </row>
    <row r="23" spans="1:15" x14ac:dyDescent="0.3">
      <c r="A23" s="82" t="s">
        <v>0</v>
      </c>
      <c r="B23" s="82" t="s">
        <v>1</v>
      </c>
      <c r="C23" s="83" t="s">
        <v>2</v>
      </c>
      <c r="D23" s="82" t="s">
        <v>3</v>
      </c>
      <c r="E23" s="82" t="s">
        <v>4</v>
      </c>
      <c r="F23" s="82" t="s">
        <v>5</v>
      </c>
      <c r="G23" s="82" t="s">
        <v>6</v>
      </c>
      <c r="H23" s="82" t="s">
        <v>7</v>
      </c>
      <c r="I23" s="82" t="s">
        <v>8</v>
      </c>
      <c r="J23" s="82" t="s">
        <v>9</v>
      </c>
      <c r="K23" s="82" t="s">
        <v>10</v>
      </c>
      <c r="L23" s="82" t="s">
        <v>106</v>
      </c>
      <c r="M23" s="82" t="s">
        <v>107</v>
      </c>
      <c r="N23" s="82" t="s">
        <v>37</v>
      </c>
      <c r="O23" s="82" t="s">
        <v>38</v>
      </c>
    </row>
    <row r="24" spans="1:15" x14ac:dyDescent="0.3">
      <c r="A24" s="82"/>
      <c r="B24" s="82"/>
      <c r="C24" s="83"/>
      <c r="D24" s="82"/>
      <c r="E24" s="82"/>
      <c r="F24" s="82"/>
      <c r="G24" s="82"/>
      <c r="H24" s="82"/>
      <c r="I24" s="82"/>
      <c r="J24" s="82"/>
      <c r="K24" s="82"/>
      <c r="L24" s="82"/>
      <c r="M24" s="82"/>
      <c r="N24" s="82"/>
      <c r="O24" s="82"/>
    </row>
    <row r="25" spans="1:15" ht="25.8" customHeight="1" x14ac:dyDescent="0.3">
      <c r="A25" s="82"/>
      <c r="B25" s="82"/>
      <c r="C25" s="83"/>
      <c r="D25" s="82"/>
      <c r="E25" s="82"/>
      <c r="F25" s="82"/>
      <c r="G25" s="82"/>
      <c r="H25" s="82"/>
      <c r="I25" s="82"/>
      <c r="J25" s="82"/>
      <c r="K25" s="82"/>
      <c r="L25" s="82"/>
      <c r="M25" s="82"/>
      <c r="N25" s="82"/>
      <c r="O25" s="82"/>
    </row>
    <row r="26" spans="1:15" ht="27.6" x14ac:dyDescent="0.3">
      <c r="A26" s="2" t="s">
        <v>13</v>
      </c>
      <c r="B26" s="3">
        <v>1</v>
      </c>
      <c r="C26" s="4" t="s">
        <v>14</v>
      </c>
      <c r="D26" s="18" t="s">
        <v>15</v>
      </c>
      <c r="E26" s="19" t="s">
        <v>15</v>
      </c>
      <c r="F26" s="20">
        <f>$T$2</f>
        <v>1750905</v>
      </c>
      <c r="G26" s="20">
        <f>T4</f>
        <v>5192</v>
      </c>
      <c r="H26" s="21">
        <f>ROUND((F26*9.85)+G26,0)</f>
        <v>17251606</v>
      </c>
      <c r="I26" s="22">
        <v>0.1</v>
      </c>
      <c r="J26" s="21">
        <f t="shared" ref="J26:J35" si="17">ROUND((H26*I26),0)</f>
        <v>1725161</v>
      </c>
      <c r="K26" s="21">
        <f t="shared" ref="K26:K35" si="18">+H26+J26</f>
        <v>18976767</v>
      </c>
      <c r="L26" s="21">
        <f t="shared" ref="L26:L34" si="19">+ROUND(K26*10%,0)</f>
        <v>1897677</v>
      </c>
      <c r="M26" s="21">
        <f t="shared" ref="M26:M35" si="20">+ROUND(L26*19%,0)</f>
        <v>360559</v>
      </c>
      <c r="N26" s="21">
        <f t="shared" ref="N26:N35" si="21">+ROUND(K26+L26+M26,0)</f>
        <v>21235003</v>
      </c>
      <c r="O26" s="21">
        <f>ROUND(((N26/30)*14),0)</f>
        <v>9909668</v>
      </c>
    </row>
    <row r="27" spans="1:15" ht="41.4" x14ac:dyDescent="0.3">
      <c r="A27" s="2" t="s">
        <v>13</v>
      </c>
      <c r="B27" s="3">
        <v>1</v>
      </c>
      <c r="C27" s="4" t="s">
        <v>28</v>
      </c>
      <c r="D27" s="18" t="s">
        <v>16</v>
      </c>
      <c r="E27" s="19" t="s">
        <v>15</v>
      </c>
      <c r="F27" s="20">
        <f t="shared" ref="F27:F35" si="22">$T$2</f>
        <v>1750905</v>
      </c>
      <c r="G27" s="20">
        <f>T5</f>
        <v>1731</v>
      </c>
      <c r="H27" s="21">
        <f>ROUND(((((((F27*9.85+G27)*47.59%)/30)*24)/15)*12),0)+ROUND(((((((F27*9.85+G27)*47.59%)/30)*4)/15)*6),0)</f>
        <v>5691152</v>
      </c>
      <c r="I27" s="22">
        <v>0.08</v>
      </c>
      <c r="J27" s="21">
        <f t="shared" si="17"/>
        <v>455292</v>
      </c>
      <c r="K27" s="21">
        <f t="shared" si="18"/>
        <v>6146444</v>
      </c>
      <c r="L27" s="21">
        <f>+ROUND(K27*8%,0)</f>
        <v>491716</v>
      </c>
      <c r="M27" s="21">
        <f t="shared" si="20"/>
        <v>93426</v>
      </c>
      <c r="N27" s="21">
        <f t="shared" si="21"/>
        <v>6731586</v>
      </c>
      <c r="O27" s="21">
        <f>ROUND(((N27/30)*14),0)</f>
        <v>3141407</v>
      </c>
    </row>
    <row r="28" spans="1:15" ht="27.6" x14ac:dyDescent="0.3">
      <c r="A28" s="2" t="s">
        <v>17</v>
      </c>
      <c r="B28" s="3">
        <v>1</v>
      </c>
      <c r="C28" s="4" t="s">
        <v>14</v>
      </c>
      <c r="D28" s="18" t="s">
        <v>15</v>
      </c>
      <c r="E28" s="19" t="s">
        <v>15</v>
      </c>
      <c r="F28" s="20">
        <f t="shared" si="22"/>
        <v>1750905</v>
      </c>
      <c r="G28" s="20">
        <f>$T$4</f>
        <v>5192</v>
      </c>
      <c r="H28" s="21">
        <f>ROUND((F28*9.85)+G28,0)</f>
        <v>17251606</v>
      </c>
      <c r="I28" s="22">
        <v>0.1</v>
      </c>
      <c r="J28" s="21">
        <f t="shared" si="17"/>
        <v>1725161</v>
      </c>
      <c r="K28" s="21">
        <f t="shared" si="18"/>
        <v>18976767</v>
      </c>
      <c r="L28" s="21">
        <f t="shared" si="19"/>
        <v>1897677</v>
      </c>
      <c r="M28" s="21">
        <f t="shared" si="20"/>
        <v>360559</v>
      </c>
      <c r="N28" s="21">
        <f t="shared" si="21"/>
        <v>21235003</v>
      </c>
      <c r="O28" s="21">
        <f t="shared" ref="O28:O34" si="23">ROUND(((N28/30)*14),0)</f>
        <v>9909668</v>
      </c>
    </row>
    <row r="29" spans="1:15" ht="27.6" x14ac:dyDescent="0.3">
      <c r="A29" s="2" t="s">
        <v>18</v>
      </c>
      <c r="B29" s="3">
        <v>1</v>
      </c>
      <c r="C29" s="4" t="s">
        <v>14</v>
      </c>
      <c r="D29" s="18" t="s">
        <v>15</v>
      </c>
      <c r="E29" s="19" t="s">
        <v>15</v>
      </c>
      <c r="F29" s="20">
        <f t="shared" si="22"/>
        <v>1750905</v>
      </c>
      <c r="G29" s="20">
        <f t="shared" ref="G29:G34" si="24">$T$4</f>
        <v>5192</v>
      </c>
      <c r="H29" s="21">
        <f t="shared" ref="H29:H34" si="25">ROUND((F29*9.85)+G29,0)</f>
        <v>17251606</v>
      </c>
      <c r="I29" s="22">
        <v>0.1</v>
      </c>
      <c r="J29" s="21">
        <f t="shared" si="17"/>
        <v>1725161</v>
      </c>
      <c r="K29" s="21">
        <f t="shared" si="18"/>
        <v>18976767</v>
      </c>
      <c r="L29" s="21">
        <f t="shared" si="19"/>
        <v>1897677</v>
      </c>
      <c r="M29" s="21">
        <f t="shared" si="20"/>
        <v>360559</v>
      </c>
      <c r="N29" s="21">
        <f t="shared" si="21"/>
        <v>21235003</v>
      </c>
      <c r="O29" s="21">
        <f t="shared" si="23"/>
        <v>9909668</v>
      </c>
    </row>
    <row r="30" spans="1:15" ht="27.6" x14ac:dyDescent="0.3">
      <c r="A30" s="2" t="s">
        <v>19</v>
      </c>
      <c r="B30" s="3">
        <v>1</v>
      </c>
      <c r="C30" s="4" t="s">
        <v>14</v>
      </c>
      <c r="D30" s="18" t="s">
        <v>15</v>
      </c>
      <c r="E30" s="19" t="s">
        <v>15</v>
      </c>
      <c r="F30" s="20">
        <f t="shared" si="22"/>
        <v>1750905</v>
      </c>
      <c r="G30" s="20">
        <f t="shared" si="24"/>
        <v>5192</v>
      </c>
      <c r="H30" s="21">
        <f t="shared" si="25"/>
        <v>17251606</v>
      </c>
      <c r="I30" s="22">
        <v>0.1</v>
      </c>
      <c r="J30" s="21">
        <f t="shared" si="17"/>
        <v>1725161</v>
      </c>
      <c r="K30" s="21">
        <f t="shared" si="18"/>
        <v>18976767</v>
      </c>
      <c r="L30" s="21">
        <f t="shared" si="19"/>
        <v>1897677</v>
      </c>
      <c r="M30" s="21">
        <f t="shared" si="20"/>
        <v>360559</v>
      </c>
      <c r="N30" s="21">
        <f t="shared" si="21"/>
        <v>21235003</v>
      </c>
      <c r="O30" s="21">
        <f t="shared" si="23"/>
        <v>9909668</v>
      </c>
    </row>
    <row r="31" spans="1:15" ht="27.6" x14ac:dyDescent="0.3">
      <c r="A31" s="2" t="s">
        <v>20</v>
      </c>
      <c r="B31" s="3">
        <v>1</v>
      </c>
      <c r="C31" s="4" t="s">
        <v>14</v>
      </c>
      <c r="D31" s="18" t="s">
        <v>15</v>
      </c>
      <c r="E31" s="19" t="s">
        <v>15</v>
      </c>
      <c r="F31" s="20">
        <f t="shared" si="22"/>
        <v>1750905</v>
      </c>
      <c r="G31" s="20">
        <f t="shared" si="24"/>
        <v>5192</v>
      </c>
      <c r="H31" s="21">
        <f t="shared" si="25"/>
        <v>17251606</v>
      </c>
      <c r="I31" s="22">
        <v>0.1</v>
      </c>
      <c r="J31" s="21">
        <f t="shared" si="17"/>
        <v>1725161</v>
      </c>
      <c r="K31" s="21">
        <f t="shared" si="18"/>
        <v>18976767</v>
      </c>
      <c r="L31" s="21">
        <f t="shared" si="19"/>
        <v>1897677</v>
      </c>
      <c r="M31" s="21">
        <f t="shared" si="20"/>
        <v>360559</v>
      </c>
      <c r="N31" s="21">
        <f t="shared" si="21"/>
        <v>21235003</v>
      </c>
      <c r="O31" s="21">
        <f t="shared" si="23"/>
        <v>9909668</v>
      </c>
    </row>
    <row r="32" spans="1:15" ht="27.6" x14ac:dyDescent="0.3">
      <c r="A32" s="2" t="s">
        <v>21</v>
      </c>
      <c r="B32" s="3">
        <v>1</v>
      </c>
      <c r="C32" s="4" t="s">
        <v>14</v>
      </c>
      <c r="D32" s="18" t="s">
        <v>15</v>
      </c>
      <c r="E32" s="19" t="s">
        <v>15</v>
      </c>
      <c r="F32" s="20">
        <f t="shared" si="22"/>
        <v>1750905</v>
      </c>
      <c r="G32" s="20">
        <f t="shared" si="24"/>
        <v>5192</v>
      </c>
      <c r="H32" s="21">
        <f t="shared" si="25"/>
        <v>17251606</v>
      </c>
      <c r="I32" s="22">
        <v>0.1</v>
      </c>
      <c r="J32" s="21">
        <f t="shared" si="17"/>
        <v>1725161</v>
      </c>
      <c r="K32" s="21">
        <f t="shared" si="18"/>
        <v>18976767</v>
      </c>
      <c r="L32" s="21">
        <f t="shared" si="19"/>
        <v>1897677</v>
      </c>
      <c r="M32" s="21">
        <f t="shared" si="20"/>
        <v>360559</v>
      </c>
      <c r="N32" s="21">
        <f t="shared" si="21"/>
        <v>21235003</v>
      </c>
      <c r="O32" s="21">
        <f t="shared" si="23"/>
        <v>9909668</v>
      </c>
    </row>
    <row r="33" spans="1:15" ht="27.6" x14ac:dyDescent="0.3">
      <c r="A33" s="2" t="s">
        <v>22</v>
      </c>
      <c r="B33" s="3">
        <v>1</v>
      </c>
      <c r="C33" s="4" t="s">
        <v>14</v>
      </c>
      <c r="D33" s="18" t="s">
        <v>15</v>
      </c>
      <c r="E33" s="19" t="s">
        <v>15</v>
      </c>
      <c r="F33" s="20">
        <f t="shared" si="22"/>
        <v>1750905</v>
      </c>
      <c r="G33" s="20">
        <f t="shared" si="24"/>
        <v>5192</v>
      </c>
      <c r="H33" s="21">
        <f t="shared" si="25"/>
        <v>17251606</v>
      </c>
      <c r="I33" s="22">
        <v>0.1</v>
      </c>
      <c r="J33" s="21">
        <f t="shared" si="17"/>
        <v>1725161</v>
      </c>
      <c r="K33" s="21">
        <f t="shared" si="18"/>
        <v>18976767</v>
      </c>
      <c r="L33" s="21">
        <f t="shared" si="19"/>
        <v>1897677</v>
      </c>
      <c r="M33" s="21">
        <f t="shared" si="20"/>
        <v>360559</v>
      </c>
      <c r="N33" s="21">
        <f t="shared" si="21"/>
        <v>21235003</v>
      </c>
      <c r="O33" s="21">
        <f t="shared" si="23"/>
        <v>9909668</v>
      </c>
    </row>
    <row r="34" spans="1:15" ht="27.6" x14ac:dyDescent="0.3">
      <c r="A34" s="2" t="s">
        <v>23</v>
      </c>
      <c r="B34" s="3">
        <v>1</v>
      </c>
      <c r="C34" s="4" t="s">
        <v>14</v>
      </c>
      <c r="D34" s="18" t="s">
        <v>15</v>
      </c>
      <c r="E34" s="19" t="s">
        <v>15</v>
      </c>
      <c r="F34" s="20">
        <f t="shared" si="22"/>
        <v>1750905</v>
      </c>
      <c r="G34" s="20">
        <f t="shared" si="24"/>
        <v>5192</v>
      </c>
      <c r="H34" s="21">
        <f t="shared" si="25"/>
        <v>17251606</v>
      </c>
      <c r="I34" s="22">
        <v>0.1</v>
      </c>
      <c r="J34" s="21">
        <f t="shared" si="17"/>
        <v>1725161</v>
      </c>
      <c r="K34" s="21">
        <f t="shared" si="18"/>
        <v>18976767</v>
      </c>
      <c r="L34" s="21">
        <f t="shared" si="19"/>
        <v>1897677</v>
      </c>
      <c r="M34" s="21">
        <f t="shared" si="20"/>
        <v>360559</v>
      </c>
      <c r="N34" s="21">
        <f t="shared" si="21"/>
        <v>21235003</v>
      </c>
      <c r="O34" s="21">
        <f t="shared" si="23"/>
        <v>9909668</v>
      </c>
    </row>
    <row r="35" spans="1:15" ht="41.4" x14ac:dyDescent="0.3">
      <c r="A35" s="2" t="s">
        <v>24</v>
      </c>
      <c r="B35" s="3">
        <v>1</v>
      </c>
      <c r="C35" s="4" t="s">
        <v>25</v>
      </c>
      <c r="D35" s="18" t="s">
        <v>16</v>
      </c>
      <c r="E35" s="19" t="s">
        <v>15</v>
      </c>
      <c r="F35" s="20">
        <f t="shared" si="22"/>
        <v>1750905</v>
      </c>
      <c r="G35" s="20">
        <f>T5</f>
        <v>1731</v>
      </c>
      <c r="H35" s="21">
        <f>ROUND(((((((F35*9.85+G35)*52.41%)/30)*30)/9)*9)+((((((F35*9.85+G35)*52.41%)/30)*30)/15)*3),0)</f>
        <v>10847704</v>
      </c>
      <c r="I35" s="22">
        <v>0.08</v>
      </c>
      <c r="J35" s="21">
        <f t="shared" si="17"/>
        <v>867816</v>
      </c>
      <c r="K35" s="21">
        <f t="shared" si="18"/>
        <v>11715520</v>
      </c>
      <c r="L35" s="21">
        <f>+ROUND(K35*8%,0)</f>
        <v>937242</v>
      </c>
      <c r="M35" s="21">
        <f t="shared" si="20"/>
        <v>178076</v>
      </c>
      <c r="N35" s="21">
        <f t="shared" si="21"/>
        <v>12830838</v>
      </c>
      <c r="O35" s="21">
        <f>ROUND(((N35/30)*14),0)</f>
        <v>5987724</v>
      </c>
    </row>
    <row r="36" spans="1:15" x14ac:dyDescent="0.3">
      <c r="A36" s="80" t="s">
        <v>29</v>
      </c>
      <c r="B36" s="80"/>
      <c r="C36" s="80"/>
      <c r="D36" s="80"/>
      <c r="E36" s="80"/>
      <c r="F36" s="8">
        <f>SUM(F26:F35)</f>
        <v>17509050</v>
      </c>
      <c r="G36" s="8">
        <f t="shared" ref="G36:H36" si="26">SUM(G26:G35)</f>
        <v>44998</v>
      </c>
      <c r="H36" s="8">
        <f t="shared" si="26"/>
        <v>154551704</v>
      </c>
      <c r="I36" s="8"/>
      <c r="J36" s="8">
        <f t="shared" ref="J36:O36" si="27">SUM(J26:J35)</f>
        <v>15124396</v>
      </c>
      <c r="K36" s="8">
        <f t="shared" si="27"/>
        <v>169676100</v>
      </c>
      <c r="L36" s="8">
        <f t="shared" si="27"/>
        <v>16610374</v>
      </c>
      <c r="M36" s="8">
        <f t="shared" si="27"/>
        <v>3155974</v>
      </c>
      <c r="N36" s="8">
        <f t="shared" si="27"/>
        <v>189442448</v>
      </c>
      <c r="O36" s="9">
        <f t="shared" si="27"/>
        <v>88406475</v>
      </c>
    </row>
    <row r="37" spans="1:15" x14ac:dyDescent="0.3">
      <c r="A37" s="11"/>
      <c r="B37" s="12"/>
      <c r="C37" s="13"/>
      <c r="D37" s="14"/>
      <c r="E37" s="15"/>
      <c r="F37" s="16"/>
      <c r="G37" s="16"/>
      <c r="H37" s="5"/>
      <c r="I37" s="17"/>
      <c r="J37" s="5"/>
      <c r="K37" s="5"/>
      <c r="L37" s="5"/>
      <c r="M37" s="5"/>
      <c r="N37" s="5"/>
      <c r="O37" s="5"/>
    </row>
    <row r="38" spans="1:15" ht="18" hidden="1" x14ac:dyDescent="0.35">
      <c r="A38" s="81" t="s">
        <v>36</v>
      </c>
      <c r="B38" s="81"/>
      <c r="C38" s="81"/>
      <c r="D38" s="81"/>
      <c r="E38" s="81"/>
      <c r="F38" s="81"/>
      <c r="G38" s="81"/>
      <c r="H38" s="81"/>
      <c r="I38" s="81"/>
      <c r="J38" s="81"/>
      <c r="K38" s="81"/>
      <c r="L38" s="81"/>
      <c r="M38" s="81"/>
      <c r="N38" s="81"/>
      <c r="O38" s="81"/>
    </row>
    <row r="39" spans="1:15" hidden="1" x14ac:dyDescent="0.3">
      <c r="A39" s="82" t="s">
        <v>0</v>
      </c>
      <c r="B39" s="82" t="s">
        <v>1</v>
      </c>
      <c r="C39" s="83" t="s">
        <v>2</v>
      </c>
      <c r="D39" s="82" t="s">
        <v>3</v>
      </c>
      <c r="E39" s="82" t="s">
        <v>4</v>
      </c>
      <c r="F39" s="82" t="s">
        <v>5</v>
      </c>
      <c r="G39" s="82" t="s">
        <v>6</v>
      </c>
      <c r="H39" s="82" t="s">
        <v>7</v>
      </c>
      <c r="I39" s="82" t="s">
        <v>8</v>
      </c>
      <c r="J39" s="82" t="s">
        <v>9</v>
      </c>
      <c r="K39" s="82" t="s">
        <v>10</v>
      </c>
      <c r="L39" s="82" t="s">
        <v>11</v>
      </c>
      <c r="M39" s="82" t="s">
        <v>12</v>
      </c>
      <c r="N39" s="82" t="s">
        <v>39</v>
      </c>
      <c r="O39" s="82" t="s">
        <v>40</v>
      </c>
    </row>
    <row r="40" spans="1:15" hidden="1" x14ac:dyDescent="0.3">
      <c r="A40" s="82"/>
      <c r="B40" s="82"/>
      <c r="C40" s="83"/>
      <c r="D40" s="82"/>
      <c r="E40" s="82"/>
      <c r="F40" s="82"/>
      <c r="G40" s="82"/>
      <c r="H40" s="82"/>
      <c r="I40" s="82"/>
      <c r="J40" s="82"/>
      <c r="K40" s="82"/>
      <c r="L40" s="82"/>
      <c r="M40" s="82"/>
      <c r="N40" s="82"/>
      <c r="O40" s="82"/>
    </row>
    <row r="41" spans="1:15" ht="25.8" hidden="1" customHeight="1" x14ac:dyDescent="0.3">
      <c r="A41" s="82"/>
      <c r="B41" s="82"/>
      <c r="C41" s="83"/>
      <c r="D41" s="82"/>
      <c r="E41" s="82"/>
      <c r="F41" s="82"/>
      <c r="G41" s="82"/>
      <c r="H41" s="82"/>
      <c r="I41" s="82"/>
      <c r="J41" s="82"/>
      <c r="K41" s="82"/>
      <c r="L41" s="82"/>
      <c r="M41" s="82"/>
      <c r="N41" s="82"/>
      <c r="O41" s="82"/>
    </row>
    <row r="42" spans="1:15" ht="27.6" hidden="1" x14ac:dyDescent="0.3">
      <c r="A42" s="2" t="s">
        <v>13</v>
      </c>
      <c r="B42" s="3">
        <v>1</v>
      </c>
      <c r="C42" s="4" t="s">
        <v>14</v>
      </c>
      <c r="D42" s="18" t="s">
        <v>15</v>
      </c>
      <c r="E42" s="19" t="s">
        <v>15</v>
      </c>
      <c r="F42" s="20">
        <f>$T$2</f>
        <v>1750905</v>
      </c>
      <c r="G42" s="20">
        <f>T4</f>
        <v>5192</v>
      </c>
      <c r="H42" s="21">
        <f>ROUND((F42*10.21)+G42,0)</f>
        <v>17881932</v>
      </c>
      <c r="I42" s="22">
        <v>0.1</v>
      </c>
      <c r="J42" s="21">
        <f t="shared" ref="J42:J51" si="28">ROUND((H42*I42),0)</f>
        <v>1788193</v>
      </c>
      <c r="K42" s="21">
        <f t="shared" ref="K42:K51" si="29">+H42+J42</f>
        <v>19670125</v>
      </c>
      <c r="L42" s="21">
        <f t="shared" ref="L42" si="30">+ROUND(K42*10%,0)</f>
        <v>1967013</v>
      </c>
      <c r="M42" s="21">
        <f t="shared" ref="M42:M51" si="31">+ROUND(L42*19%,0)</f>
        <v>373732</v>
      </c>
      <c r="N42" s="21">
        <f t="shared" ref="N42:N51" si="32">+ROUND(K42+L42+M42,0)</f>
        <v>22010870</v>
      </c>
      <c r="O42" s="21">
        <f>ROUND(((N42/30)*166)+(N42),0)</f>
        <v>143804351</v>
      </c>
    </row>
    <row r="43" spans="1:15" ht="41.4" hidden="1" x14ac:dyDescent="0.3">
      <c r="A43" s="2" t="s">
        <v>13</v>
      </c>
      <c r="B43" s="3">
        <v>1</v>
      </c>
      <c r="C43" s="4" t="s">
        <v>28</v>
      </c>
      <c r="D43" s="18" t="s">
        <v>16</v>
      </c>
      <c r="E43" s="19" t="s">
        <v>15</v>
      </c>
      <c r="F43" s="20">
        <f t="shared" ref="F43:F51" si="33">$T$2</f>
        <v>1750905</v>
      </c>
      <c r="G43" s="20">
        <f>T5</f>
        <v>1731</v>
      </c>
      <c r="H43" s="21">
        <f>+ROUND((F43*10.21)/2+G43,0)</f>
        <v>8940101</v>
      </c>
      <c r="I43" s="22">
        <v>0.08</v>
      </c>
      <c r="J43" s="21">
        <f t="shared" si="28"/>
        <v>715208</v>
      </c>
      <c r="K43" s="21">
        <f t="shared" si="29"/>
        <v>9655309</v>
      </c>
      <c r="L43" s="21">
        <f>+ROUND(K43*8%,0)</f>
        <v>772425</v>
      </c>
      <c r="M43" s="21">
        <f t="shared" si="31"/>
        <v>146761</v>
      </c>
      <c r="N43" s="21">
        <f t="shared" si="32"/>
        <v>10574495</v>
      </c>
      <c r="O43" s="21">
        <f>ROUND(((N43/30)*166)+(N43),0)</f>
        <v>69086701</v>
      </c>
    </row>
    <row r="44" spans="1:15" ht="27.6" hidden="1" x14ac:dyDescent="0.3">
      <c r="A44" s="2" t="s">
        <v>17</v>
      </c>
      <c r="B44" s="3">
        <v>1</v>
      </c>
      <c r="C44" s="4" t="s">
        <v>14</v>
      </c>
      <c r="D44" s="18" t="s">
        <v>15</v>
      </c>
      <c r="E44" s="19" t="s">
        <v>15</v>
      </c>
      <c r="F44" s="20">
        <f t="shared" si="33"/>
        <v>1750905</v>
      </c>
      <c r="G44" s="20">
        <f>$T$4</f>
        <v>5192</v>
      </c>
      <c r="H44" s="21">
        <f>ROUND((F44*10.21)+G44,0)</f>
        <v>17881932</v>
      </c>
      <c r="I44" s="22">
        <v>0.1</v>
      </c>
      <c r="J44" s="21">
        <f t="shared" si="28"/>
        <v>1788193</v>
      </c>
      <c r="K44" s="21">
        <f t="shared" si="29"/>
        <v>19670125</v>
      </c>
      <c r="L44" s="21">
        <f t="shared" ref="L44:L50" si="34">+ROUND(K44*10%,0)</f>
        <v>1967013</v>
      </c>
      <c r="M44" s="21">
        <f t="shared" si="31"/>
        <v>373732</v>
      </c>
      <c r="N44" s="21">
        <f t="shared" si="32"/>
        <v>22010870</v>
      </c>
      <c r="O44" s="21">
        <f>ROUND(((N44/30)*166)+(N44),0)</f>
        <v>143804351</v>
      </c>
    </row>
    <row r="45" spans="1:15" ht="27.6" hidden="1" x14ac:dyDescent="0.3">
      <c r="A45" s="2" t="s">
        <v>18</v>
      </c>
      <c r="B45" s="3">
        <v>1</v>
      </c>
      <c r="C45" s="4" t="s">
        <v>14</v>
      </c>
      <c r="D45" s="18" t="s">
        <v>15</v>
      </c>
      <c r="E45" s="19" t="s">
        <v>15</v>
      </c>
      <c r="F45" s="20">
        <f t="shared" si="33"/>
        <v>1750905</v>
      </c>
      <c r="G45" s="20">
        <f t="shared" ref="G45:G50" si="35">$T$4</f>
        <v>5192</v>
      </c>
      <c r="H45" s="21">
        <f t="shared" ref="H45:H50" si="36">ROUND((F45*10.21)+G45,0)</f>
        <v>17881932</v>
      </c>
      <c r="I45" s="22">
        <v>0.1</v>
      </c>
      <c r="J45" s="21">
        <f t="shared" si="28"/>
        <v>1788193</v>
      </c>
      <c r="K45" s="21">
        <f t="shared" si="29"/>
        <v>19670125</v>
      </c>
      <c r="L45" s="21">
        <f t="shared" si="34"/>
        <v>1967013</v>
      </c>
      <c r="M45" s="21">
        <f t="shared" si="31"/>
        <v>373732</v>
      </c>
      <c r="N45" s="21">
        <f t="shared" si="32"/>
        <v>22010870</v>
      </c>
      <c r="O45" s="21">
        <f t="shared" ref="O45:O50" si="37">ROUND(((N45/30)*166)+(N45),0)</f>
        <v>143804351</v>
      </c>
    </row>
    <row r="46" spans="1:15" ht="27.6" hidden="1" x14ac:dyDescent="0.3">
      <c r="A46" s="2" t="s">
        <v>19</v>
      </c>
      <c r="B46" s="3">
        <v>1</v>
      </c>
      <c r="C46" s="4" t="s">
        <v>14</v>
      </c>
      <c r="D46" s="18" t="s">
        <v>15</v>
      </c>
      <c r="E46" s="19" t="s">
        <v>15</v>
      </c>
      <c r="F46" s="20">
        <f t="shared" si="33"/>
        <v>1750905</v>
      </c>
      <c r="G46" s="20">
        <f t="shared" si="35"/>
        <v>5192</v>
      </c>
      <c r="H46" s="21">
        <f t="shared" si="36"/>
        <v>17881932</v>
      </c>
      <c r="I46" s="22">
        <v>0.1</v>
      </c>
      <c r="J46" s="21">
        <f t="shared" si="28"/>
        <v>1788193</v>
      </c>
      <c r="K46" s="21">
        <f t="shared" si="29"/>
        <v>19670125</v>
      </c>
      <c r="L46" s="21">
        <f t="shared" si="34"/>
        <v>1967013</v>
      </c>
      <c r="M46" s="21">
        <f t="shared" si="31"/>
        <v>373732</v>
      </c>
      <c r="N46" s="21">
        <f t="shared" si="32"/>
        <v>22010870</v>
      </c>
      <c r="O46" s="21">
        <f t="shared" si="37"/>
        <v>143804351</v>
      </c>
    </row>
    <row r="47" spans="1:15" ht="27.6" hidden="1" x14ac:dyDescent="0.3">
      <c r="A47" s="2" t="s">
        <v>20</v>
      </c>
      <c r="B47" s="3">
        <v>1</v>
      </c>
      <c r="C47" s="4" t="s">
        <v>14</v>
      </c>
      <c r="D47" s="18" t="s">
        <v>15</v>
      </c>
      <c r="E47" s="19" t="s">
        <v>15</v>
      </c>
      <c r="F47" s="20">
        <f t="shared" si="33"/>
        <v>1750905</v>
      </c>
      <c r="G47" s="20">
        <f t="shared" si="35"/>
        <v>5192</v>
      </c>
      <c r="H47" s="21">
        <f t="shared" si="36"/>
        <v>17881932</v>
      </c>
      <c r="I47" s="22">
        <v>0.1</v>
      </c>
      <c r="J47" s="21">
        <f t="shared" si="28"/>
        <v>1788193</v>
      </c>
      <c r="K47" s="21">
        <f t="shared" si="29"/>
        <v>19670125</v>
      </c>
      <c r="L47" s="21">
        <f t="shared" si="34"/>
        <v>1967013</v>
      </c>
      <c r="M47" s="21">
        <f t="shared" si="31"/>
        <v>373732</v>
      </c>
      <c r="N47" s="21">
        <f t="shared" si="32"/>
        <v>22010870</v>
      </c>
      <c r="O47" s="21">
        <f t="shared" si="37"/>
        <v>143804351</v>
      </c>
    </row>
    <row r="48" spans="1:15" ht="27.6" hidden="1" x14ac:dyDescent="0.3">
      <c r="A48" s="2" t="s">
        <v>21</v>
      </c>
      <c r="B48" s="3">
        <v>1</v>
      </c>
      <c r="C48" s="4" t="s">
        <v>14</v>
      </c>
      <c r="D48" s="18" t="s">
        <v>15</v>
      </c>
      <c r="E48" s="19" t="s">
        <v>15</v>
      </c>
      <c r="F48" s="20">
        <f t="shared" si="33"/>
        <v>1750905</v>
      </c>
      <c r="G48" s="20">
        <f t="shared" si="35"/>
        <v>5192</v>
      </c>
      <c r="H48" s="21">
        <f t="shared" si="36"/>
        <v>17881932</v>
      </c>
      <c r="I48" s="22">
        <v>0.1</v>
      </c>
      <c r="J48" s="21">
        <f t="shared" si="28"/>
        <v>1788193</v>
      </c>
      <c r="K48" s="21">
        <f t="shared" si="29"/>
        <v>19670125</v>
      </c>
      <c r="L48" s="21">
        <f t="shared" si="34"/>
        <v>1967013</v>
      </c>
      <c r="M48" s="21">
        <f t="shared" si="31"/>
        <v>373732</v>
      </c>
      <c r="N48" s="21">
        <f t="shared" si="32"/>
        <v>22010870</v>
      </c>
      <c r="O48" s="21">
        <f t="shared" si="37"/>
        <v>143804351</v>
      </c>
    </row>
    <row r="49" spans="1:15" ht="27.6" hidden="1" x14ac:dyDescent="0.3">
      <c r="A49" s="2" t="s">
        <v>22</v>
      </c>
      <c r="B49" s="3">
        <v>1</v>
      </c>
      <c r="C49" s="4" t="s">
        <v>14</v>
      </c>
      <c r="D49" s="18" t="s">
        <v>15</v>
      </c>
      <c r="E49" s="19" t="s">
        <v>15</v>
      </c>
      <c r="F49" s="20">
        <f t="shared" si="33"/>
        <v>1750905</v>
      </c>
      <c r="G49" s="20">
        <f t="shared" si="35"/>
        <v>5192</v>
      </c>
      <c r="H49" s="21">
        <f t="shared" si="36"/>
        <v>17881932</v>
      </c>
      <c r="I49" s="22">
        <v>0.1</v>
      </c>
      <c r="J49" s="21">
        <f t="shared" si="28"/>
        <v>1788193</v>
      </c>
      <c r="K49" s="21">
        <f t="shared" si="29"/>
        <v>19670125</v>
      </c>
      <c r="L49" s="21">
        <f t="shared" si="34"/>
        <v>1967013</v>
      </c>
      <c r="M49" s="21">
        <f t="shared" si="31"/>
        <v>373732</v>
      </c>
      <c r="N49" s="21">
        <f t="shared" si="32"/>
        <v>22010870</v>
      </c>
      <c r="O49" s="21">
        <f t="shared" si="37"/>
        <v>143804351</v>
      </c>
    </row>
    <row r="50" spans="1:15" ht="27.6" hidden="1" x14ac:dyDescent="0.3">
      <c r="A50" s="2" t="s">
        <v>23</v>
      </c>
      <c r="B50" s="3">
        <v>1</v>
      </c>
      <c r="C50" s="4" t="s">
        <v>14</v>
      </c>
      <c r="D50" s="18" t="s">
        <v>15</v>
      </c>
      <c r="E50" s="19" t="s">
        <v>15</v>
      </c>
      <c r="F50" s="20">
        <f t="shared" si="33"/>
        <v>1750905</v>
      </c>
      <c r="G50" s="20">
        <f t="shared" si="35"/>
        <v>5192</v>
      </c>
      <c r="H50" s="21">
        <f t="shared" si="36"/>
        <v>17881932</v>
      </c>
      <c r="I50" s="22">
        <v>0.1</v>
      </c>
      <c r="J50" s="21">
        <f t="shared" si="28"/>
        <v>1788193</v>
      </c>
      <c r="K50" s="21">
        <f t="shared" si="29"/>
        <v>19670125</v>
      </c>
      <c r="L50" s="21">
        <f t="shared" si="34"/>
        <v>1967013</v>
      </c>
      <c r="M50" s="21">
        <f t="shared" si="31"/>
        <v>373732</v>
      </c>
      <c r="N50" s="21">
        <f t="shared" si="32"/>
        <v>22010870</v>
      </c>
      <c r="O50" s="21">
        <f t="shared" si="37"/>
        <v>143804351</v>
      </c>
    </row>
    <row r="51" spans="1:15" ht="41.4" hidden="1" x14ac:dyDescent="0.3">
      <c r="A51" s="2" t="s">
        <v>24</v>
      </c>
      <c r="B51" s="3">
        <v>1</v>
      </c>
      <c r="C51" s="4" t="s">
        <v>25</v>
      </c>
      <c r="D51" s="18" t="s">
        <v>16</v>
      </c>
      <c r="E51" s="19" t="s">
        <v>15</v>
      </c>
      <c r="F51" s="20">
        <f t="shared" si="33"/>
        <v>1750905</v>
      </c>
      <c r="G51" s="20">
        <f>T5</f>
        <v>1731</v>
      </c>
      <c r="H51" s="21">
        <f>+ROUND((F51*10.21)/2+G51,0)</f>
        <v>8940101</v>
      </c>
      <c r="I51" s="22">
        <v>0.08</v>
      </c>
      <c r="J51" s="21">
        <f t="shared" si="28"/>
        <v>715208</v>
      </c>
      <c r="K51" s="21">
        <f t="shared" si="29"/>
        <v>9655309</v>
      </c>
      <c r="L51" s="21">
        <f>+ROUND(K51*8%,0)</f>
        <v>772425</v>
      </c>
      <c r="M51" s="21">
        <f t="shared" si="31"/>
        <v>146761</v>
      </c>
      <c r="N51" s="21">
        <f t="shared" si="32"/>
        <v>10574495</v>
      </c>
      <c r="O51" s="21">
        <f>ROUND(((N51/30)*166)+(N51),0)</f>
        <v>69086701</v>
      </c>
    </row>
    <row r="52" spans="1:15" hidden="1" x14ac:dyDescent="0.3">
      <c r="A52" s="80" t="s">
        <v>29</v>
      </c>
      <c r="B52" s="80"/>
      <c r="C52" s="80"/>
      <c r="D52" s="80"/>
      <c r="E52" s="80"/>
      <c r="F52" s="8">
        <f>SUM(F42:F51)</f>
        <v>17509050</v>
      </c>
      <c r="G52" s="8">
        <f t="shared" ref="G52:H52" si="38">SUM(G42:G51)</f>
        <v>44998</v>
      </c>
      <c r="H52" s="8">
        <f t="shared" si="38"/>
        <v>160935658</v>
      </c>
      <c r="I52" s="8"/>
      <c r="J52" s="8">
        <f t="shared" ref="J52:O52" si="39">SUM(J42:J51)</f>
        <v>15735960</v>
      </c>
      <c r="K52" s="8">
        <f t="shared" si="39"/>
        <v>176671618</v>
      </c>
      <c r="L52" s="8">
        <f t="shared" si="39"/>
        <v>17280954</v>
      </c>
      <c r="M52" s="8">
        <f t="shared" si="39"/>
        <v>3283378</v>
      </c>
      <c r="N52" s="8">
        <f t="shared" si="39"/>
        <v>197235950</v>
      </c>
      <c r="O52" s="9">
        <f t="shared" si="39"/>
        <v>1288608210</v>
      </c>
    </row>
    <row r="53" spans="1:15" hidden="1" x14ac:dyDescent="0.3">
      <c r="A53" s="10"/>
      <c r="B53" s="10"/>
      <c r="C53" s="10"/>
      <c r="D53" s="10"/>
      <c r="E53" s="10"/>
      <c r="F53" s="5"/>
      <c r="G53" s="5"/>
      <c r="H53" s="5"/>
      <c r="I53" s="5"/>
      <c r="J53" s="5"/>
      <c r="K53" s="5"/>
      <c r="L53" s="5"/>
      <c r="M53" s="5"/>
      <c r="N53" s="5"/>
      <c r="O53" s="7"/>
    </row>
    <row r="54" spans="1:15" x14ac:dyDescent="0.3">
      <c r="A54" s="10"/>
      <c r="B54" s="10"/>
      <c r="C54" s="10"/>
      <c r="D54" s="10"/>
      <c r="E54" s="10"/>
      <c r="F54" s="5"/>
      <c r="G54" s="5"/>
      <c r="H54" s="5"/>
      <c r="I54" s="5"/>
      <c r="J54" s="5"/>
      <c r="K54" s="5"/>
      <c r="L54" s="5"/>
      <c r="M54" s="5"/>
      <c r="N54" s="5"/>
      <c r="O54" s="7"/>
    </row>
    <row r="55" spans="1:15" ht="18" x14ac:dyDescent="0.35">
      <c r="A55" s="81" t="s">
        <v>103</v>
      </c>
      <c r="B55" s="81"/>
      <c r="C55" s="81"/>
      <c r="D55" s="81"/>
      <c r="E55" s="81"/>
      <c r="F55" s="81"/>
      <c r="G55" s="81"/>
      <c r="H55" s="81"/>
      <c r="I55" s="81"/>
      <c r="J55" s="81"/>
      <c r="K55" s="81"/>
      <c r="L55" s="81"/>
      <c r="M55" s="81"/>
      <c r="N55" s="81"/>
      <c r="O55" s="81"/>
    </row>
    <row r="56" spans="1:15" x14ac:dyDescent="0.3">
      <c r="A56" s="82" t="s">
        <v>0</v>
      </c>
      <c r="B56" s="82" t="s">
        <v>1</v>
      </c>
      <c r="C56" s="83" t="s">
        <v>2</v>
      </c>
      <c r="D56" s="82" t="s">
        <v>3</v>
      </c>
      <c r="E56" s="82" t="s">
        <v>4</v>
      </c>
      <c r="F56" s="82" t="s">
        <v>5</v>
      </c>
      <c r="G56" s="82" t="s">
        <v>6</v>
      </c>
      <c r="H56" s="82" t="s">
        <v>7</v>
      </c>
      <c r="I56" s="82" t="s">
        <v>8</v>
      </c>
      <c r="J56" s="82" t="s">
        <v>9</v>
      </c>
      <c r="K56" s="82" t="s">
        <v>10</v>
      </c>
      <c r="L56" s="82" t="s">
        <v>106</v>
      </c>
      <c r="M56" s="82" t="s">
        <v>107</v>
      </c>
      <c r="N56" s="82" t="s">
        <v>39</v>
      </c>
      <c r="O56" s="82" t="s">
        <v>108</v>
      </c>
    </row>
    <row r="57" spans="1:15" x14ac:dyDescent="0.3">
      <c r="A57" s="82"/>
      <c r="B57" s="82"/>
      <c r="C57" s="83"/>
      <c r="D57" s="82"/>
      <c r="E57" s="82"/>
      <c r="F57" s="82"/>
      <c r="G57" s="82"/>
      <c r="H57" s="82"/>
      <c r="I57" s="82"/>
      <c r="J57" s="82"/>
      <c r="K57" s="82"/>
      <c r="L57" s="82"/>
      <c r="M57" s="82"/>
      <c r="N57" s="82"/>
      <c r="O57" s="82"/>
    </row>
    <row r="58" spans="1:15" ht="25.8" customHeight="1" x14ac:dyDescent="0.3">
      <c r="A58" s="82"/>
      <c r="B58" s="82"/>
      <c r="C58" s="83"/>
      <c r="D58" s="82"/>
      <c r="E58" s="82"/>
      <c r="F58" s="82"/>
      <c r="G58" s="82"/>
      <c r="H58" s="82"/>
      <c r="I58" s="82"/>
      <c r="J58" s="82"/>
      <c r="K58" s="82"/>
      <c r="L58" s="82"/>
      <c r="M58" s="82"/>
      <c r="N58" s="82"/>
      <c r="O58" s="82"/>
    </row>
    <row r="59" spans="1:15" ht="27.6" x14ac:dyDescent="0.3">
      <c r="A59" s="2" t="s">
        <v>13</v>
      </c>
      <c r="B59" s="3">
        <v>1</v>
      </c>
      <c r="C59" s="4" t="s">
        <v>14</v>
      </c>
      <c r="D59" s="18" t="s">
        <v>15</v>
      </c>
      <c r="E59" s="19" t="s">
        <v>15</v>
      </c>
      <c r="F59" s="20">
        <f>$T$2</f>
        <v>1750905</v>
      </c>
      <c r="G59" s="20">
        <f>T4</f>
        <v>5192</v>
      </c>
      <c r="H59" s="21">
        <f>ROUND((F59*10.21)+G59,0)</f>
        <v>17881932</v>
      </c>
      <c r="I59" s="22">
        <v>0.1</v>
      </c>
      <c r="J59" s="21">
        <f t="shared" ref="J59:J68" si="40">ROUND((H59*I59),0)</f>
        <v>1788193</v>
      </c>
      <c r="K59" s="21">
        <f t="shared" ref="K59:K68" si="41">+H59+J59</f>
        <v>19670125</v>
      </c>
      <c r="L59" s="21">
        <f t="shared" ref="L59" si="42">+ROUND(K59*10%,0)</f>
        <v>1967013</v>
      </c>
      <c r="M59" s="21">
        <f t="shared" ref="M59:M68" si="43">+ROUND(L59*19%,0)</f>
        <v>373732</v>
      </c>
      <c r="N59" s="21">
        <f t="shared" ref="N59:N68" si="44">+ROUND(K59+L59+M59,0)</f>
        <v>22010870</v>
      </c>
      <c r="O59" s="21">
        <f>ROUND(((N59/30)*193),0)</f>
        <v>141603264</v>
      </c>
    </row>
    <row r="60" spans="1:15" ht="41.4" x14ac:dyDescent="0.3">
      <c r="A60" s="2" t="s">
        <v>13</v>
      </c>
      <c r="B60" s="3">
        <v>1</v>
      </c>
      <c r="C60" s="4" t="s">
        <v>28</v>
      </c>
      <c r="D60" s="18" t="s">
        <v>16</v>
      </c>
      <c r="E60" s="19" t="s">
        <v>15</v>
      </c>
      <c r="F60" s="20">
        <f t="shared" ref="F60:F68" si="45">$T$2</f>
        <v>1750905</v>
      </c>
      <c r="G60" s="20">
        <f>T5</f>
        <v>1731</v>
      </c>
      <c r="H60" s="21">
        <f>ROUND(((((((F60*10.21+G60)*47.59%)/30)*24)/15)*12),0)+ROUND(((((((F60*10.21+G60)*47.59%)/30)*4)/15)*6),0)</f>
        <v>5899132</v>
      </c>
      <c r="I60" s="22">
        <v>0.08</v>
      </c>
      <c r="J60" s="21">
        <f t="shared" si="40"/>
        <v>471931</v>
      </c>
      <c r="K60" s="21">
        <f t="shared" si="41"/>
        <v>6371063</v>
      </c>
      <c r="L60" s="21">
        <f>+ROUND(K60*8%,0)</f>
        <v>509685</v>
      </c>
      <c r="M60" s="21">
        <f t="shared" si="43"/>
        <v>96840</v>
      </c>
      <c r="N60" s="21">
        <f t="shared" si="44"/>
        <v>6977588</v>
      </c>
      <c r="O60" s="21">
        <f>ROUND(((N60/30)*193),0)</f>
        <v>44889149</v>
      </c>
    </row>
    <row r="61" spans="1:15" ht="27.6" x14ac:dyDescent="0.3">
      <c r="A61" s="2" t="s">
        <v>17</v>
      </c>
      <c r="B61" s="3">
        <v>1</v>
      </c>
      <c r="C61" s="4" t="s">
        <v>14</v>
      </c>
      <c r="D61" s="18" t="s">
        <v>15</v>
      </c>
      <c r="E61" s="19" t="s">
        <v>15</v>
      </c>
      <c r="F61" s="20">
        <f t="shared" si="45"/>
        <v>1750905</v>
      </c>
      <c r="G61" s="20">
        <f>$T$4</f>
        <v>5192</v>
      </c>
      <c r="H61" s="21">
        <f>ROUND((F61*10.21)+G61,0)</f>
        <v>17881932</v>
      </c>
      <c r="I61" s="22">
        <v>0.1</v>
      </c>
      <c r="J61" s="21">
        <f t="shared" si="40"/>
        <v>1788193</v>
      </c>
      <c r="K61" s="21">
        <f t="shared" si="41"/>
        <v>19670125</v>
      </c>
      <c r="L61" s="21">
        <f t="shared" ref="L61:L67" si="46">+ROUND(K61*10%,0)</f>
        <v>1967013</v>
      </c>
      <c r="M61" s="21">
        <f t="shared" si="43"/>
        <v>373732</v>
      </c>
      <c r="N61" s="21">
        <f t="shared" si="44"/>
        <v>22010870</v>
      </c>
      <c r="O61" s="21">
        <f t="shared" ref="O61:O67" si="47">ROUND(((N61/30)*193),0)</f>
        <v>141603264</v>
      </c>
    </row>
    <row r="62" spans="1:15" ht="27.6" x14ac:dyDescent="0.3">
      <c r="A62" s="2" t="s">
        <v>18</v>
      </c>
      <c r="B62" s="3">
        <v>1</v>
      </c>
      <c r="C62" s="4" t="s">
        <v>14</v>
      </c>
      <c r="D62" s="18" t="s">
        <v>15</v>
      </c>
      <c r="E62" s="19" t="s">
        <v>15</v>
      </c>
      <c r="F62" s="20">
        <f t="shared" si="45"/>
        <v>1750905</v>
      </c>
      <c r="G62" s="20">
        <f t="shared" ref="G62:G67" si="48">$T$4</f>
        <v>5192</v>
      </c>
      <c r="H62" s="21">
        <f t="shared" ref="H62:H67" si="49">ROUND((F62*10.21)+G62,0)</f>
        <v>17881932</v>
      </c>
      <c r="I62" s="22">
        <v>0.1</v>
      </c>
      <c r="J62" s="21">
        <f t="shared" si="40"/>
        <v>1788193</v>
      </c>
      <c r="K62" s="21">
        <f t="shared" si="41"/>
        <v>19670125</v>
      </c>
      <c r="L62" s="21">
        <f t="shared" si="46"/>
        <v>1967013</v>
      </c>
      <c r="M62" s="21">
        <f t="shared" si="43"/>
        <v>373732</v>
      </c>
      <c r="N62" s="21">
        <f t="shared" si="44"/>
        <v>22010870</v>
      </c>
      <c r="O62" s="21">
        <f t="shared" si="47"/>
        <v>141603264</v>
      </c>
    </row>
    <row r="63" spans="1:15" ht="27.6" x14ac:dyDescent="0.3">
      <c r="A63" s="2" t="s">
        <v>19</v>
      </c>
      <c r="B63" s="3">
        <v>1</v>
      </c>
      <c r="C63" s="4" t="s">
        <v>14</v>
      </c>
      <c r="D63" s="18" t="s">
        <v>15</v>
      </c>
      <c r="E63" s="19" t="s">
        <v>15</v>
      </c>
      <c r="F63" s="20">
        <f t="shared" si="45"/>
        <v>1750905</v>
      </c>
      <c r="G63" s="20">
        <f t="shared" si="48"/>
        <v>5192</v>
      </c>
      <c r="H63" s="21">
        <f t="shared" si="49"/>
        <v>17881932</v>
      </c>
      <c r="I63" s="22">
        <v>0.1</v>
      </c>
      <c r="J63" s="21">
        <f t="shared" si="40"/>
        <v>1788193</v>
      </c>
      <c r="K63" s="21">
        <f t="shared" si="41"/>
        <v>19670125</v>
      </c>
      <c r="L63" s="21">
        <f t="shared" si="46"/>
        <v>1967013</v>
      </c>
      <c r="M63" s="21">
        <f t="shared" si="43"/>
        <v>373732</v>
      </c>
      <c r="N63" s="21">
        <f t="shared" si="44"/>
        <v>22010870</v>
      </c>
      <c r="O63" s="21">
        <f t="shared" si="47"/>
        <v>141603264</v>
      </c>
    </row>
    <row r="64" spans="1:15" ht="27.6" x14ac:dyDescent="0.3">
      <c r="A64" s="2" t="s">
        <v>20</v>
      </c>
      <c r="B64" s="3">
        <v>1</v>
      </c>
      <c r="C64" s="4" t="s">
        <v>14</v>
      </c>
      <c r="D64" s="18" t="s">
        <v>15</v>
      </c>
      <c r="E64" s="19" t="s">
        <v>15</v>
      </c>
      <c r="F64" s="20">
        <f t="shared" si="45"/>
        <v>1750905</v>
      </c>
      <c r="G64" s="20">
        <f t="shared" si="48"/>
        <v>5192</v>
      </c>
      <c r="H64" s="21">
        <f t="shared" si="49"/>
        <v>17881932</v>
      </c>
      <c r="I64" s="22">
        <v>0.1</v>
      </c>
      <c r="J64" s="21">
        <f t="shared" si="40"/>
        <v>1788193</v>
      </c>
      <c r="K64" s="21">
        <f t="shared" si="41"/>
        <v>19670125</v>
      </c>
      <c r="L64" s="21">
        <f t="shared" si="46"/>
        <v>1967013</v>
      </c>
      <c r="M64" s="21">
        <f t="shared" si="43"/>
        <v>373732</v>
      </c>
      <c r="N64" s="21">
        <f t="shared" si="44"/>
        <v>22010870</v>
      </c>
      <c r="O64" s="21">
        <f t="shared" si="47"/>
        <v>141603264</v>
      </c>
    </row>
    <row r="65" spans="1:15" ht="27.6" x14ac:dyDescent="0.3">
      <c r="A65" s="2" t="s">
        <v>21</v>
      </c>
      <c r="B65" s="3">
        <v>1</v>
      </c>
      <c r="C65" s="4" t="s">
        <v>14</v>
      </c>
      <c r="D65" s="18" t="s">
        <v>15</v>
      </c>
      <c r="E65" s="19" t="s">
        <v>15</v>
      </c>
      <c r="F65" s="20">
        <f t="shared" si="45"/>
        <v>1750905</v>
      </c>
      <c r="G65" s="20">
        <f t="shared" si="48"/>
        <v>5192</v>
      </c>
      <c r="H65" s="21">
        <f t="shared" si="49"/>
        <v>17881932</v>
      </c>
      <c r="I65" s="22">
        <v>0.1</v>
      </c>
      <c r="J65" s="21">
        <f t="shared" si="40"/>
        <v>1788193</v>
      </c>
      <c r="K65" s="21">
        <f t="shared" si="41"/>
        <v>19670125</v>
      </c>
      <c r="L65" s="21">
        <f t="shared" si="46"/>
        <v>1967013</v>
      </c>
      <c r="M65" s="21">
        <f t="shared" si="43"/>
        <v>373732</v>
      </c>
      <c r="N65" s="21">
        <f t="shared" si="44"/>
        <v>22010870</v>
      </c>
      <c r="O65" s="21">
        <f t="shared" si="47"/>
        <v>141603264</v>
      </c>
    </row>
    <row r="66" spans="1:15" ht="27.6" x14ac:dyDescent="0.3">
      <c r="A66" s="2" t="s">
        <v>22</v>
      </c>
      <c r="B66" s="3">
        <v>1</v>
      </c>
      <c r="C66" s="4" t="s">
        <v>14</v>
      </c>
      <c r="D66" s="18" t="s">
        <v>15</v>
      </c>
      <c r="E66" s="19" t="s">
        <v>15</v>
      </c>
      <c r="F66" s="20">
        <f t="shared" si="45"/>
        <v>1750905</v>
      </c>
      <c r="G66" s="20">
        <f t="shared" si="48"/>
        <v>5192</v>
      </c>
      <c r="H66" s="21">
        <f t="shared" si="49"/>
        <v>17881932</v>
      </c>
      <c r="I66" s="22">
        <v>0.1</v>
      </c>
      <c r="J66" s="21">
        <f t="shared" si="40"/>
        <v>1788193</v>
      </c>
      <c r="K66" s="21">
        <f t="shared" si="41"/>
        <v>19670125</v>
      </c>
      <c r="L66" s="21">
        <f t="shared" si="46"/>
        <v>1967013</v>
      </c>
      <c r="M66" s="21">
        <f t="shared" si="43"/>
        <v>373732</v>
      </c>
      <c r="N66" s="21">
        <f t="shared" si="44"/>
        <v>22010870</v>
      </c>
      <c r="O66" s="21">
        <f t="shared" si="47"/>
        <v>141603264</v>
      </c>
    </row>
    <row r="67" spans="1:15" ht="27.6" x14ac:dyDescent="0.3">
      <c r="A67" s="2" t="s">
        <v>23</v>
      </c>
      <c r="B67" s="3">
        <v>1</v>
      </c>
      <c r="C67" s="4" t="s">
        <v>14</v>
      </c>
      <c r="D67" s="18" t="s">
        <v>15</v>
      </c>
      <c r="E67" s="19" t="s">
        <v>15</v>
      </c>
      <c r="F67" s="20">
        <f t="shared" si="45"/>
        <v>1750905</v>
      </c>
      <c r="G67" s="20">
        <f t="shared" si="48"/>
        <v>5192</v>
      </c>
      <c r="H67" s="21">
        <f t="shared" si="49"/>
        <v>17881932</v>
      </c>
      <c r="I67" s="22">
        <v>0.1</v>
      </c>
      <c r="J67" s="21">
        <f t="shared" si="40"/>
        <v>1788193</v>
      </c>
      <c r="K67" s="21">
        <f t="shared" si="41"/>
        <v>19670125</v>
      </c>
      <c r="L67" s="21">
        <f t="shared" si="46"/>
        <v>1967013</v>
      </c>
      <c r="M67" s="21">
        <f t="shared" si="43"/>
        <v>373732</v>
      </c>
      <c r="N67" s="21">
        <f t="shared" si="44"/>
        <v>22010870</v>
      </c>
      <c r="O67" s="21">
        <f t="shared" si="47"/>
        <v>141603264</v>
      </c>
    </row>
    <row r="68" spans="1:15" ht="41.4" x14ac:dyDescent="0.3">
      <c r="A68" s="2" t="s">
        <v>24</v>
      </c>
      <c r="B68" s="3">
        <v>1</v>
      </c>
      <c r="C68" s="4" t="s">
        <v>25</v>
      </c>
      <c r="D68" s="18" t="s">
        <v>16</v>
      </c>
      <c r="E68" s="19" t="s">
        <v>15</v>
      </c>
      <c r="F68" s="20">
        <f t="shared" si="45"/>
        <v>1750905</v>
      </c>
      <c r="G68" s="20">
        <f>T5</f>
        <v>1731</v>
      </c>
      <c r="H68" s="21">
        <f>ROUND(((((((F68*10.21+G68)*52.41%)/30)*30)/9)*9)+((((((F68*10.21+G68)*52.41%)/30)*30)/15)*3),0)</f>
        <v>11244128</v>
      </c>
      <c r="I68" s="22">
        <v>0.08</v>
      </c>
      <c r="J68" s="21">
        <f t="shared" si="40"/>
        <v>899530</v>
      </c>
      <c r="K68" s="21">
        <f t="shared" si="41"/>
        <v>12143658</v>
      </c>
      <c r="L68" s="21">
        <f>+ROUND(K68*8%,0)</f>
        <v>971493</v>
      </c>
      <c r="M68" s="21">
        <f t="shared" si="43"/>
        <v>184584</v>
      </c>
      <c r="N68" s="21">
        <f t="shared" si="44"/>
        <v>13299735</v>
      </c>
      <c r="O68" s="21">
        <f>ROUND(((N68/30)*193),0)</f>
        <v>85561629</v>
      </c>
    </row>
    <row r="69" spans="1:15" x14ac:dyDescent="0.3">
      <c r="A69" s="80" t="s">
        <v>29</v>
      </c>
      <c r="B69" s="80"/>
      <c r="C69" s="80"/>
      <c r="D69" s="80"/>
      <c r="E69" s="80"/>
      <c r="F69" s="8">
        <f>SUM(F59:F68)</f>
        <v>17509050</v>
      </c>
      <c r="G69" s="8">
        <f t="shared" ref="G69:H69" si="50">SUM(G59:G68)</f>
        <v>44998</v>
      </c>
      <c r="H69" s="8">
        <f t="shared" si="50"/>
        <v>160198716</v>
      </c>
      <c r="I69" s="8"/>
      <c r="J69" s="8">
        <f t="shared" ref="J69:O69" si="51">SUM(J59:J68)</f>
        <v>15677005</v>
      </c>
      <c r="K69" s="8">
        <f t="shared" si="51"/>
        <v>175875721</v>
      </c>
      <c r="L69" s="8">
        <f t="shared" si="51"/>
        <v>17217282</v>
      </c>
      <c r="M69" s="8">
        <f t="shared" si="51"/>
        <v>3271280</v>
      </c>
      <c r="N69" s="8">
        <f t="shared" si="51"/>
        <v>196364283</v>
      </c>
      <c r="O69" s="9">
        <f t="shared" si="51"/>
        <v>1263276890</v>
      </c>
    </row>
    <row r="70" spans="1:15" x14ac:dyDescent="0.3">
      <c r="A70" s="10"/>
      <c r="B70" s="10"/>
      <c r="C70" s="10"/>
      <c r="D70" s="10"/>
      <c r="E70" s="10"/>
      <c r="F70" s="5"/>
      <c r="G70" s="5"/>
      <c r="H70" s="5"/>
      <c r="I70" s="5"/>
      <c r="J70" s="5"/>
      <c r="K70" s="5"/>
      <c r="L70" s="5"/>
      <c r="M70" s="5"/>
      <c r="N70" s="5"/>
      <c r="O70" s="7"/>
    </row>
    <row r="71" spans="1:15" ht="15" customHeight="1" x14ac:dyDescent="0.3">
      <c r="A71" s="84" t="s">
        <v>111</v>
      </c>
      <c r="B71" s="84"/>
      <c r="C71" s="84"/>
      <c r="D71" s="84"/>
      <c r="E71" s="84"/>
      <c r="F71" s="84"/>
      <c r="G71" s="84"/>
      <c r="H71" s="84"/>
      <c r="I71" s="84"/>
      <c r="J71" s="84"/>
      <c r="K71" s="84"/>
      <c r="L71" s="84"/>
      <c r="M71" s="84"/>
      <c r="N71" s="84"/>
      <c r="O71" s="86">
        <f>SUM(O19,O36,O69)</f>
        <v>1558378045</v>
      </c>
    </row>
    <row r="72" spans="1:15" ht="15" customHeight="1" x14ac:dyDescent="0.3">
      <c r="A72" s="84"/>
      <c r="B72" s="84"/>
      <c r="C72" s="84"/>
      <c r="D72" s="84"/>
      <c r="E72" s="84"/>
      <c r="F72" s="84"/>
      <c r="G72" s="84"/>
      <c r="H72" s="84"/>
      <c r="I72" s="84"/>
      <c r="J72" s="84"/>
      <c r="K72" s="84"/>
      <c r="L72" s="84"/>
      <c r="M72" s="84"/>
      <c r="N72" s="84"/>
      <c r="O72" s="87"/>
    </row>
    <row r="73" spans="1:15" x14ac:dyDescent="0.3">
      <c r="N73" s="5"/>
    </row>
  </sheetData>
  <mergeCells count="72">
    <mergeCell ref="E3:I4"/>
    <mergeCell ref="H23:H25"/>
    <mergeCell ref="N23:N25"/>
    <mergeCell ref="I23:I25"/>
    <mergeCell ref="J23:J25"/>
    <mergeCell ref="K23:K25"/>
    <mergeCell ref="L23:L25"/>
    <mergeCell ref="M23:M25"/>
    <mergeCell ref="G23:G25"/>
    <mergeCell ref="O23:O25"/>
    <mergeCell ref="O71:O72"/>
    <mergeCell ref="A1:O2"/>
    <mergeCell ref="O6:O8"/>
    <mergeCell ref="A5:O5"/>
    <mergeCell ref="M6:M8"/>
    <mergeCell ref="N6:N8"/>
    <mergeCell ref="A36:E36"/>
    <mergeCell ref="A22:O22"/>
    <mergeCell ref="A23:A25"/>
    <mergeCell ref="B23:B25"/>
    <mergeCell ref="C23:C25"/>
    <mergeCell ref="D23:D25"/>
    <mergeCell ref="E23:E25"/>
    <mergeCell ref="F23:F25"/>
    <mergeCell ref="O39:O41"/>
    <mergeCell ref="A71:N72"/>
    <mergeCell ref="J6:J8"/>
    <mergeCell ref="K6:K8"/>
    <mergeCell ref="L6:L8"/>
    <mergeCell ref="A52:E52"/>
    <mergeCell ref="F6:F8"/>
    <mergeCell ref="G6:G8"/>
    <mergeCell ref="H6:H8"/>
    <mergeCell ref="I6:I8"/>
    <mergeCell ref="A19:E19"/>
    <mergeCell ref="A6:A8"/>
    <mergeCell ref="B6:B8"/>
    <mergeCell ref="C6:C8"/>
    <mergeCell ref="D6:D8"/>
    <mergeCell ref="E6:E8"/>
    <mergeCell ref="A38:O38"/>
    <mergeCell ref="A39:A41"/>
    <mergeCell ref="B39:B41"/>
    <mergeCell ref="C39:C41"/>
    <mergeCell ref="D39:D41"/>
    <mergeCell ref="E39:E41"/>
    <mergeCell ref="F39:F41"/>
    <mergeCell ref="G39:G41"/>
    <mergeCell ref="H39:H41"/>
    <mergeCell ref="I39:I41"/>
    <mergeCell ref="J39:J41"/>
    <mergeCell ref="O56:O58"/>
    <mergeCell ref="K39:K41"/>
    <mergeCell ref="L39:L41"/>
    <mergeCell ref="M39:M41"/>
    <mergeCell ref="N39:N41"/>
    <mergeCell ref="A69:E69"/>
    <mergeCell ref="A55:O55"/>
    <mergeCell ref="A56:A58"/>
    <mergeCell ref="B56:B58"/>
    <mergeCell ref="C56:C58"/>
    <mergeCell ref="D56:D58"/>
    <mergeCell ref="E56:E58"/>
    <mergeCell ref="F56:F58"/>
    <mergeCell ref="G56:G58"/>
    <mergeCell ref="H56:H58"/>
    <mergeCell ref="I56:I58"/>
    <mergeCell ref="J56:J58"/>
    <mergeCell ref="K56:K58"/>
    <mergeCell ref="L56:L58"/>
    <mergeCell ref="M56:M58"/>
    <mergeCell ref="N56:N5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86E8B-976B-429F-8411-313755D37E94}">
  <dimension ref="A1:V34"/>
  <sheetViews>
    <sheetView topLeftCell="J14" zoomScale="70" zoomScaleNormal="70" workbookViewId="0">
      <selection activeCell="P37" sqref="P37"/>
    </sheetView>
  </sheetViews>
  <sheetFormatPr baseColWidth="10" defaultColWidth="11.44140625" defaultRowHeight="13.8" x14ac:dyDescent="0.3"/>
  <cols>
    <col min="1" max="1" width="35.5546875" style="31" customWidth="1"/>
    <col min="2" max="2" width="82.109375" style="70" customWidth="1"/>
    <col min="3" max="3" width="38.6640625" style="31" customWidth="1"/>
    <col min="4" max="7" width="18.109375" style="31" customWidth="1"/>
    <col min="8" max="8" width="20.33203125" style="71" customWidth="1"/>
    <col min="9" max="11" width="18.109375" style="71" customWidth="1"/>
    <col min="12" max="12" width="23.33203125" style="71" customWidth="1"/>
    <col min="13" max="15" width="18.109375" style="71" customWidth="1"/>
    <col min="16" max="16" width="23" style="71" customWidth="1"/>
    <col min="17" max="20" width="18.109375" style="71" customWidth="1"/>
    <col min="21" max="21" width="23.44140625" style="72" customWidth="1"/>
    <col min="22" max="22" width="37.109375" style="31" bestFit="1" customWidth="1"/>
    <col min="23" max="16384" width="11.44140625" style="31"/>
  </cols>
  <sheetData>
    <row r="1" spans="1:22" x14ac:dyDescent="0.3">
      <c r="A1" s="93" t="s">
        <v>41</v>
      </c>
      <c r="B1" s="93"/>
      <c r="C1" s="93"/>
      <c r="D1" s="93"/>
      <c r="E1" s="93"/>
      <c r="F1" s="93"/>
      <c r="G1" s="93"/>
      <c r="H1" s="93"/>
      <c r="I1" s="93"/>
      <c r="J1" s="93"/>
      <c r="K1" s="93"/>
      <c r="L1" s="93"/>
      <c r="M1" s="93"/>
      <c r="N1" s="93"/>
      <c r="O1" s="93"/>
      <c r="P1" s="93"/>
      <c r="Q1" s="93"/>
      <c r="R1" s="93"/>
      <c r="S1" s="93"/>
      <c r="T1" s="93"/>
      <c r="U1" s="93"/>
    </row>
    <row r="2" spans="1:22" x14ac:dyDescent="0.3">
      <c r="A2" s="93"/>
      <c r="B2" s="93"/>
      <c r="C2" s="93"/>
      <c r="D2" s="93"/>
      <c r="E2" s="93"/>
      <c r="F2" s="93"/>
      <c r="G2" s="93"/>
      <c r="H2" s="93"/>
      <c r="I2" s="93"/>
      <c r="J2" s="93"/>
      <c r="K2" s="93"/>
      <c r="L2" s="93"/>
      <c r="M2" s="93"/>
      <c r="N2" s="93"/>
      <c r="O2" s="93"/>
      <c r="P2" s="93"/>
      <c r="Q2" s="93"/>
      <c r="R2" s="93"/>
      <c r="S2" s="93"/>
      <c r="T2" s="93"/>
      <c r="U2" s="93"/>
    </row>
    <row r="3" spans="1:22" x14ac:dyDescent="0.3">
      <c r="A3" s="94"/>
      <c r="B3" s="94"/>
      <c r="C3" s="94"/>
      <c r="D3" s="94"/>
      <c r="E3" s="94"/>
      <c r="F3" s="94"/>
      <c r="G3" s="94"/>
      <c r="H3" s="94"/>
      <c r="I3" s="94"/>
      <c r="J3" s="94"/>
      <c r="K3" s="94"/>
      <c r="L3" s="94"/>
      <c r="M3" s="94"/>
      <c r="N3" s="94"/>
      <c r="O3" s="94"/>
      <c r="P3" s="94"/>
      <c r="Q3" s="94"/>
      <c r="R3" s="94"/>
      <c r="S3" s="94"/>
      <c r="T3" s="94"/>
      <c r="U3" s="94"/>
    </row>
    <row r="4" spans="1:22" x14ac:dyDescent="0.3">
      <c r="A4" s="95" t="s">
        <v>42</v>
      </c>
      <c r="B4" s="95" t="s">
        <v>43</v>
      </c>
      <c r="C4" s="95" t="s">
        <v>44</v>
      </c>
      <c r="D4" s="95" t="s">
        <v>1</v>
      </c>
      <c r="E4" s="96" t="s">
        <v>45</v>
      </c>
      <c r="F4" s="97"/>
      <c r="G4" s="97"/>
      <c r="H4" s="98"/>
      <c r="I4" s="99" t="s">
        <v>46</v>
      </c>
      <c r="J4" s="100"/>
      <c r="K4" s="100"/>
      <c r="L4" s="101"/>
      <c r="M4" s="102" t="s">
        <v>47</v>
      </c>
      <c r="N4" s="103"/>
      <c r="O4" s="103"/>
      <c r="P4" s="104"/>
      <c r="Q4" s="105" t="s">
        <v>48</v>
      </c>
      <c r="R4" s="105" t="s">
        <v>49</v>
      </c>
      <c r="S4" s="105" t="s">
        <v>50</v>
      </c>
      <c r="T4" s="105" t="s">
        <v>51</v>
      </c>
      <c r="U4" s="107" t="s">
        <v>52</v>
      </c>
      <c r="V4" s="108" t="s">
        <v>105</v>
      </c>
    </row>
    <row r="5" spans="1:22" ht="36" x14ac:dyDescent="0.3">
      <c r="A5" s="95"/>
      <c r="B5" s="95"/>
      <c r="C5" s="95"/>
      <c r="D5" s="95"/>
      <c r="E5" s="32" t="s">
        <v>53</v>
      </c>
      <c r="F5" s="32" t="s">
        <v>54</v>
      </c>
      <c r="G5" s="32" t="s">
        <v>55</v>
      </c>
      <c r="H5" s="33" t="s">
        <v>56</v>
      </c>
      <c r="I5" s="34" t="s">
        <v>53</v>
      </c>
      <c r="J5" s="34" t="s">
        <v>54</v>
      </c>
      <c r="K5" s="34" t="s">
        <v>55</v>
      </c>
      <c r="L5" s="35" t="s">
        <v>56</v>
      </c>
      <c r="M5" s="36" t="s">
        <v>53</v>
      </c>
      <c r="N5" s="36" t="s">
        <v>54</v>
      </c>
      <c r="O5" s="36" t="s">
        <v>55</v>
      </c>
      <c r="P5" s="37" t="s">
        <v>57</v>
      </c>
      <c r="Q5" s="106"/>
      <c r="R5" s="106"/>
      <c r="S5" s="106"/>
      <c r="T5" s="106"/>
      <c r="U5" s="107"/>
      <c r="V5" s="108"/>
    </row>
    <row r="6" spans="1:22" ht="159.6" x14ac:dyDescent="0.3">
      <c r="A6" s="109" t="s">
        <v>58</v>
      </c>
      <c r="B6" s="39" t="s">
        <v>59</v>
      </c>
      <c r="C6" s="40" t="s">
        <v>60</v>
      </c>
      <c r="D6" s="41">
        <v>3</v>
      </c>
      <c r="E6" s="42">
        <v>126500</v>
      </c>
      <c r="F6" s="42">
        <f>+E6*19%</f>
        <v>24035</v>
      </c>
      <c r="G6" s="42">
        <f>E6+F6</f>
        <v>150535</v>
      </c>
      <c r="H6" s="42">
        <f>G6*D6</f>
        <v>451605</v>
      </c>
      <c r="I6" s="43">
        <v>116667</v>
      </c>
      <c r="J6" s="43">
        <f>I6*19%</f>
        <v>22166.73</v>
      </c>
      <c r="K6" s="43">
        <f>I6+J6</f>
        <v>138833.73000000001</v>
      </c>
      <c r="L6" s="43">
        <f>K6*D6</f>
        <v>416501.19000000006</v>
      </c>
      <c r="M6" s="44">
        <v>1357395.4661111115</v>
      </c>
      <c r="N6" s="44">
        <f>M6*19%</f>
        <v>257905.13856111118</v>
      </c>
      <c r="O6" s="44">
        <f>M6+N6</f>
        <v>1615300.6046722226</v>
      </c>
      <c r="P6" s="44">
        <f>O6*D6</f>
        <v>4845901.8140166681</v>
      </c>
      <c r="Q6" s="45">
        <f t="shared" ref="Q6:Q26" si="0">AVERAGE(H6,L6,P6)</f>
        <v>1904669.3346722228</v>
      </c>
      <c r="R6" s="45">
        <f t="shared" ref="R6:R26" si="1">+STDEV(H6,L6,P6)</f>
        <v>2547242.5174160656</v>
      </c>
      <c r="S6" s="45">
        <f t="shared" ref="S6:S28" si="2">+ROUND(Q6+R6,0)</f>
        <v>4451912</v>
      </c>
      <c r="T6" s="45">
        <f>+ROUND(Q6-R6,0)*-1</f>
        <v>642573</v>
      </c>
      <c r="U6" s="46">
        <f>AVERAGE(H6,L6)</f>
        <v>434053.09500000003</v>
      </c>
      <c r="V6" s="47">
        <f>+U6*8</f>
        <v>3472424.7600000002</v>
      </c>
    </row>
    <row r="7" spans="1:22" x14ac:dyDescent="0.3">
      <c r="A7" s="109"/>
      <c r="B7" s="110" t="s">
        <v>61</v>
      </c>
      <c r="C7" s="110"/>
      <c r="D7" s="110"/>
      <c r="E7" s="48"/>
      <c r="F7" s="48"/>
      <c r="G7" s="48"/>
      <c r="H7" s="48">
        <f t="shared" ref="H7" si="3">+H6</f>
        <v>451605</v>
      </c>
      <c r="I7" s="49"/>
      <c r="J7" s="49"/>
      <c r="K7" s="49"/>
      <c r="L7" s="49">
        <f>L6</f>
        <v>416501.19000000006</v>
      </c>
      <c r="M7" s="50"/>
      <c r="N7" s="50"/>
      <c r="O7" s="50"/>
      <c r="P7" s="50">
        <f>P6</f>
        <v>4845901.8140166681</v>
      </c>
      <c r="Q7" s="51"/>
      <c r="R7" s="51"/>
      <c r="S7" s="51"/>
      <c r="T7" s="51"/>
      <c r="U7" s="52"/>
      <c r="V7" s="53">
        <f>V6</f>
        <v>3472424.7600000002</v>
      </c>
    </row>
    <row r="8" spans="1:22" x14ac:dyDescent="0.3">
      <c r="A8" s="109" t="s">
        <v>62</v>
      </c>
      <c r="B8" s="54" t="s">
        <v>63</v>
      </c>
      <c r="C8" s="109" t="s">
        <v>64</v>
      </c>
      <c r="D8" s="109">
        <v>1</v>
      </c>
      <c r="E8" s="42">
        <v>347000</v>
      </c>
      <c r="F8" s="42">
        <f>+E8*19%</f>
        <v>65930</v>
      </c>
      <c r="G8" s="42">
        <f>E8+F8</f>
        <v>412930</v>
      </c>
      <c r="H8" s="42">
        <f>G8*$D$8</f>
        <v>412930</v>
      </c>
      <c r="I8" s="43">
        <v>241667</v>
      </c>
      <c r="J8" s="43">
        <f>I8*19%</f>
        <v>45916.73</v>
      </c>
      <c r="K8" s="43">
        <f>I8+J8</f>
        <v>287583.73</v>
      </c>
      <c r="L8" s="43">
        <f>K8*$D$8</f>
        <v>287583.73</v>
      </c>
      <c r="M8" s="44">
        <v>631175.91127384896</v>
      </c>
      <c r="N8" s="44">
        <f t="shared" ref="N8:N28" si="4">M8*19%</f>
        <v>119923.4231420313</v>
      </c>
      <c r="O8" s="44">
        <f t="shared" ref="O8:O28" si="5">M8+N8</f>
        <v>751099.33441588026</v>
      </c>
      <c r="P8" s="44">
        <f>O8*$D$8</f>
        <v>751099.33441588026</v>
      </c>
      <c r="Q8" s="55">
        <f t="shared" si="0"/>
        <v>483871.02147196006</v>
      </c>
      <c r="R8" s="55">
        <f t="shared" si="1"/>
        <v>239762.69576368324</v>
      </c>
      <c r="S8" s="55">
        <f t="shared" si="2"/>
        <v>723634</v>
      </c>
      <c r="T8" s="55">
        <f t="shared" ref="T8:T25" si="6">+ROUND(Q8-R8,0)</f>
        <v>244108</v>
      </c>
      <c r="U8" s="46">
        <f>AVERAGE(H8,L8)</f>
        <v>350256.86499999999</v>
      </c>
      <c r="V8" s="47">
        <f>+U8*8</f>
        <v>2802054.92</v>
      </c>
    </row>
    <row r="9" spans="1:22" x14ac:dyDescent="0.3">
      <c r="A9" s="109"/>
      <c r="B9" s="54" t="s">
        <v>65</v>
      </c>
      <c r="C9" s="109"/>
      <c r="D9" s="109"/>
      <c r="E9" s="42">
        <v>26500</v>
      </c>
      <c r="F9" s="42">
        <f>+E9*19%</f>
        <v>5035</v>
      </c>
      <c r="G9" s="42">
        <f t="shared" ref="G9:G11" si="7">E9+F9</f>
        <v>31535</v>
      </c>
      <c r="H9" s="42">
        <f t="shared" ref="H9:H11" si="8">G9*$D$8</f>
        <v>31535</v>
      </c>
      <c r="I9" s="43">
        <v>3333</v>
      </c>
      <c r="J9" s="43">
        <f t="shared" ref="J9:J11" si="9">I9*19%</f>
        <v>633.27</v>
      </c>
      <c r="K9" s="43">
        <f t="shared" ref="K9:K11" si="10">I9+J9</f>
        <v>3966.27</v>
      </c>
      <c r="L9" s="43">
        <f t="shared" ref="L9:L11" si="11">K9*$D$8</f>
        <v>3966.27</v>
      </c>
      <c r="M9" s="44">
        <v>36347.238875263705</v>
      </c>
      <c r="N9" s="44">
        <f t="shared" si="4"/>
        <v>6905.9753863001042</v>
      </c>
      <c r="O9" s="44">
        <f t="shared" si="5"/>
        <v>43253.214261563808</v>
      </c>
      <c r="P9" s="44">
        <f t="shared" ref="P9:P11" si="12">O9*$D$8</f>
        <v>43253.214261563808</v>
      </c>
      <c r="Q9" s="55">
        <f t="shared" si="0"/>
        <v>26251.4947538546</v>
      </c>
      <c r="R9" s="55">
        <f t="shared" si="1"/>
        <v>20169.347240734882</v>
      </c>
      <c r="S9" s="55">
        <f t="shared" si="2"/>
        <v>46421</v>
      </c>
      <c r="T9" s="55">
        <f t="shared" si="6"/>
        <v>6082</v>
      </c>
      <c r="U9" s="46">
        <f>AVERAGE(H9,P9)</f>
        <v>37394.107130781907</v>
      </c>
      <c r="V9" s="47">
        <f t="shared" ref="V9:V11" si="13">+U9*8</f>
        <v>299152.85704625526</v>
      </c>
    </row>
    <row r="10" spans="1:22" x14ac:dyDescent="0.3">
      <c r="A10" s="109"/>
      <c r="B10" s="54" t="s">
        <v>66</v>
      </c>
      <c r="C10" s="109"/>
      <c r="D10" s="109"/>
      <c r="E10" s="42">
        <v>32000</v>
      </c>
      <c r="F10" s="42">
        <f>+E10*19%</f>
        <v>6080</v>
      </c>
      <c r="G10" s="42">
        <f t="shared" si="7"/>
        <v>38080</v>
      </c>
      <c r="H10" s="42">
        <f t="shared" si="8"/>
        <v>38080</v>
      </c>
      <c r="I10" s="43">
        <v>13333</v>
      </c>
      <c r="J10" s="43">
        <f t="shared" si="9"/>
        <v>2533.27</v>
      </c>
      <c r="K10" s="43">
        <f t="shared" si="10"/>
        <v>15866.27</v>
      </c>
      <c r="L10" s="43">
        <f t="shared" si="11"/>
        <v>15866.27</v>
      </c>
      <c r="M10" s="44">
        <v>14963.611329993901</v>
      </c>
      <c r="N10" s="44">
        <f t="shared" si="4"/>
        <v>2843.086152698841</v>
      </c>
      <c r="O10" s="44">
        <f t="shared" si="5"/>
        <v>17806.69748269274</v>
      </c>
      <c r="P10" s="44">
        <f t="shared" si="12"/>
        <v>17806.69748269274</v>
      </c>
      <c r="Q10" s="55">
        <f t="shared" si="0"/>
        <v>23917.655827564246</v>
      </c>
      <c r="R10" s="55">
        <f t="shared" si="1"/>
        <v>12303.264162318515</v>
      </c>
      <c r="S10" s="55">
        <f t="shared" si="2"/>
        <v>36221</v>
      </c>
      <c r="T10" s="55">
        <f t="shared" si="6"/>
        <v>11614</v>
      </c>
      <c r="U10" s="46">
        <f>AVERAGE(L10,P10)</f>
        <v>16836.483741346368</v>
      </c>
      <c r="V10" s="47">
        <f t="shared" si="13"/>
        <v>134691.86993077095</v>
      </c>
    </row>
    <row r="11" spans="1:22" ht="34.200000000000003" x14ac:dyDescent="0.3">
      <c r="A11" s="109"/>
      <c r="B11" s="40" t="s">
        <v>67</v>
      </c>
      <c r="C11" s="109"/>
      <c r="D11" s="109"/>
      <c r="E11" s="42">
        <v>286200</v>
      </c>
      <c r="F11" s="42">
        <f>+E11*19%</f>
        <v>54378</v>
      </c>
      <c r="G11" s="42">
        <f t="shared" si="7"/>
        <v>340578</v>
      </c>
      <c r="H11" s="42">
        <f t="shared" si="8"/>
        <v>340578</v>
      </c>
      <c r="I11" s="43">
        <v>207158</v>
      </c>
      <c r="J11" s="43">
        <f t="shared" si="9"/>
        <v>39360.020000000004</v>
      </c>
      <c r="K11" s="43">
        <f t="shared" si="10"/>
        <v>246518.02000000002</v>
      </c>
      <c r="L11" s="43">
        <f t="shared" si="11"/>
        <v>246518.02000000002</v>
      </c>
      <c r="M11" s="44">
        <v>263057.9196600159</v>
      </c>
      <c r="N11" s="44">
        <f t="shared" si="4"/>
        <v>49981.004735403025</v>
      </c>
      <c r="O11" s="44">
        <f t="shared" si="5"/>
        <v>313038.92439541896</v>
      </c>
      <c r="P11" s="44">
        <f t="shared" si="12"/>
        <v>313038.92439541896</v>
      </c>
      <c r="Q11" s="55">
        <f t="shared" si="0"/>
        <v>300044.98146513966</v>
      </c>
      <c r="R11" s="55">
        <f t="shared" si="1"/>
        <v>48357.542059709725</v>
      </c>
      <c r="S11" s="55">
        <f t="shared" si="2"/>
        <v>348403</v>
      </c>
      <c r="T11" s="55">
        <f t="shared" si="6"/>
        <v>251687</v>
      </c>
      <c r="U11" s="46">
        <f>AVERAGE(L11,P11)</f>
        <v>279778.47219770949</v>
      </c>
      <c r="V11" s="47">
        <f t="shared" si="13"/>
        <v>2238227.7775816759</v>
      </c>
    </row>
    <row r="12" spans="1:22" x14ac:dyDescent="0.3">
      <c r="A12" s="109"/>
      <c r="B12" s="110" t="s">
        <v>68</v>
      </c>
      <c r="C12" s="110"/>
      <c r="D12" s="110"/>
      <c r="E12" s="48"/>
      <c r="F12" s="48"/>
      <c r="G12" s="48"/>
      <c r="H12" s="48">
        <f t="shared" ref="H12" si="14">SUM(H8:H11)</f>
        <v>823123</v>
      </c>
      <c r="I12" s="49"/>
      <c r="J12" s="49"/>
      <c r="K12" s="49"/>
      <c r="L12" s="49">
        <f>SUM(L8:L11)</f>
        <v>553934.29</v>
      </c>
      <c r="M12" s="50"/>
      <c r="N12" s="50"/>
      <c r="O12" s="50"/>
      <c r="P12" s="50">
        <f>SUM(P8:P11)</f>
        <v>1125198.1705555557</v>
      </c>
      <c r="Q12" s="51"/>
      <c r="R12" s="51"/>
      <c r="S12" s="51"/>
      <c r="T12" s="51"/>
      <c r="U12" s="52"/>
      <c r="V12" s="53">
        <f>SUM(V8:V11)</f>
        <v>5474127.4245587019</v>
      </c>
    </row>
    <row r="13" spans="1:22" ht="171" x14ac:dyDescent="0.3">
      <c r="A13" s="109" t="s">
        <v>69</v>
      </c>
      <c r="B13" s="40" t="s">
        <v>70</v>
      </c>
      <c r="C13" s="40" t="s">
        <v>71</v>
      </c>
      <c r="D13" s="38">
        <v>9</v>
      </c>
      <c r="E13" s="42">
        <v>320100</v>
      </c>
      <c r="F13" s="42">
        <f>+E13*19%</f>
        <v>60819</v>
      </c>
      <c r="G13" s="42">
        <f>F13+E13</f>
        <v>380919</v>
      </c>
      <c r="H13" s="42">
        <f>G13*D13</f>
        <v>3428271</v>
      </c>
      <c r="I13" s="43">
        <v>941667</v>
      </c>
      <c r="J13" s="43">
        <f>I13*19%</f>
        <v>178916.73</v>
      </c>
      <c r="K13" s="43">
        <f>I13+J13</f>
        <v>1120583.73</v>
      </c>
      <c r="L13" s="43">
        <f>K13*D13</f>
        <v>10085253.57</v>
      </c>
      <c r="M13" s="44">
        <v>360076.60414836818</v>
      </c>
      <c r="N13" s="44">
        <f t="shared" si="4"/>
        <v>68414.554788189955</v>
      </c>
      <c r="O13" s="44">
        <f t="shared" si="5"/>
        <v>428491.15893655812</v>
      </c>
      <c r="P13" s="44">
        <f>O13*D13</f>
        <v>3856420.4304290232</v>
      </c>
      <c r="Q13" s="55">
        <f t="shared" si="0"/>
        <v>5789981.6668096744</v>
      </c>
      <c r="R13" s="55">
        <f t="shared" si="1"/>
        <v>3725969.4745725398</v>
      </c>
      <c r="S13" s="55">
        <f t="shared" si="2"/>
        <v>9515951</v>
      </c>
      <c r="T13" s="55">
        <f t="shared" si="6"/>
        <v>2064012</v>
      </c>
      <c r="U13" s="46">
        <f>AVERAGE(H13,P13)</f>
        <v>3642345.7152145114</v>
      </c>
      <c r="V13" s="47">
        <f>+U13*8</f>
        <v>29138765.721716091</v>
      </c>
    </row>
    <row r="14" spans="1:22" x14ac:dyDescent="0.3">
      <c r="A14" s="109"/>
      <c r="B14" s="54" t="s">
        <v>72</v>
      </c>
      <c r="C14" s="54" t="s">
        <v>73</v>
      </c>
      <c r="D14" s="38">
        <v>8</v>
      </c>
      <c r="E14" s="42">
        <v>72800</v>
      </c>
      <c r="F14" s="42">
        <f>+E14*19%</f>
        <v>13832</v>
      </c>
      <c r="G14" s="42">
        <f t="shared" ref="G14:G16" si="15">F14+E14</f>
        <v>86632</v>
      </c>
      <c r="H14" s="42">
        <f t="shared" ref="H14:H16" si="16">G14*D14</f>
        <v>693056</v>
      </c>
      <c r="I14" s="43">
        <v>51917</v>
      </c>
      <c r="J14" s="43">
        <f t="shared" ref="J14:J16" si="17">I14*19%</f>
        <v>9864.23</v>
      </c>
      <c r="K14" s="43">
        <f t="shared" ref="K14:K16" si="18">I14+J14</f>
        <v>61781.229999999996</v>
      </c>
      <c r="L14" s="43">
        <f t="shared" ref="L14:L16" si="19">K14*D14</f>
        <v>494249.83999999997</v>
      </c>
      <c r="M14" s="44">
        <v>663180.47335429082</v>
      </c>
      <c r="N14" s="44">
        <f t="shared" si="4"/>
        <v>126004.28993731526</v>
      </c>
      <c r="O14" s="44">
        <f t="shared" si="5"/>
        <v>789184.7632916061</v>
      </c>
      <c r="P14" s="44">
        <f t="shared" ref="P14:P16" si="20">O14*D14</f>
        <v>6313478.1063328488</v>
      </c>
      <c r="Q14" s="55">
        <f t="shared" si="0"/>
        <v>2500261.3154442827</v>
      </c>
      <c r="R14" s="55">
        <f t="shared" si="1"/>
        <v>3303838.3273170851</v>
      </c>
      <c r="S14" s="55">
        <f t="shared" si="2"/>
        <v>5804100</v>
      </c>
      <c r="T14" s="55">
        <f>+ROUND(Q14-R14,0)*-1</f>
        <v>803577</v>
      </c>
      <c r="U14" s="46">
        <f>AVERAGE(H14,L14)</f>
        <v>593652.91999999993</v>
      </c>
      <c r="V14" s="47">
        <f t="shared" ref="V14:V16" si="21">+U14*8</f>
        <v>4749223.3599999994</v>
      </c>
    </row>
    <row r="15" spans="1:22" ht="22.8" x14ac:dyDescent="0.3">
      <c r="A15" s="109"/>
      <c r="B15" s="40" t="s">
        <v>74</v>
      </c>
      <c r="C15" s="40" t="s">
        <v>73</v>
      </c>
      <c r="D15" s="38">
        <v>75</v>
      </c>
      <c r="E15" s="42">
        <v>120300</v>
      </c>
      <c r="F15" s="42">
        <f>+E15*19%</f>
        <v>22857</v>
      </c>
      <c r="G15" s="42">
        <f t="shared" si="15"/>
        <v>143157</v>
      </c>
      <c r="H15" s="42">
        <f t="shared" si="16"/>
        <v>10736775</v>
      </c>
      <c r="I15" s="43">
        <v>24917</v>
      </c>
      <c r="J15" s="43">
        <f t="shared" si="17"/>
        <v>4734.2300000000005</v>
      </c>
      <c r="K15" s="43">
        <f t="shared" si="18"/>
        <v>29651.23</v>
      </c>
      <c r="L15" s="43">
        <f t="shared" si="19"/>
        <v>2223842.25</v>
      </c>
      <c r="M15" s="44">
        <v>21765.9789519718</v>
      </c>
      <c r="N15" s="44">
        <f t="shared" si="4"/>
        <v>4135.536000874642</v>
      </c>
      <c r="O15" s="44">
        <f t="shared" si="5"/>
        <v>25901.514952846443</v>
      </c>
      <c r="P15" s="44">
        <f t="shared" si="20"/>
        <v>1942613.6214634832</v>
      </c>
      <c r="Q15" s="55">
        <f t="shared" si="0"/>
        <v>4967743.6238211608</v>
      </c>
      <c r="R15" s="55">
        <f t="shared" si="1"/>
        <v>4998106.1063045729</v>
      </c>
      <c r="S15" s="55">
        <f t="shared" si="2"/>
        <v>9965850</v>
      </c>
      <c r="T15" s="55">
        <f>+ROUND(Q15-R15,0)*-1</f>
        <v>30362</v>
      </c>
      <c r="U15" s="46">
        <f>AVERAGE(L15,P15)</f>
        <v>2083227.9357317416</v>
      </c>
      <c r="V15" s="47">
        <f t="shared" si="21"/>
        <v>16665823.485853933</v>
      </c>
    </row>
    <row r="16" spans="1:22" ht="34.200000000000003" x14ac:dyDescent="0.3">
      <c r="A16" s="109"/>
      <c r="B16" s="40" t="s">
        <v>75</v>
      </c>
      <c r="C16" s="40" t="s">
        <v>73</v>
      </c>
      <c r="D16" s="38">
        <v>8</v>
      </c>
      <c r="E16" s="42">
        <v>121000</v>
      </c>
      <c r="F16" s="42">
        <f>+E16*19%</f>
        <v>22990</v>
      </c>
      <c r="G16" s="42">
        <f t="shared" si="15"/>
        <v>143990</v>
      </c>
      <c r="H16" s="42">
        <f t="shared" si="16"/>
        <v>1151920</v>
      </c>
      <c r="I16" s="43">
        <v>26250</v>
      </c>
      <c r="J16" s="43">
        <f t="shared" si="17"/>
        <v>4987.5</v>
      </c>
      <c r="K16" s="43">
        <f t="shared" si="18"/>
        <v>31237.5</v>
      </c>
      <c r="L16" s="43">
        <f t="shared" si="19"/>
        <v>249900</v>
      </c>
      <c r="M16" s="44">
        <v>401162.07041517034</v>
      </c>
      <c r="N16" s="44">
        <f t="shared" si="4"/>
        <v>76220.793378882372</v>
      </c>
      <c r="O16" s="44">
        <f t="shared" si="5"/>
        <v>477382.86379405274</v>
      </c>
      <c r="P16" s="44">
        <f t="shared" si="20"/>
        <v>3819062.9103524219</v>
      </c>
      <c r="Q16" s="55">
        <f t="shared" si="0"/>
        <v>1740294.3034508072</v>
      </c>
      <c r="R16" s="55">
        <f t="shared" si="1"/>
        <v>1855901.1856453349</v>
      </c>
      <c r="S16" s="55">
        <f t="shared" si="2"/>
        <v>3596195</v>
      </c>
      <c r="T16" s="55">
        <f>+ROUND(Q16-R16,0)*-1</f>
        <v>115607</v>
      </c>
      <c r="U16" s="46">
        <f>AVERAGE(H16,L16)</f>
        <v>700910</v>
      </c>
      <c r="V16" s="47">
        <f t="shared" si="21"/>
        <v>5607280</v>
      </c>
    </row>
    <row r="17" spans="1:22" x14ac:dyDescent="0.3">
      <c r="A17" s="109"/>
      <c r="B17" s="110" t="s">
        <v>76</v>
      </c>
      <c r="C17" s="110"/>
      <c r="D17" s="110"/>
      <c r="E17" s="48"/>
      <c r="F17" s="48"/>
      <c r="G17" s="48"/>
      <c r="H17" s="48">
        <f t="shared" ref="H17" si="22">SUM(H13:H16)</f>
        <v>16010022</v>
      </c>
      <c r="I17" s="49"/>
      <c r="J17" s="49"/>
      <c r="K17" s="49"/>
      <c r="L17" s="49">
        <f>SUM(L13:L16)</f>
        <v>13053245.66</v>
      </c>
      <c r="M17" s="50"/>
      <c r="N17" s="50"/>
      <c r="O17" s="50"/>
      <c r="P17" s="50">
        <f>SUM(P13:P16)</f>
        <v>15931575.068577778</v>
      </c>
      <c r="Q17" s="51"/>
      <c r="R17" s="51"/>
      <c r="S17" s="51"/>
      <c r="T17" s="51"/>
      <c r="U17" s="52"/>
      <c r="V17" s="53">
        <f>SUM(V13:V16)</f>
        <v>56161092.567570023</v>
      </c>
    </row>
    <row r="18" spans="1:22" ht="34.200000000000003" x14ac:dyDescent="0.3">
      <c r="A18" s="109" t="s">
        <v>77</v>
      </c>
      <c r="B18" s="40" t="s">
        <v>78</v>
      </c>
      <c r="C18" s="40" t="s">
        <v>73</v>
      </c>
      <c r="D18" s="38">
        <v>8</v>
      </c>
      <c r="E18" s="42">
        <v>240000</v>
      </c>
      <c r="F18" s="42">
        <f t="shared" ref="F18:F26" si="23">+E18*19%</f>
        <v>45600</v>
      </c>
      <c r="G18" s="42">
        <f>F18+E18</f>
        <v>285600</v>
      </c>
      <c r="H18" s="42">
        <f>G18*D18</f>
        <v>2284800</v>
      </c>
      <c r="I18" s="43">
        <v>77914</v>
      </c>
      <c r="J18" s="43">
        <f>I18*19%</f>
        <v>14803.66</v>
      </c>
      <c r="K18" s="43">
        <f>I18+J18</f>
        <v>92717.66</v>
      </c>
      <c r="L18" s="43">
        <f>K18*D18</f>
        <v>741741.28</v>
      </c>
      <c r="M18" s="44">
        <v>221215.76885900565</v>
      </c>
      <c r="N18" s="44">
        <f t="shared" si="4"/>
        <v>42030.996083211074</v>
      </c>
      <c r="O18" s="44">
        <f t="shared" si="5"/>
        <v>263246.76494221675</v>
      </c>
      <c r="P18" s="44">
        <f>O18*D18</f>
        <v>2105974.119537734</v>
      </c>
      <c r="Q18" s="55">
        <f t="shared" si="0"/>
        <v>1710838.4665125783</v>
      </c>
      <c r="R18" s="55">
        <f t="shared" si="1"/>
        <v>844012.25794458704</v>
      </c>
      <c r="S18" s="55">
        <f t="shared" si="2"/>
        <v>2554851</v>
      </c>
      <c r="T18" s="55">
        <f t="shared" si="6"/>
        <v>866826</v>
      </c>
      <c r="U18" s="46">
        <f>AVERAGE(H18,P18)</f>
        <v>2195387.0597688667</v>
      </c>
      <c r="V18" s="47">
        <f>+U18*8</f>
        <v>17563096.478150934</v>
      </c>
    </row>
    <row r="19" spans="1:22" x14ac:dyDescent="0.3">
      <c r="A19" s="109"/>
      <c r="B19" s="54" t="s">
        <v>79</v>
      </c>
      <c r="C19" s="40" t="s">
        <v>73</v>
      </c>
      <c r="D19" s="38">
        <v>8</v>
      </c>
      <c r="E19" s="42">
        <v>56300</v>
      </c>
      <c r="F19" s="42">
        <f t="shared" si="23"/>
        <v>10697</v>
      </c>
      <c r="G19" s="42">
        <f t="shared" ref="G19:G26" si="24">F19+E19</f>
        <v>66997</v>
      </c>
      <c r="H19" s="42">
        <f t="shared" ref="H19:H26" si="25">G19*D19</f>
        <v>535976</v>
      </c>
      <c r="I19" s="43">
        <v>46402</v>
      </c>
      <c r="J19" s="43">
        <f t="shared" ref="J19:J26" si="26">I19*19%</f>
        <v>8816.3799999999992</v>
      </c>
      <c r="K19" s="43">
        <f t="shared" ref="K19:K25" si="27">I19+J19</f>
        <v>55218.38</v>
      </c>
      <c r="L19" s="43">
        <f t="shared" ref="L19:L25" si="28">K19*D19</f>
        <v>441747.04</v>
      </c>
      <c r="M19" s="44">
        <v>32830.608805930169</v>
      </c>
      <c r="N19" s="44">
        <f t="shared" si="4"/>
        <v>6237.8156731267318</v>
      </c>
      <c r="O19" s="44">
        <f t="shared" si="5"/>
        <v>39068.424479056899</v>
      </c>
      <c r="P19" s="44">
        <f t="shared" ref="P19:P26" si="29">O19*D19</f>
        <v>312547.39583245519</v>
      </c>
      <c r="Q19" s="55">
        <f t="shared" si="0"/>
        <v>430090.14527748508</v>
      </c>
      <c r="R19" s="55">
        <f t="shared" si="1"/>
        <v>112169.50426026303</v>
      </c>
      <c r="S19" s="55">
        <f t="shared" si="2"/>
        <v>542260</v>
      </c>
      <c r="T19" s="55">
        <f t="shared" si="6"/>
        <v>317921</v>
      </c>
      <c r="U19" s="46">
        <f>AVERAGE(H19,L19)</f>
        <v>488861.52</v>
      </c>
      <c r="V19" s="47">
        <f t="shared" ref="V19:V26" si="30">+U19*8</f>
        <v>3910892.16</v>
      </c>
    </row>
    <row r="20" spans="1:22" x14ac:dyDescent="0.3">
      <c r="A20" s="109"/>
      <c r="B20" s="54" t="s">
        <v>80</v>
      </c>
      <c r="C20" s="40" t="s">
        <v>73</v>
      </c>
      <c r="D20" s="38">
        <v>8</v>
      </c>
      <c r="E20" s="42">
        <v>157000</v>
      </c>
      <c r="F20" s="42">
        <f t="shared" si="23"/>
        <v>29830</v>
      </c>
      <c r="G20" s="42">
        <f t="shared" si="24"/>
        <v>186830</v>
      </c>
      <c r="H20" s="42">
        <f t="shared" si="25"/>
        <v>1494640</v>
      </c>
      <c r="I20" s="43">
        <v>13000</v>
      </c>
      <c r="J20" s="43">
        <f t="shared" si="26"/>
        <v>2470</v>
      </c>
      <c r="K20" s="43">
        <f t="shared" si="27"/>
        <v>15470</v>
      </c>
      <c r="L20" s="43">
        <f t="shared" si="28"/>
        <v>123760</v>
      </c>
      <c r="M20" s="44">
        <v>26577.15950956252</v>
      </c>
      <c r="N20" s="44">
        <f t="shared" si="4"/>
        <v>5049.6603068168788</v>
      </c>
      <c r="O20" s="44">
        <f t="shared" si="5"/>
        <v>31626.8198163794</v>
      </c>
      <c r="P20" s="44">
        <f t="shared" si="29"/>
        <v>253014.5585310352</v>
      </c>
      <c r="Q20" s="55">
        <f t="shared" si="0"/>
        <v>623804.85284367844</v>
      </c>
      <c r="R20" s="55">
        <f t="shared" si="1"/>
        <v>756929.37277353858</v>
      </c>
      <c r="S20" s="55">
        <f t="shared" si="2"/>
        <v>1380734</v>
      </c>
      <c r="T20" s="55">
        <f>+ROUND(Q20-R20,0)*-1</f>
        <v>133125</v>
      </c>
      <c r="U20" s="46">
        <f>AVERAGE(L20,P20)</f>
        <v>188387.2792655176</v>
      </c>
      <c r="V20" s="47">
        <f t="shared" si="30"/>
        <v>1507098.2341241408</v>
      </c>
    </row>
    <row r="21" spans="1:22" ht="45.6" x14ac:dyDescent="0.3">
      <c r="A21" s="109"/>
      <c r="B21" s="40" t="s">
        <v>81</v>
      </c>
      <c r="C21" s="40" t="s">
        <v>73</v>
      </c>
      <c r="D21" s="38">
        <v>16</v>
      </c>
      <c r="E21" s="42">
        <v>68900</v>
      </c>
      <c r="F21" s="42">
        <f t="shared" si="23"/>
        <v>13091</v>
      </c>
      <c r="G21" s="42">
        <f t="shared" si="24"/>
        <v>81991</v>
      </c>
      <c r="H21" s="42">
        <f t="shared" si="25"/>
        <v>1311856</v>
      </c>
      <c r="I21" s="43">
        <v>58333</v>
      </c>
      <c r="J21" s="43">
        <f t="shared" si="26"/>
        <v>11083.27</v>
      </c>
      <c r="K21" s="43">
        <f t="shared" si="27"/>
        <v>69416.27</v>
      </c>
      <c r="L21" s="43">
        <f t="shared" si="28"/>
        <v>1110660.32</v>
      </c>
      <c r="M21" s="44">
        <v>225789</v>
      </c>
      <c r="N21" s="44">
        <f t="shared" si="4"/>
        <v>42899.91</v>
      </c>
      <c r="O21" s="44">
        <f t="shared" si="5"/>
        <v>268688.91000000003</v>
      </c>
      <c r="P21" s="44">
        <f t="shared" si="29"/>
        <v>4299022.5600000005</v>
      </c>
      <c r="Q21" s="55">
        <f t="shared" si="0"/>
        <v>2240512.9600000004</v>
      </c>
      <c r="R21" s="55">
        <f t="shared" si="1"/>
        <v>1785557.6874976025</v>
      </c>
      <c r="S21" s="55">
        <f t="shared" si="2"/>
        <v>4026071</v>
      </c>
      <c r="T21" s="55">
        <f t="shared" si="6"/>
        <v>454955</v>
      </c>
      <c r="U21" s="46">
        <f>AVERAGE(H21,L21)</f>
        <v>1211258.1600000001</v>
      </c>
      <c r="V21" s="47">
        <f t="shared" si="30"/>
        <v>9690065.2800000012</v>
      </c>
    </row>
    <row r="22" spans="1:22" ht="34.200000000000003" x14ac:dyDescent="0.3">
      <c r="A22" s="109"/>
      <c r="B22" s="56" t="s">
        <v>82</v>
      </c>
      <c r="C22" s="56" t="s">
        <v>83</v>
      </c>
      <c r="D22" s="57">
        <v>40</v>
      </c>
      <c r="E22" s="42">
        <v>70200</v>
      </c>
      <c r="F22" s="42">
        <f t="shared" si="23"/>
        <v>13338</v>
      </c>
      <c r="G22" s="42">
        <f t="shared" si="24"/>
        <v>83538</v>
      </c>
      <c r="H22" s="42">
        <f t="shared" si="25"/>
        <v>3341520</v>
      </c>
      <c r="I22" s="43">
        <v>46417</v>
      </c>
      <c r="J22" s="43">
        <f t="shared" si="26"/>
        <v>8819.23</v>
      </c>
      <c r="K22" s="43">
        <f t="shared" si="27"/>
        <v>55236.229999999996</v>
      </c>
      <c r="L22" s="43">
        <f t="shared" si="28"/>
        <v>2209449.1999999997</v>
      </c>
      <c r="M22" s="44">
        <v>55587.301635993077</v>
      </c>
      <c r="N22" s="44">
        <f t="shared" si="4"/>
        <v>10561.587310838684</v>
      </c>
      <c r="O22" s="44">
        <f t="shared" si="5"/>
        <v>66148.888946831765</v>
      </c>
      <c r="P22" s="44">
        <f t="shared" si="29"/>
        <v>2645955.5578732705</v>
      </c>
      <c r="Q22" s="55">
        <f t="shared" si="0"/>
        <v>2732308.2526244232</v>
      </c>
      <c r="R22" s="55">
        <f t="shared" si="1"/>
        <v>570954.17064003658</v>
      </c>
      <c r="S22" s="55">
        <f t="shared" si="2"/>
        <v>3303262</v>
      </c>
      <c r="T22" s="55">
        <f t="shared" si="6"/>
        <v>2161354</v>
      </c>
      <c r="U22" s="46">
        <f>AVERAGE(L22,P22)</f>
        <v>2427702.3789366353</v>
      </c>
      <c r="V22" s="47">
        <f t="shared" si="30"/>
        <v>19421619.031493083</v>
      </c>
    </row>
    <row r="23" spans="1:22" ht="79.8" x14ac:dyDescent="0.3">
      <c r="A23" s="109"/>
      <c r="B23" s="58" t="s">
        <v>84</v>
      </c>
      <c r="C23" s="40" t="s">
        <v>85</v>
      </c>
      <c r="D23" s="38">
        <v>9</v>
      </c>
      <c r="E23" s="42">
        <v>5800</v>
      </c>
      <c r="F23" s="42">
        <f t="shared" si="23"/>
        <v>1102</v>
      </c>
      <c r="G23" s="42">
        <f t="shared" si="24"/>
        <v>6902</v>
      </c>
      <c r="H23" s="42">
        <f t="shared" si="25"/>
        <v>62118</v>
      </c>
      <c r="I23" s="43">
        <v>64167</v>
      </c>
      <c r="J23" s="43">
        <f t="shared" si="26"/>
        <v>12191.73</v>
      </c>
      <c r="K23" s="43">
        <f t="shared" si="27"/>
        <v>76358.73</v>
      </c>
      <c r="L23" s="43">
        <f t="shared" si="28"/>
        <v>687228.57</v>
      </c>
      <c r="M23" s="44">
        <v>110998.72501052581</v>
      </c>
      <c r="N23" s="44">
        <f t="shared" si="4"/>
        <v>21089.757751999903</v>
      </c>
      <c r="O23" s="44">
        <f t="shared" si="5"/>
        <v>132088.48276252573</v>
      </c>
      <c r="P23" s="44">
        <f t="shared" si="29"/>
        <v>1188796.3448627316</v>
      </c>
      <c r="Q23" s="55">
        <f t="shared" si="0"/>
        <v>646047.6382875772</v>
      </c>
      <c r="R23" s="55">
        <f t="shared" si="1"/>
        <v>564466.93884423701</v>
      </c>
      <c r="S23" s="55">
        <f t="shared" si="2"/>
        <v>1210515</v>
      </c>
      <c r="T23" s="55">
        <f t="shared" si="6"/>
        <v>81581</v>
      </c>
      <c r="U23" s="46">
        <f>ROUND(AVERAGE(L23,P23),0)</f>
        <v>938012</v>
      </c>
      <c r="V23" s="47">
        <f t="shared" si="30"/>
        <v>7504096</v>
      </c>
    </row>
    <row r="24" spans="1:22" x14ac:dyDescent="0.3">
      <c r="A24" s="109"/>
      <c r="B24" s="56" t="s">
        <v>86</v>
      </c>
      <c r="C24" s="56" t="s">
        <v>87</v>
      </c>
      <c r="D24" s="57">
        <v>1</v>
      </c>
      <c r="E24" s="42">
        <v>5800</v>
      </c>
      <c r="F24" s="42">
        <f t="shared" si="23"/>
        <v>1102</v>
      </c>
      <c r="G24" s="42">
        <f t="shared" si="24"/>
        <v>6902</v>
      </c>
      <c r="H24" s="42">
        <f t="shared" si="25"/>
        <v>6902</v>
      </c>
      <c r="I24" s="43">
        <v>11074</v>
      </c>
      <c r="J24" s="43">
        <f t="shared" si="26"/>
        <v>2104.06</v>
      </c>
      <c r="K24" s="43">
        <f t="shared" si="27"/>
        <v>13178.06</v>
      </c>
      <c r="L24" s="43">
        <f t="shared" si="28"/>
        <v>13178.06</v>
      </c>
      <c r="M24" s="44">
        <v>15789</v>
      </c>
      <c r="N24" s="44">
        <f t="shared" si="4"/>
        <v>2999.91</v>
      </c>
      <c r="O24" s="44">
        <f t="shared" si="5"/>
        <v>18788.91</v>
      </c>
      <c r="P24" s="44">
        <f t="shared" si="29"/>
        <v>18788.91</v>
      </c>
      <c r="Q24" s="55">
        <f t="shared" si="0"/>
        <v>12956.323333333334</v>
      </c>
      <c r="R24" s="55">
        <f t="shared" si="1"/>
        <v>5946.5563731485208</v>
      </c>
      <c r="S24" s="55">
        <f t="shared" si="2"/>
        <v>18903</v>
      </c>
      <c r="T24" s="55">
        <f t="shared" si="6"/>
        <v>7010</v>
      </c>
      <c r="U24" s="46">
        <f>AVERAGE(L24,P24)</f>
        <v>15983.485000000001</v>
      </c>
      <c r="V24" s="47">
        <f t="shared" si="30"/>
        <v>127867.88</v>
      </c>
    </row>
    <row r="25" spans="1:22" x14ac:dyDescent="0.3">
      <c r="A25" s="109"/>
      <c r="B25" s="54" t="s">
        <v>88</v>
      </c>
      <c r="C25" s="54" t="s">
        <v>73</v>
      </c>
      <c r="D25" s="38">
        <v>8</v>
      </c>
      <c r="E25" s="42">
        <v>12500</v>
      </c>
      <c r="F25" s="42">
        <f t="shared" si="23"/>
        <v>2375</v>
      </c>
      <c r="G25" s="42">
        <f t="shared" si="24"/>
        <v>14875</v>
      </c>
      <c r="H25" s="42">
        <f t="shared" si="25"/>
        <v>119000</v>
      </c>
      <c r="I25" s="43">
        <v>49238</v>
      </c>
      <c r="J25" s="43">
        <f t="shared" si="26"/>
        <v>9355.2199999999993</v>
      </c>
      <c r="K25" s="43">
        <f t="shared" si="27"/>
        <v>58593.22</v>
      </c>
      <c r="L25" s="43">
        <f t="shared" si="28"/>
        <v>468745.76</v>
      </c>
      <c r="M25" s="44">
        <v>12789</v>
      </c>
      <c r="N25" s="44">
        <f t="shared" si="4"/>
        <v>2429.91</v>
      </c>
      <c r="O25" s="44">
        <f t="shared" si="5"/>
        <v>15218.91</v>
      </c>
      <c r="P25" s="44">
        <f t="shared" si="29"/>
        <v>121751.28</v>
      </c>
      <c r="Q25" s="55">
        <f t="shared" si="0"/>
        <v>236499.01333333334</v>
      </c>
      <c r="R25" s="55">
        <f t="shared" si="1"/>
        <v>201136.28685134792</v>
      </c>
      <c r="S25" s="55">
        <f t="shared" si="2"/>
        <v>437635</v>
      </c>
      <c r="T25" s="55">
        <f t="shared" si="6"/>
        <v>35363</v>
      </c>
      <c r="U25" s="46">
        <f>AVERAGE(H25,P25)</f>
        <v>120375.64</v>
      </c>
      <c r="V25" s="47">
        <f t="shared" si="30"/>
        <v>963005.12</v>
      </c>
    </row>
    <row r="26" spans="1:22" x14ac:dyDescent="0.3">
      <c r="A26" s="109"/>
      <c r="B26" s="54" t="s">
        <v>89</v>
      </c>
      <c r="C26" s="54" t="s">
        <v>73</v>
      </c>
      <c r="D26" s="38">
        <v>8</v>
      </c>
      <c r="E26" s="42">
        <v>145000</v>
      </c>
      <c r="F26" s="42">
        <f t="shared" si="23"/>
        <v>27550</v>
      </c>
      <c r="G26" s="42">
        <f t="shared" si="24"/>
        <v>172550</v>
      </c>
      <c r="H26" s="42">
        <f t="shared" si="25"/>
        <v>1380400</v>
      </c>
      <c r="I26" s="43">
        <v>11667</v>
      </c>
      <c r="J26" s="43">
        <f t="shared" si="26"/>
        <v>2216.73</v>
      </c>
      <c r="K26" s="43">
        <f>I26+J26</f>
        <v>13883.73</v>
      </c>
      <c r="L26" s="43">
        <f>K26*D26</f>
        <v>111069.84</v>
      </c>
      <c r="M26" s="44">
        <v>25789</v>
      </c>
      <c r="N26" s="44">
        <f t="shared" si="4"/>
        <v>4899.91</v>
      </c>
      <c r="O26" s="44">
        <f t="shared" si="5"/>
        <v>30688.91</v>
      </c>
      <c r="P26" s="44">
        <f t="shared" si="29"/>
        <v>245511.28</v>
      </c>
      <c r="Q26" s="55">
        <f t="shared" si="0"/>
        <v>578993.70666666667</v>
      </c>
      <c r="R26" s="55">
        <f t="shared" si="1"/>
        <v>697285.9244549704</v>
      </c>
      <c r="S26" s="55">
        <f t="shared" si="2"/>
        <v>1276280</v>
      </c>
      <c r="T26" s="55">
        <f>+ROUND(Q26-R26,0)*-1</f>
        <v>118292</v>
      </c>
      <c r="U26" s="46">
        <f>AVERAGE(P26,L26)</f>
        <v>178290.56</v>
      </c>
      <c r="V26" s="47">
        <f t="shared" si="30"/>
        <v>1426324.48</v>
      </c>
    </row>
    <row r="27" spans="1:22" x14ac:dyDescent="0.3">
      <c r="A27" s="109"/>
      <c r="B27" s="110" t="s">
        <v>90</v>
      </c>
      <c r="C27" s="110"/>
      <c r="D27" s="110"/>
      <c r="E27" s="48"/>
      <c r="F27" s="48"/>
      <c r="G27" s="48"/>
      <c r="H27" s="48">
        <f t="shared" ref="H27" si="31">SUM(H18:H26)</f>
        <v>10537212</v>
      </c>
      <c r="I27" s="49"/>
      <c r="J27" s="49"/>
      <c r="K27" s="49"/>
      <c r="L27" s="49">
        <f>SUM(L18:L26)</f>
        <v>5907580.0699999994</v>
      </c>
      <c r="M27" s="50"/>
      <c r="N27" s="50"/>
      <c r="O27" s="50"/>
      <c r="P27" s="50">
        <f>SUM(P18:P26)</f>
        <v>11191362.006637225</v>
      </c>
      <c r="Q27" s="51"/>
      <c r="R27" s="51"/>
      <c r="S27" s="51"/>
      <c r="T27" s="51"/>
      <c r="U27" s="52"/>
      <c r="V27" s="53">
        <f>SUM(V18:V26)</f>
        <v>62114064.663768157</v>
      </c>
    </row>
    <row r="28" spans="1:22" ht="45.6" x14ac:dyDescent="0.3">
      <c r="A28" s="109" t="s">
        <v>91</v>
      </c>
      <c r="B28" s="40" t="s">
        <v>92</v>
      </c>
      <c r="C28" s="59" t="s">
        <v>73</v>
      </c>
      <c r="D28" s="41">
        <v>8</v>
      </c>
      <c r="E28" s="42">
        <v>25600</v>
      </c>
      <c r="F28" s="42">
        <f>+E28*19%</f>
        <v>4864</v>
      </c>
      <c r="G28" s="42">
        <f>F28+E28</f>
        <v>30464</v>
      </c>
      <c r="H28" s="42">
        <f>G28*D28</f>
        <v>243712</v>
      </c>
      <c r="I28" s="43">
        <v>35000</v>
      </c>
      <c r="J28" s="43">
        <f>I28*19%</f>
        <v>6650</v>
      </c>
      <c r="K28" s="43">
        <f>I28+J28</f>
        <v>41650</v>
      </c>
      <c r="L28" s="43">
        <f>K28*D28</f>
        <v>333200</v>
      </c>
      <c r="M28" s="44">
        <v>353784</v>
      </c>
      <c r="N28" s="44">
        <f t="shared" si="4"/>
        <v>67218.960000000006</v>
      </c>
      <c r="O28" s="44">
        <f t="shared" si="5"/>
        <v>421002.96</v>
      </c>
      <c r="P28" s="60">
        <f>O28*D28</f>
        <v>3368023.68</v>
      </c>
      <c r="Q28" s="55">
        <f>AVERAGE(H28,L28)</f>
        <v>288456</v>
      </c>
      <c r="R28" s="55">
        <f>+STDEV(H28,L28,P28)</f>
        <v>1778552.1426438026</v>
      </c>
      <c r="S28" s="55">
        <f t="shared" si="2"/>
        <v>2067008</v>
      </c>
      <c r="T28" s="55">
        <f>+ROUND(Q28-R28,0)*-1</f>
        <v>1490096</v>
      </c>
      <c r="U28" s="46">
        <f>AVERAGE(H28,L28)</f>
        <v>288456</v>
      </c>
      <c r="V28" s="47">
        <f>+U28*8</f>
        <v>2307648</v>
      </c>
    </row>
    <row r="29" spans="1:22" x14ac:dyDescent="0.3">
      <c r="A29" s="109"/>
      <c r="B29" s="110" t="s">
        <v>93</v>
      </c>
      <c r="C29" s="110"/>
      <c r="D29" s="110"/>
      <c r="E29" s="48"/>
      <c r="F29" s="48"/>
      <c r="G29" s="48"/>
      <c r="H29" s="48">
        <f t="shared" ref="H29" si="32">+H28</f>
        <v>243712</v>
      </c>
      <c r="I29" s="49"/>
      <c r="J29" s="49"/>
      <c r="K29" s="49"/>
      <c r="L29" s="49">
        <f>L28</f>
        <v>333200</v>
      </c>
      <c r="M29" s="50"/>
      <c r="N29" s="50"/>
      <c r="O29" s="50"/>
      <c r="P29" s="50">
        <f>P28</f>
        <v>3368023.68</v>
      </c>
      <c r="Q29" s="51"/>
      <c r="R29" s="51"/>
      <c r="S29" s="51"/>
      <c r="T29" s="51"/>
      <c r="U29" s="52"/>
      <c r="V29" s="53">
        <f>V28</f>
        <v>2307648</v>
      </c>
    </row>
    <row r="30" spans="1:22" x14ac:dyDescent="0.3">
      <c r="A30" s="111" t="s">
        <v>94</v>
      </c>
      <c r="B30" s="111"/>
      <c r="C30" s="111"/>
      <c r="D30" s="111"/>
      <c r="E30" s="61"/>
      <c r="F30" s="61"/>
      <c r="G30" s="61"/>
      <c r="H30" s="62">
        <f t="shared" ref="H30" si="33">+H29+H27+H17+H12+H7</f>
        <v>28065674</v>
      </c>
      <c r="I30" s="63"/>
      <c r="J30" s="63"/>
      <c r="K30" s="63"/>
      <c r="L30" s="64">
        <f>ROUND(SUM(L7+L12+L17+L27+L29),0)</f>
        <v>20264461</v>
      </c>
      <c r="M30" s="65"/>
      <c r="N30" s="65"/>
      <c r="O30" s="65"/>
      <c r="P30" s="66">
        <f>ROUND(SUM(P7+P12+P17+P27+P29),0)</f>
        <v>36462061</v>
      </c>
      <c r="Q30" s="67"/>
      <c r="R30" s="67"/>
      <c r="S30" s="67"/>
      <c r="T30" s="67"/>
      <c r="U30" s="68"/>
      <c r="V30" s="69">
        <f>ROUND((V7+V12+V17+V27+V29),0)</f>
        <v>129529357</v>
      </c>
    </row>
    <row r="33" hidden="1" x14ac:dyDescent="0.3"/>
    <row r="34" hidden="1" x14ac:dyDescent="0.3"/>
  </sheetData>
  <mergeCells count="27">
    <mergeCell ref="A30:D30"/>
    <mergeCell ref="A13:A17"/>
    <mergeCell ref="B17:D17"/>
    <mergeCell ref="A18:A27"/>
    <mergeCell ref="B27:D27"/>
    <mergeCell ref="A28:A29"/>
    <mergeCell ref="B29:D29"/>
    <mergeCell ref="V4:V5"/>
    <mergeCell ref="A6:A7"/>
    <mergeCell ref="B7:D7"/>
    <mergeCell ref="A8:A12"/>
    <mergeCell ref="C8:C11"/>
    <mergeCell ref="D8:D11"/>
    <mergeCell ref="B12:D12"/>
    <mergeCell ref="A1:U3"/>
    <mergeCell ref="A4:A5"/>
    <mergeCell ref="B4:B5"/>
    <mergeCell ref="C4:C5"/>
    <mergeCell ref="D4:D5"/>
    <mergeCell ref="E4:H4"/>
    <mergeCell ref="I4:L4"/>
    <mergeCell ref="M4:P4"/>
    <mergeCell ref="Q4:Q5"/>
    <mergeCell ref="R4:R5"/>
    <mergeCell ref="S4:S5"/>
    <mergeCell ref="T4:T5"/>
    <mergeCell ref="U4:U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CDF6B-2FC4-4C88-AC3D-0B4DCFC60CC4}">
  <dimension ref="A2:E10"/>
  <sheetViews>
    <sheetView tabSelected="1" workbookViewId="0">
      <selection activeCell="B14" sqref="B14"/>
    </sheetView>
  </sheetViews>
  <sheetFormatPr baseColWidth="10" defaultRowHeight="14.4" x14ac:dyDescent="0.3"/>
  <cols>
    <col min="1" max="1" width="47.88671875" bestFit="1" customWidth="1"/>
    <col min="2" max="2" width="15.33203125" bestFit="1" customWidth="1"/>
    <col min="4" max="4" width="15.109375" bestFit="1" customWidth="1"/>
    <col min="5" max="5" width="13.5546875" bestFit="1" customWidth="1"/>
  </cols>
  <sheetData>
    <row r="2" spans="1:5" ht="57.6" x14ac:dyDescent="0.3">
      <c r="A2" s="73" t="s">
        <v>26</v>
      </c>
      <c r="B2" s="74" t="s">
        <v>112</v>
      </c>
    </row>
    <row r="3" spans="1:5" x14ac:dyDescent="0.3">
      <c r="A3" s="75" t="s">
        <v>104</v>
      </c>
      <c r="B3" s="76">
        <f>'SERVICIOS VIGILANCIA '!O19</f>
        <v>206694680</v>
      </c>
    </row>
    <row r="4" spans="1:5" x14ac:dyDescent="0.3">
      <c r="A4" s="75" t="s">
        <v>95</v>
      </c>
      <c r="B4" s="76">
        <f>'SERVICIOS VIGILANCIA '!O36</f>
        <v>88406475</v>
      </c>
    </row>
    <row r="5" spans="1:5" x14ac:dyDescent="0.3">
      <c r="A5" s="75" t="s">
        <v>109</v>
      </c>
      <c r="B5" s="76">
        <f>'SERVICIOS VIGILANCIA '!O69</f>
        <v>1263276890</v>
      </c>
    </row>
    <row r="6" spans="1:5" x14ac:dyDescent="0.3">
      <c r="A6" s="77" t="s">
        <v>110</v>
      </c>
      <c r="B6" s="76">
        <f>'MEDIOS TECNOL'!V30</f>
        <v>129529357</v>
      </c>
    </row>
    <row r="8" spans="1:5" x14ac:dyDescent="0.3">
      <c r="A8" s="75" t="s">
        <v>27</v>
      </c>
      <c r="B8" s="78">
        <f>SUM(B3:B6)</f>
        <v>1687907402</v>
      </c>
      <c r="D8" s="5"/>
    </row>
    <row r="10" spans="1:5" x14ac:dyDescent="0.3">
      <c r="D10" s="5"/>
      <c r="E10"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SERVICIOS VIGILANCIA </vt:lpstr>
      <vt:lpstr>MEDIOS TECNOL</vt: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dc:creator>
  <cp:lastModifiedBy>juan gabriel aguilar orjuela</cp:lastModifiedBy>
  <dcterms:created xsi:type="dcterms:W3CDTF">2025-01-14T19:50:05Z</dcterms:created>
  <dcterms:modified xsi:type="dcterms:W3CDTF">2026-05-06T01:36:08Z</dcterms:modified>
</cp:coreProperties>
</file>