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omments1.xml" ContentType="application/vnd.openxmlformats-officedocument.spreadsheetml.comments+xml"/>
  <Override PartName="/xl/drawings/drawing3.xml" ContentType="application/vnd.openxmlformats-officedocument.drawing+xml"/>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comments2.xml" ContentType="application/vnd.openxmlformats-officedocument.spreadsheetml.comments+xml"/>
  <Override PartName="/xl/drawings/drawing4.xml" ContentType="application/vnd.openxmlformats-officedocument.drawing+xml"/>
  <Override PartName="/xl/embeddings/oleObject7.bin" ContentType="application/vnd.openxmlformats-officedocument.oleObject"/>
  <Override PartName="/xl/embeddings/oleObject8.bin" ContentType="application/vnd.openxmlformats-officedocument.oleObject"/>
  <Override PartName="/xl/embeddings/oleObject9.bin" ContentType="application/vnd.openxmlformats-officedocument.oleObject"/>
  <Override PartName="/xl/embeddings/oleObject10.bin" ContentType="application/vnd.openxmlformats-officedocument.oleObject"/>
  <Override PartName="/xl/embeddings/oleObject11.bin" ContentType="application/vnd.openxmlformats-officedocument.oleObject"/>
  <Override PartName="/xl/embeddings/oleObject12.bin" ContentType="application/vnd.openxmlformats-officedocument.oleObject"/>
  <Override PartName="/xl/comments3.xml" ContentType="application/vnd.openxmlformats-officedocument.spreadsheetml.comments+xml"/>
  <Override PartName="/xl/drawings/drawing5.xml" ContentType="application/vnd.openxmlformats-officedocument.drawing+xml"/>
  <Override PartName="/xl/embeddings/oleObject13.bin" ContentType="application/vnd.openxmlformats-officedocument.oleObject"/>
  <Override PartName="/xl/embeddings/oleObject14.bin" ContentType="application/vnd.openxmlformats-officedocument.oleObject"/>
  <Override PartName="/xl/embeddings/oleObject15.bin" ContentType="application/vnd.openxmlformats-officedocument.oleObject"/>
  <Override PartName="/xl/embeddings/oleObject16.bin" ContentType="application/vnd.openxmlformats-officedocument.oleObject"/>
  <Override PartName="/xl/embeddings/oleObject17.bin" ContentType="application/vnd.openxmlformats-officedocument.oleObject"/>
  <Override PartName="/xl/embeddings/oleObject18.bin" ContentType="application/vnd.openxmlformats-officedocument.oleObject"/>
  <Override PartName="/xl/embeddings/oleObject19.bin" ContentType="application/vnd.openxmlformats-officedocument.oleObject"/>
  <Override PartName="/xl/embeddings/oleObject20.bin" ContentType="application/vnd.openxmlformats-officedocument.oleObject"/>
  <Override PartName="/xl/comments4.xml" ContentType="application/vnd.openxmlformats-officedocument.spreadsheetml.comments+xml"/>
  <Override PartName="/xl/drawings/drawing6.xml" ContentType="application/vnd.openxmlformats-officedocument.drawing+xml"/>
  <Override PartName="/xl/embeddings/oleObject21.bin" ContentType="application/vnd.openxmlformats-officedocument.oleObject"/>
  <Override PartName="/xl/embeddings/oleObject22.bin" ContentType="application/vnd.openxmlformats-officedocument.oleObject"/>
  <Override PartName="/xl/embeddings/oleObject23.bin" ContentType="application/vnd.openxmlformats-officedocument.oleObject"/>
  <Override PartName="/xl/embeddings/oleObject24.bin" ContentType="application/vnd.openxmlformats-officedocument.oleObject"/>
  <Override PartName="/xl/embeddings/oleObject25.bin" ContentType="application/vnd.openxmlformats-officedocument.oleObject"/>
  <Override PartName="/xl/embeddings/oleObject26.bin" ContentType="application/vnd.openxmlformats-officedocument.oleObject"/>
  <Override PartName="/xl/embeddings/oleObject27.bin" ContentType="application/vnd.openxmlformats-officedocument.oleObject"/>
  <Override PartName="/xl/embeddings/oleObject28.bin" ContentType="application/vnd.openxmlformats-officedocument.oleObject"/>
  <Override PartName="/xl/embeddings/oleObject29.bin" ContentType="application/vnd.openxmlformats-officedocument.oleObject"/>
  <Override PartName="/xl/embeddings/oleObject30.bin" ContentType="application/vnd.openxmlformats-officedocument.oleObject"/>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https://mcultura-my.sharepoint.com/personal/cguerrero_mincultura_gov_co/Documents/CZGS/SUPERVISIONES/2026_PARA MINIMAS MUSEO POPAYAN/OFERTAS OBRA/"/>
    </mc:Choice>
  </mc:AlternateContent>
  <xr:revisionPtr revIDLastSave="151" documentId="8_{B6E7B03B-8129-45E6-86AE-237156D1E472}" xr6:coauthVersionLast="47" xr6:coauthVersionMax="47" xr10:uidLastSave="{6D92456C-90EF-4A50-BBA2-B56E27F74D0E}"/>
  <bookViews>
    <workbookView xWindow="-120" yWindow="-120" windowWidth="20730" windowHeight="11040" tabRatio="714" xr2:uid="{00000000-000D-0000-FFFF-FFFF00000000}"/>
  </bookViews>
  <sheets>
    <sheet name="EVALUACIÓN EXPERIENCIA" sheetId="13" r:id="rId1"/>
    <sheet name="CRP SINGULAR" sheetId="8" r:id="rId2"/>
    <sheet name="CRP PLURAL (2)" sheetId="2" r:id="rId3"/>
    <sheet name="CRP PLURAL (3)" sheetId="9" r:id="rId4"/>
    <sheet name="CRP PLURAL (4)" sheetId="10" r:id="rId5"/>
    <sheet name="CRP PLURAL (5)" sheetId="11" r:id="rId6"/>
    <sheet name="Base" sheetId="14" state="hidden" r:id="rId7"/>
  </sheets>
  <definedNames>
    <definedName name="_xlnm.Print_Area" localSheetId="2">'CRP PLURAL (2)'!$A$1:$N$130</definedName>
    <definedName name="_xlnm.Print_Area" localSheetId="3">'CRP PLURAL (3)'!$A$1:$N$183</definedName>
    <definedName name="_xlnm.Print_Area" localSheetId="4">'CRP PLURAL (4)'!$A$1:$N$238</definedName>
    <definedName name="_xlnm.Print_Area" localSheetId="5">'CRP PLURAL (5)'!$A$1:$O$294</definedName>
    <definedName name="_xlnm.Print_Area" localSheetId="1">'CRP SINGULAR'!$A$1:$N$71</definedName>
    <definedName name="_xlnm.Print_Area" localSheetId="0">'EVALUACIÓN EXPERIENCIA'!$A$1:$Q$168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7" i="2" l="1"/>
  <c r="I42" i="13"/>
  <c r="K42" i="13" s="1"/>
  <c r="I41" i="13"/>
  <c r="K41" i="13" s="1"/>
  <c r="I40" i="13"/>
  <c r="K40" i="13" s="1"/>
  <c r="I39" i="13"/>
  <c r="K39" i="13" s="1"/>
  <c r="I38" i="13"/>
  <c r="K38" i="13" s="1"/>
  <c r="I37" i="13"/>
  <c r="K37" i="13" s="1"/>
  <c r="M6" i="8"/>
  <c r="J260" i="11"/>
  <c r="L240" i="11"/>
  <c r="L241" i="11" s="1"/>
  <c r="L242" i="11" s="1"/>
  <c r="L243" i="11" s="1"/>
  <c r="L244" i="11" s="1"/>
  <c r="L245" i="11" s="1"/>
  <c r="L246" i="11" s="1"/>
  <c r="L247" i="11" s="1"/>
  <c r="L248" i="11" s="1"/>
  <c r="L249" i="11" s="1"/>
  <c r="L250" i="11" s="1"/>
  <c r="L251" i="11" s="1"/>
  <c r="L252" i="11" s="1"/>
  <c r="L253" i="11" s="1"/>
  <c r="L254" i="11" s="1"/>
  <c r="L255" i="11" s="1"/>
  <c r="L256" i="11" s="1"/>
  <c r="L257" i="11" s="1"/>
  <c r="L258" i="11" s="1"/>
  <c r="L259" i="11" s="1"/>
  <c r="J240" i="11"/>
  <c r="J241" i="11" s="1"/>
  <c r="J242" i="11" s="1"/>
  <c r="J243" i="11" s="1"/>
  <c r="J244" i="11" s="1"/>
  <c r="J245" i="11" s="1"/>
  <c r="J246" i="11" s="1"/>
  <c r="J247" i="11" s="1"/>
  <c r="J248" i="11" s="1"/>
  <c r="J249" i="11" s="1"/>
  <c r="J250" i="11" s="1"/>
  <c r="J251" i="11" s="1"/>
  <c r="J252" i="11" s="1"/>
  <c r="J253" i="11" s="1"/>
  <c r="J254" i="11" s="1"/>
  <c r="J255" i="11" s="1"/>
  <c r="J256" i="11" s="1"/>
  <c r="J257" i="11" s="1"/>
  <c r="J258" i="11" s="1"/>
  <c r="J259" i="11" s="1"/>
  <c r="H240" i="11"/>
  <c r="H241" i="11" s="1"/>
  <c r="H242" i="11" s="1"/>
  <c r="H243" i="11" s="1"/>
  <c r="H244" i="11" s="1"/>
  <c r="H245" i="11" s="1"/>
  <c r="H246" i="11" s="1"/>
  <c r="H247" i="11" s="1"/>
  <c r="H248" i="11" s="1"/>
  <c r="H249" i="11" s="1"/>
  <c r="H250" i="11" s="1"/>
  <c r="H251" i="11" s="1"/>
  <c r="H252" i="11" s="1"/>
  <c r="H253" i="11" s="1"/>
  <c r="H254" i="11" s="1"/>
  <c r="H255" i="11" s="1"/>
  <c r="H256" i="11" s="1"/>
  <c r="H257" i="11" s="1"/>
  <c r="H258" i="11" s="1"/>
  <c r="H259" i="11" s="1"/>
  <c r="F240" i="11"/>
  <c r="F241" i="11" s="1"/>
  <c r="F242" i="11" s="1"/>
  <c r="F243" i="11" s="1"/>
  <c r="F244" i="11" s="1"/>
  <c r="F245" i="11" s="1"/>
  <c r="F246" i="11" s="1"/>
  <c r="F247" i="11" s="1"/>
  <c r="F248" i="11" s="1"/>
  <c r="F249" i="11" s="1"/>
  <c r="F250" i="11" s="1"/>
  <c r="F251" i="11" s="1"/>
  <c r="F252" i="11" s="1"/>
  <c r="F253" i="11" s="1"/>
  <c r="F254" i="11" s="1"/>
  <c r="F255" i="11" s="1"/>
  <c r="F256" i="11" s="1"/>
  <c r="F257" i="11" s="1"/>
  <c r="F258" i="11" s="1"/>
  <c r="F259" i="11" s="1"/>
  <c r="D240" i="11"/>
  <c r="D241" i="11" s="1"/>
  <c r="D242" i="11" s="1"/>
  <c r="D243" i="11" s="1"/>
  <c r="D244" i="11" s="1"/>
  <c r="D245" i="11" s="1"/>
  <c r="D246" i="11" s="1"/>
  <c r="D247" i="11" s="1"/>
  <c r="D248" i="11" s="1"/>
  <c r="D249" i="11" s="1"/>
  <c r="D250" i="11" s="1"/>
  <c r="D251" i="11" s="1"/>
  <c r="D252" i="11" s="1"/>
  <c r="D253" i="11" s="1"/>
  <c r="D254" i="11" s="1"/>
  <c r="D255" i="11" s="1"/>
  <c r="D256" i="11" s="1"/>
  <c r="D257" i="11" s="1"/>
  <c r="D258" i="11" s="1"/>
  <c r="D259" i="11" s="1"/>
  <c r="B240" i="11"/>
  <c r="B241" i="11" s="1"/>
  <c r="B242" i="11" s="1"/>
  <c r="B243" i="11" s="1"/>
  <c r="B244" i="11" s="1"/>
  <c r="B245" i="11" s="1"/>
  <c r="B246" i="11" s="1"/>
  <c r="B247" i="11" s="1"/>
  <c r="B248" i="11" s="1"/>
  <c r="B249" i="11" s="1"/>
  <c r="B250" i="11" s="1"/>
  <c r="B251" i="11" s="1"/>
  <c r="B252" i="11" s="1"/>
  <c r="B253" i="11" s="1"/>
  <c r="B254" i="11" s="1"/>
  <c r="B255" i="11" s="1"/>
  <c r="B256" i="11" s="1"/>
  <c r="B257" i="11" s="1"/>
  <c r="B258" i="11" s="1"/>
  <c r="B259" i="11" s="1"/>
  <c r="J210" i="11"/>
  <c r="L190" i="11"/>
  <c r="L191" i="11" s="1"/>
  <c r="L192" i="11" s="1"/>
  <c r="L193" i="11" s="1"/>
  <c r="L194" i="11" s="1"/>
  <c r="L195" i="11" s="1"/>
  <c r="L196" i="11" s="1"/>
  <c r="L197" i="11" s="1"/>
  <c r="L198" i="11" s="1"/>
  <c r="L199" i="11" s="1"/>
  <c r="L200" i="11" s="1"/>
  <c r="L201" i="11" s="1"/>
  <c r="L202" i="11" s="1"/>
  <c r="L203" i="11" s="1"/>
  <c r="L204" i="11" s="1"/>
  <c r="L205" i="11" s="1"/>
  <c r="L206" i="11" s="1"/>
  <c r="L207" i="11" s="1"/>
  <c r="L208" i="11" s="1"/>
  <c r="L209" i="11" s="1"/>
  <c r="J190" i="11"/>
  <c r="J191" i="11" s="1"/>
  <c r="J192" i="11" s="1"/>
  <c r="J193" i="11" s="1"/>
  <c r="J194" i="11" s="1"/>
  <c r="J195" i="11" s="1"/>
  <c r="J196" i="11" s="1"/>
  <c r="J197" i="11" s="1"/>
  <c r="J198" i="11" s="1"/>
  <c r="J199" i="11" s="1"/>
  <c r="J200" i="11" s="1"/>
  <c r="J201" i="11" s="1"/>
  <c r="J202" i="11" s="1"/>
  <c r="J203" i="11" s="1"/>
  <c r="J204" i="11" s="1"/>
  <c r="J205" i="11" s="1"/>
  <c r="J206" i="11" s="1"/>
  <c r="J207" i="11" s="1"/>
  <c r="J208" i="11" s="1"/>
  <c r="J209" i="11" s="1"/>
  <c r="H190" i="11"/>
  <c r="H191" i="11" s="1"/>
  <c r="H192" i="11" s="1"/>
  <c r="H193" i="11" s="1"/>
  <c r="H194" i="11" s="1"/>
  <c r="H195" i="11" s="1"/>
  <c r="H196" i="11" s="1"/>
  <c r="H197" i="11" s="1"/>
  <c r="H198" i="11" s="1"/>
  <c r="H199" i="11" s="1"/>
  <c r="H200" i="11" s="1"/>
  <c r="H201" i="11" s="1"/>
  <c r="H202" i="11" s="1"/>
  <c r="H203" i="11" s="1"/>
  <c r="H204" i="11" s="1"/>
  <c r="H205" i="11" s="1"/>
  <c r="H206" i="11" s="1"/>
  <c r="H207" i="11" s="1"/>
  <c r="H208" i="11" s="1"/>
  <c r="H209" i="11" s="1"/>
  <c r="F190" i="11"/>
  <c r="F191" i="11" s="1"/>
  <c r="F192" i="11" s="1"/>
  <c r="F193" i="11" s="1"/>
  <c r="F194" i="11" s="1"/>
  <c r="F195" i="11" s="1"/>
  <c r="F196" i="11" s="1"/>
  <c r="F197" i="11" s="1"/>
  <c r="F198" i="11" s="1"/>
  <c r="F199" i="11" s="1"/>
  <c r="F200" i="11" s="1"/>
  <c r="F201" i="11" s="1"/>
  <c r="F202" i="11" s="1"/>
  <c r="F203" i="11" s="1"/>
  <c r="F204" i="11" s="1"/>
  <c r="F205" i="11" s="1"/>
  <c r="F206" i="11" s="1"/>
  <c r="F207" i="11" s="1"/>
  <c r="F208" i="11" s="1"/>
  <c r="F209" i="11" s="1"/>
  <c r="D190" i="11"/>
  <c r="D191" i="11" s="1"/>
  <c r="D192" i="11" s="1"/>
  <c r="D193" i="11" s="1"/>
  <c r="D194" i="11" s="1"/>
  <c r="D195" i="11" s="1"/>
  <c r="D196" i="11" s="1"/>
  <c r="D197" i="11" s="1"/>
  <c r="D198" i="11" s="1"/>
  <c r="D199" i="11" s="1"/>
  <c r="D200" i="11" s="1"/>
  <c r="D201" i="11" s="1"/>
  <c r="D202" i="11" s="1"/>
  <c r="D203" i="11" s="1"/>
  <c r="D204" i="11" s="1"/>
  <c r="D205" i="11" s="1"/>
  <c r="D206" i="11" s="1"/>
  <c r="D207" i="11" s="1"/>
  <c r="D208" i="11" s="1"/>
  <c r="D209" i="11" s="1"/>
  <c r="B190" i="11"/>
  <c r="B191" i="11" s="1"/>
  <c r="B192" i="11" s="1"/>
  <c r="B193" i="11" s="1"/>
  <c r="B194" i="11" s="1"/>
  <c r="B195" i="11" s="1"/>
  <c r="B196" i="11" s="1"/>
  <c r="B197" i="11" s="1"/>
  <c r="B198" i="11" s="1"/>
  <c r="B199" i="11" s="1"/>
  <c r="B200" i="11" s="1"/>
  <c r="B201" i="11" s="1"/>
  <c r="B202" i="11" s="1"/>
  <c r="B203" i="11" s="1"/>
  <c r="B204" i="11" s="1"/>
  <c r="B205" i="11" s="1"/>
  <c r="B206" i="11" s="1"/>
  <c r="B207" i="11" s="1"/>
  <c r="B208" i="11" s="1"/>
  <c r="B209" i="11" s="1"/>
  <c r="J160" i="11"/>
  <c r="L140" i="11"/>
  <c r="L141" i="11" s="1"/>
  <c r="L142" i="11" s="1"/>
  <c r="L143" i="11" s="1"/>
  <c r="L144" i="11" s="1"/>
  <c r="L145" i="11" s="1"/>
  <c r="L146" i="11" s="1"/>
  <c r="L147" i="11" s="1"/>
  <c r="L148" i="11" s="1"/>
  <c r="L149" i="11" s="1"/>
  <c r="L150" i="11" s="1"/>
  <c r="L151" i="11" s="1"/>
  <c r="L152" i="11" s="1"/>
  <c r="L153" i="11" s="1"/>
  <c r="L154" i="11" s="1"/>
  <c r="L155" i="11" s="1"/>
  <c r="L156" i="11" s="1"/>
  <c r="L157" i="11" s="1"/>
  <c r="L158" i="11" s="1"/>
  <c r="L159" i="11" s="1"/>
  <c r="J140" i="11"/>
  <c r="J141" i="11" s="1"/>
  <c r="J142" i="11" s="1"/>
  <c r="J143" i="11" s="1"/>
  <c r="J144" i="11" s="1"/>
  <c r="J145" i="11" s="1"/>
  <c r="J146" i="11" s="1"/>
  <c r="J147" i="11" s="1"/>
  <c r="J148" i="11" s="1"/>
  <c r="J149" i="11" s="1"/>
  <c r="J150" i="11" s="1"/>
  <c r="J151" i="11" s="1"/>
  <c r="J152" i="11" s="1"/>
  <c r="J153" i="11" s="1"/>
  <c r="J154" i="11" s="1"/>
  <c r="J155" i="11" s="1"/>
  <c r="J156" i="11" s="1"/>
  <c r="J157" i="11" s="1"/>
  <c r="J158" i="11" s="1"/>
  <c r="J159" i="11" s="1"/>
  <c r="H140" i="11"/>
  <c r="H141" i="11" s="1"/>
  <c r="H142" i="11" s="1"/>
  <c r="H143" i="11" s="1"/>
  <c r="H144" i="11" s="1"/>
  <c r="H145" i="11" s="1"/>
  <c r="H146" i="11" s="1"/>
  <c r="H147" i="11" s="1"/>
  <c r="H148" i="11" s="1"/>
  <c r="H149" i="11" s="1"/>
  <c r="H150" i="11" s="1"/>
  <c r="H151" i="11" s="1"/>
  <c r="H152" i="11" s="1"/>
  <c r="H153" i="11" s="1"/>
  <c r="H154" i="11" s="1"/>
  <c r="H155" i="11" s="1"/>
  <c r="H156" i="11" s="1"/>
  <c r="H157" i="11" s="1"/>
  <c r="H158" i="11" s="1"/>
  <c r="H159" i="11" s="1"/>
  <c r="F140" i="11"/>
  <c r="F141" i="11" s="1"/>
  <c r="F142" i="11" s="1"/>
  <c r="F143" i="11" s="1"/>
  <c r="F144" i="11" s="1"/>
  <c r="F145" i="11" s="1"/>
  <c r="F146" i="11" s="1"/>
  <c r="F147" i="11" s="1"/>
  <c r="F148" i="11" s="1"/>
  <c r="F149" i="11" s="1"/>
  <c r="F150" i="11" s="1"/>
  <c r="F151" i="11" s="1"/>
  <c r="F152" i="11" s="1"/>
  <c r="F153" i="11" s="1"/>
  <c r="F154" i="11" s="1"/>
  <c r="F155" i="11" s="1"/>
  <c r="F156" i="11" s="1"/>
  <c r="F157" i="11" s="1"/>
  <c r="F158" i="11" s="1"/>
  <c r="F159" i="11" s="1"/>
  <c r="D140" i="11"/>
  <c r="D141" i="11" s="1"/>
  <c r="D142" i="11" s="1"/>
  <c r="D143" i="11" s="1"/>
  <c r="D144" i="11" s="1"/>
  <c r="D145" i="11" s="1"/>
  <c r="D146" i="11" s="1"/>
  <c r="D147" i="11" s="1"/>
  <c r="D148" i="11" s="1"/>
  <c r="D149" i="11" s="1"/>
  <c r="D150" i="11" s="1"/>
  <c r="D151" i="11" s="1"/>
  <c r="D152" i="11" s="1"/>
  <c r="D153" i="11" s="1"/>
  <c r="D154" i="11" s="1"/>
  <c r="D155" i="11" s="1"/>
  <c r="D156" i="11" s="1"/>
  <c r="D157" i="11" s="1"/>
  <c r="D158" i="11" s="1"/>
  <c r="D159" i="11" s="1"/>
  <c r="B140" i="11"/>
  <c r="B141" i="11" s="1"/>
  <c r="B142" i="11" s="1"/>
  <c r="B143" i="11" s="1"/>
  <c r="B144" i="11" s="1"/>
  <c r="B145" i="11" s="1"/>
  <c r="B146" i="11" s="1"/>
  <c r="B147" i="11" s="1"/>
  <c r="B148" i="11" s="1"/>
  <c r="B149" i="11" s="1"/>
  <c r="B150" i="11" s="1"/>
  <c r="B151" i="11" s="1"/>
  <c r="B152" i="11" s="1"/>
  <c r="B153" i="11" s="1"/>
  <c r="B154" i="11" s="1"/>
  <c r="B155" i="11" s="1"/>
  <c r="B156" i="11" s="1"/>
  <c r="B157" i="11" s="1"/>
  <c r="B158" i="11" s="1"/>
  <c r="B159" i="11" s="1"/>
  <c r="J110" i="11"/>
  <c r="L90" i="11"/>
  <c r="L91" i="11" s="1"/>
  <c r="L92" i="11" s="1"/>
  <c r="L93" i="11" s="1"/>
  <c r="L94" i="11" s="1"/>
  <c r="L95" i="11" s="1"/>
  <c r="L96" i="11" s="1"/>
  <c r="L97" i="11" s="1"/>
  <c r="L98" i="11" s="1"/>
  <c r="L99" i="11" s="1"/>
  <c r="L100" i="11" s="1"/>
  <c r="L101" i="11" s="1"/>
  <c r="L102" i="11" s="1"/>
  <c r="L103" i="11" s="1"/>
  <c r="L104" i="11" s="1"/>
  <c r="L105" i="11" s="1"/>
  <c r="L106" i="11" s="1"/>
  <c r="L107" i="11" s="1"/>
  <c r="L108" i="11" s="1"/>
  <c r="L109" i="11" s="1"/>
  <c r="J90" i="11"/>
  <c r="J91" i="11" s="1"/>
  <c r="J92" i="11" s="1"/>
  <c r="J93" i="11" s="1"/>
  <c r="J94" i="11" s="1"/>
  <c r="J95" i="11" s="1"/>
  <c r="J96" i="11" s="1"/>
  <c r="J97" i="11" s="1"/>
  <c r="J98" i="11" s="1"/>
  <c r="J99" i="11" s="1"/>
  <c r="J100" i="11" s="1"/>
  <c r="J101" i="11" s="1"/>
  <c r="J102" i="11" s="1"/>
  <c r="J103" i="11" s="1"/>
  <c r="J104" i="11" s="1"/>
  <c r="J105" i="11" s="1"/>
  <c r="J106" i="11" s="1"/>
  <c r="J107" i="11" s="1"/>
  <c r="J108" i="11" s="1"/>
  <c r="J109" i="11" s="1"/>
  <c r="H90" i="11"/>
  <c r="H91" i="11" s="1"/>
  <c r="H92" i="11" s="1"/>
  <c r="H93" i="11" s="1"/>
  <c r="H94" i="11" s="1"/>
  <c r="H95" i="11" s="1"/>
  <c r="H96" i="11" s="1"/>
  <c r="H97" i="11" s="1"/>
  <c r="H98" i="11" s="1"/>
  <c r="H99" i="11" s="1"/>
  <c r="H100" i="11" s="1"/>
  <c r="H101" i="11" s="1"/>
  <c r="H102" i="11" s="1"/>
  <c r="H103" i="11" s="1"/>
  <c r="H104" i="11" s="1"/>
  <c r="H105" i="11" s="1"/>
  <c r="H106" i="11" s="1"/>
  <c r="H107" i="11" s="1"/>
  <c r="H108" i="11" s="1"/>
  <c r="H109" i="11" s="1"/>
  <c r="F90" i="11"/>
  <c r="F91" i="11" s="1"/>
  <c r="F92" i="11" s="1"/>
  <c r="F93" i="11" s="1"/>
  <c r="F94" i="11" s="1"/>
  <c r="F95" i="11" s="1"/>
  <c r="F96" i="11" s="1"/>
  <c r="F97" i="11" s="1"/>
  <c r="F98" i="11" s="1"/>
  <c r="F99" i="11" s="1"/>
  <c r="F100" i="11" s="1"/>
  <c r="F101" i="11" s="1"/>
  <c r="F102" i="11" s="1"/>
  <c r="F103" i="11" s="1"/>
  <c r="F104" i="11" s="1"/>
  <c r="F105" i="11" s="1"/>
  <c r="F106" i="11" s="1"/>
  <c r="F107" i="11" s="1"/>
  <c r="F108" i="11" s="1"/>
  <c r="F109" i="11" s="1"/>
  <c r="D90" i="11"/>
  <c r="D91" i="11" s="1"/>
  <c r="D92" i="11" s="1"/>
  <c r="D93" i="11" s="1"/>
  <c r="D94" i="11" s="1"/>
  <c r="D95" i="11" s="1"/>
  <c r="D96" i="11" s="1"/>
  <c r="D97" i="11" s="1"/>
  <c r="D98" i="11" s="1"/>
  <c r="D99" i="11" s="1"/>
  <c r="D100" i="11" s="1"/>
  <c r="D101" i="11" s="1"/>
  <c r="D102" i="11" s="1"/>
  <c r="D103" i="11" s="1"/>
  <c r="D104" i="11" s="1"/>
  <c r="D105" i="11" s="1"/>
  <c r="D106" i="11" s="1"/>
  <c r="D107" i="11" s="1"/>
  <c r="D108" i="11" s="1"/>
  <c r="D109" i="11" s="1"/>
  <c r="B90" i="11"/>
  <c r="B91" i="11" s="1"/>
  <c r="B92" i="11" s="1"/>
  <c r="B93" i="11" s="1"/>
  <c r="B94" i="11" s="1"/>
  <c r="B95" i="11" s="1"/>
  <c r="B96" i="11" s="1"/>
  <c r="B97" i="11" s="1"/>
  <c r="B98" i="11" s="1"/>
  <c r="B99" i="11" s="1"/>
  <c r="B100" i="11" s="1"/>
  <c r="B101" i="11" s="1"/>
  <c r="B102" i="11" s="1"/>
  <c r="B103" i="11" s="1"/>
  <c r="B104" i="11" s="1"/>
  <c r="B105" i="11" s="1"/>
  <c r="B106" i="11" s="1"/>
  <c r="B107" i="11" s="1"/>
  <c r="B108" i="11" s="1"/>
  <c r="B109" i="11" s="1"/>
  <c r="J60" i="11"/>
  <c r="L40" i="11"/>
  <c r="L41" i="11" s="1"/>
  <c r="L42" i="11" s="1"/>
  <c r="L43" i="11" s="1"/>
  <c r="L44" i="11" s="1"/>
  <c r="L45" i="11" s="1"/>
  <c r="L46" i="11" s="1"/>
  <c r="L47" i="11" s="1"/>
  <c r="L48" i="11" s="1"/>
  <c r="L49" i="11" s="1"/>
  <c r="L50" i="11" s="1"/>
  <c r="L51" i="11" s="1"/>
  <c r="L52" i="11" s="1"/>
  <c r="L53" i="11" s="1"/>
  <c r="L54" i="11" s="1"/>
  <c r="L55" i="11" s="1"/>
  <c r="L56" i="11" s="1"/>
  <c r="L57" i="11" s="1"/>
  <c r="L58" i="11" s="1"/>
  <c r="L59" i="11" s="1"/>
  <c r="J40" i="11"/>
  <c r="J41" i="11" s="1"/>
  <c r="J42" i="11" s="1"/>
  <c r="J43" i="11" s="1"/>
  <c r="J44" i="11" s="1"/>
  <c r="J45" i="11" s="1"/>
  <c r="J46" i="11" s="1"/>
  <c r="J47" i="11" s="1"/>
  <c r="J48" i="11" s="1"/>
  <c r="J49" i="11" s="1"/>
  <c r="J50" i="11" s="1"/>
  <c r="J51" i="11" s="1"/>
  <c r="J52" i="11" s="1"/>
  <c r="J53" i="11" s="1"/>
  <c r="J54" i="11" s="1"/>
  <c r="J55" i="11" s="1"/>
  <c r="J56" i="11" s="1"/>
  <c r="J57" i="11" s="1"/>
  <c r="J58" i="11" s="1"/>
  <c r="J59" i="11" s="1"/>
  <c r="H40" i="11"/>
  <c r="H41" i="11" s="1"/>
  <c r="H42" i="11" s="1"/>
  <c r="H43" i="11" s="1"/>
  <c r="H44" i="11" s="1"/>
  <c r="H45" i="11" s="1"/>
  <c r="H46" i="11" s="1"/>
  <c r="H47" i="11" s="1"/>
  <c r="H48" i="11" s="1"/>
  <c r="H49" i="11" s="1"/>
  <c r="H50" i="11" s="1"/>
  <c r="H51" i="11" s="1"/>
  <c r="H52" i="11" s="1"/>
  <c r="H53" i="11" s="1"/>
  <c r="H54" i="11" s="1"/>
  <c r="H55" i="11" s="1"/>
  <c r="H56" i="11" s="1"/>
  <c r="H57" i="11" s="1"/>
  <c r="H58" i="11" s="1"/>
  <c r="H59" i="11" s="1"/>
  <c r="F40" i="11"/>
  <c r="F41" i="11" s="1"/>
  <c r="F42" i="11" s="1"/>
  <c r="F43" i="11" s="1"/>
  <c r="F44" i="11" s="1"/>
  <c r="F45" i="11" s="1"/>
  <c r="F46" i="11" s="1"/>
  <c r="F47" i="11" s="1"/>
  <c r="F48" i="11" s="1"/>
  <c r="F49" i="11" s="1"/>
  <c r="F50" i="11" s="1"/>
  <c r="F51" i="11" s="1"/>
  <c r="F52" i="11" s="1"/>
  <c r="F53" i="11" s="1"/>
  <c r="F54" i="11" s="1"/>
  <c r="F55" i="11" s="1"/>
  <c r="F56" i="11" s="1"/>
  <c r="F57" i="11" s="1"/>
  <c r="F58" i="11" s="1"/>
  <c r="F59" i="11" s="1"/>
  <c r="D40" i="11"/>
  <c r="D41" i="11" s="1"/>
  <c r="D42" i="11" s="1"/>
  <c r="D43" i="11" s="1"/>
  <c r="D44" i="11" s="1"/>
  <c r="D45" i="11" s="1"/>
  <c r="D46" i="11" s="1"/>
  <c r="D47" i="11" s="1"/>
  <c r="D48" i="11" s="1"/>
  <c r="D49" i="11" s="1"/>
  <c r="D50" i="11" s="1"/>
  <c r="D51" i="11" s="1"/>
  <c r="D52" i="11" s="1"/>
  <c r="D53" i="11" s="1"/>
  <c r="D54" i="11" s="1"/>
  <c r="D55" i="11" s="1"/>
  <c r="D56" i="11" s="1"/>
  <c r="D57" i="11" s="1"/>
  <c r="D58" i="11" s="1"/>
  <c r="D59" i="11" s="1"/>
  <c r="B40" i="11"/>
  <c r="B41" i="11" s="1"/>
  <c r="B42" i="11" s="1"/>
  <c r="B43" i="11" s="1"/>
  <c r="B44" i="11" s="1"/>
  <c r="B45" i="11" s="1"/>
  <c r="B46" i="11" s="1"/>
  <c r="B47" i="11" s="1"/>
  <c r="B48" i="11" s="1"/>
  <c r="B49" i="11" s="1"/>
  <c r="B50" i="11" s="1"/>
  <c r="B51" i="11" s="1"/>
  <c r="B52" i="11" s="1"/>
  <c r="B53" i="11" s="1"/>
  <c r="B54" i="11" s="1"/>
  <c r="B55" i="11" s="1"/>
  <c r="B56" i="11" s="1"/>
  <c r="B57" i="11" s="1"/>
  <c r="B58" i="11" s="1"/>
  <c r="B59" i="11" s="1"/>
  <c r="J208" i="10"/>
  <c r="L188" i="10"/>
  <c r="L189" i="10" s="1"/>
  <c r="L190" i="10" s="1"/>
  <c r="L191" i="10" s="1"/>
  <c r="L192" i="10" s="1"/>
  <c r="L193" i="10" s="1"/>
  <c r="L194" i="10" s="1"/>
  <c r="L195" i="10" s="1"/>
  <c r="L196" i="10" s="1"/>
  <c r="L197" i="10" s="1"/>
  <c r="L198" i="10" s="1"/>
  <c r="L199" i="10" s="1"/>
  <c r="L200" i="10" s="1"/>
  <c r="L201" i="10" s="1"/>
  <c r="L202" i="10" s="1"/>
  <c r="L203" i="10" s="1"/>
  <c r="L204" i="10" s="1"/>
  <c r="L205" i="10" s="1"/>
  <c r="L206" i="10" s="1"/>
  <c r="L207" i="10" s="1"/>
  <c r="J188" i="10"/>
  <c r="J189" i="10" s="1"/>
  <c r="J190" i="10" s="1"/>
  <c r="J191" i="10" s="1"/>
  <c r="J192" i="10" s="1"/>
  <c r="J193" i="10" s="1"/>
  <c r="J194" i="10" s="1"/>
  <c r="J195" i="10" s="1"/>
  <c r="J196" i="10" s="1"/>
  <c r="J197" i="10" s="1"/>
  <c r="J198" i="10" s="1"/>
  <c r="J199" i="10" s="1"/>
  <c r="J200" i="10" s="1"/>
  <c r="J201" i="10" s="1"/>
  <c r="J202" i="10" s="1"/>
  <c r="J203" i="10" s="1"/>
  <c r="J204" i="10" s="1"/>
  <c r="J205" i="10" s="1"/>
  <c r="J206" i="10" s="1"/>
  <c r="J207" i="10" s="1"/>
  <c r="H188" i="10"/>
  <c r="H189" i="10" s="1"/>
  <c r="H190" i="10" s="1"/>
  <c r="H191" i="10" s="1"/>
  <c r="H192" i="10" s="1"/>
  <c r="H193" i="10" s="1"/>
  <c r="H194" i="10" s="1"/>
  <c r="H195" i="10" s="1"/>
  <c r="H196" i="10" s="1"/>
  <c r="H197" i="10" s="1"/>
  <c r="H198" i="10" s="1"/>
  <c r="H199" i="10" s="1"/>
  <c r="H200" i="10" s="1"/>
  <c r="H201" i="10" s="1"/>
  <c r="H202" i="10" s="1"/>
  <c r="H203" i="10" s="1"/>
  <c r="H204" i="10" s="1"/>
  <c r="H205" i="10" s="1"/>
  <c r="H206" i="10" s="1"/>
  <c r="H207" i="10" s="1"/>
  <c r="F188" i="10"/>
  <c r="F189" i="10" s="1"/>
  <c r="F190" i="10" s="1"/>
  <c r="F191" i="10" s="1"/>
  <c r="F192" i="10" s="1"/>
  <c r="F193" i="10" s="1"/>
  <c r="F194" i="10" s="1"/>
  <c r="F195" i="10" s="1"/>
  <c r="F196" i="10" s="1"/>
  <c r="F197" i="10" s="1"/>
  <c r="F198" i="10" s="1"/>
  <c r="F199" i="10" s="1"/>
  <c r="F200" i="10" s="1"/>
  <c r="F201" i="10" s="1"/>
  <c r="F202" i="10" s="1"/>
  <c r="F203" i="10" s="1"/>
  <c r="F204" i="10" s="1"/>
  <c r="F205" i="10" s="1"/>
  <c r="F206" i="10" s="1"/>
  <c r="F207" i="10" s="1"/>
  <c r="D188" i="10"/>
  <c r="D189" i="10" s="1"/>
  <c r="D190" i="10" s="1"/>
  <c r="D191" i="10" s="1"/>
  <c r="D192" i="10" s="1"/>
  <c r="D193" i="10" s="1"/>
  <c r="D194" i="10" s="1"/>
  <c r="D195" i="10" s="1"/>
  <c r="D196" i="10" s="1"/>
  <c r="D197" i="10" s="1"/>
  <c r="D198" i="10" s="1"/>
  <c r="D199" i="10" s="1"/>
  <c r="D200" i="10" s="1"/>
  <c r="D201" i="10" s="1"/>
  <c r="D202" i="10" s="1"/>
  <c r="D203" i="10" s="1"/>
  <c r="D204" i="10" s="1"/>
  <c r="D205" i="10" s="1"/>
  <c r="D206" i="10" s="1"/>
  <c r="D207" i="10" s="1"/>
  <c r="B188" i="10"/>
  <c r="B189" i="10" s="1"/>
  <c r="B190" i="10" s="1"/>
  <c r="B191" i="10" s="1"/>
  <c r="B192" i="10" s="1"/>
  <c r="B193" i="10" s="1"/>
  <c r="B194" i="10" s="1"/>
  <c r="B195" i="10" s="1"/>
  <c r="B196" i="10" s="1"/>
  <c r="B197" i="10" s="1"/>
  <c r="B198" i="10" s="1"/>
  <c r="B199" i="10" s="1"/>
  <c r="B200" i="10" s="1"/>
  <c r="B201" i="10" s="1"/>
  <c r="B202" i="10" s="1"/>
  <c r="B203" i="10" s="1"/>
  <c r="B204" i="10" s="1"/>
  <c r="B205" i="10" s="1"/>
  <c r="B206" i="10" s="1"/>
  <c r="B207" i="10" s="1"/>
  <c r="J158" i="10"/>
  <c r="L138" i="10"/>
  <c r="L139" i="10" s="1"/>
  <c r="L140" i="10" s="1"/>
  <c r="L141" i="10" s="1"/>
  <c r="L142" i="10" s="1"/>
  <c r="L143" i="10" s="1"/>
  <c r="L144" i="10" s="1"/>
  <c r="L145" i="10" s="1"/>
  <c r="L146" i="10" s="1"/>
  <c r="L147" i="10" s="1"/>
  <c r="L148" i="10" s="1"/>
  <c r="L149" i="10" s="1"/>
  <c r="L150" i="10" s="1"/>
  <c r="L151" i="10" s="1"/>
  <c r="L152" i="10" s="1"/>
  <c r="L153" i="10" s="1"/>
  <c r="L154" i="10" s="1"/>
  <c r="L155" i="10" s="1"/>
  <c r="L156" i="10" s="1"/>
  <c r="L157" i="10" s="1"/>
  <c r="J138" i="10"/>
  <c r="J139" i="10" s="1"/>
  <c r="J140" i="10" s="1"/>
  <c r="J141" i="10" s="1"/>
  <c r="J142" i="10" s="1"/>
  <c r="J143" i="10" s="1"/>
  <c r="J144" i="10" s="1"/>
  <c r="J145" i="10" s="1"/>
  <c r="J146" i="10" s="1"/>
  <c r="J147" i="10" s="1"/>
  <c r="J148" i="10" s="1"/>
  <c r="J149" i="10" s="1"/>
  <c r="J150" i="10" s="1"/>
  <c r="J151" i="10" s="1"/>
  <c r="J152" i="10" s="1"/>
  <c r="J153" i="10" s="1"/>
  <c r="J154" i="10" s="1"/>
  <c r="J155" i="10" s="1"/>
  <c r="J156" i="10" s="1"/>
  <c r="J157" i="10" s="1"/>
  <c r="H138" i="10"/>
  <c r="H139" i="10" s="1"/>
  <c r="H140" i="10" s="1"/>
  <c r="H141" i="10" s="1"/>
  <c r="H142" i="10" s="1"/>
  <c r="H143" i="10" s="1"/>
  <c r="H144" i="10" s="1"/>
  <c r="H145" i="10" s="1"/>
  <c r="H146" i="10" s="1"/>
  <c r="H147" i="10" s="1"/>
  <c r="H148" i="10" s="1"/>
  <c r="H149" i="10" s="1"/>
  <c r="H150" i="10" s="1"/>
  <c r="H151" i="10" s="1"/>
  <c r="H152" i="10" s="1"/>
  <c r="H153" i="10" s="1"/>
  <c r="H154" i="10" s="1"/>
  <c r="H155" i="10" s="1"/>
  <c r="H156" i="10" s="1"/>
  <c r="H157" i="10" s="1"/>
  <c r="F138" i="10"/>
  <c r="F139" i="10" s="1"/>
  <c r="F140" i="10" s="1"/>
  <c r="F141" i="10" s="1"/>
  <c r="F142" i="10" s="1"/>
  <c r="F143" i="10" s="1"/>
  <c r="F144" i="10" s="1"/>
  <c r="F145" i="10" s="1"/>
  <c r="F146" i="10" s="1"/>
  <c r="F147" i="10" s="1"/>
  <c r="F148" i="10" s="1"/>
  <c r="F149" i="10" s="1"/>
  <c r="F150" i="10" s="1"/>
  <c r="F151" i="10" s="1"/>
  <c r="F152" i="10" s="1"/>
  <c r="F153" i="10" s="1"/>
  <c r="F154" i="10" s="1"/>
  <c r="F155" i="10" s="1"/>
  <c r="F156" i="10" s="1"/>
  <c r="F157" i="10" s="1"/>
  <c r="D138" i="10"/>
  <c r="D139" i="10" s="1"/>
  <c r="D140" i="10" s="1"/>
  <c r="D141" i="10" s="1"/>
  <c r="D142" i="10" s="1"/>
  <c r="D143" i="10" s="1"/>
  <c r="D144" i="10" s="1"/>
  <c r="D145" i="10" s="1"/>
  <c r="D146" i="10" s="1"/>
  <c r="D147" i="10" s="1"/>
  <c r="D148" i="10" s="1"/>
  <c r="D149" i="10" s="1"/>
  <c r="D150" i="10" s="1"/>
  <c r="D151" i="10" s="1"/>
  <c r="D152" i="10" s="1"/>
  <c r="D153" i="10" s="1"/>
  <c r="D154" i="10" s="1"/>
  <c r="D155" i="10" s="1"/>
  <c r="D156" i="10" s="1"/>
  <c r="D157" i="10" s="1"/>
  <c r="B138" i="10"/>
  <c r="B139" i="10" s="1"/>
  <c r="B140" i="10" s="1"/>
  <c r="B141" i="10" s="1"/>
  <c r="B142" i="10" s="1"/>
  <c r="B143" i="10" s="1"/>
  <c r="B144" i="10" s="1"/>
  <c r="B145" i="10" s="1"/>
  <c r="B146" i="10" s="1"/>
  <c r="B147" i="10" s="1"/>
  <c r="B148" i="10" s="1"/>
  <c r="B149" i="10" s="1"/>
  <c r="B150" i="10" s="1"/>
  <c r="B151" i="10" s="1"/>
  <c r="B152" i="10" s="1"/>
  <c r="B153" i="10" s="1"/>
  <c r="B154" i="10" s="1"/>
  <c r="B155" i="10" s="1"/>
  <c r="B156" i="10" s="1"/>
  <c r="B157" i="10" s="1"/>
  <c r="J108" i="10"/>
  <c r="L88" i="10"/>
  <c r="L89" i="10" s="1"/>
  <c r="L90" i="10" s="1"/>
  <c r="L91" i="10" s="1"/>
  <c r="L92" i="10" s="1"/>
  <c r="L93" i="10" s="1"/>
  <c r="L94" i="10" s="1"/>
  <c r="L95" i="10" s="1"/>
  <c r="L96" i="10" s="1"/>
  <c r="L97" i="10" s="1"/>
  <c r="L98" i="10" s="1"/>
  <c r="L99" i="10" s="1"/>
  <c r="L100" i="10" s="1"/>
  <c r="L101" i="10" s="1"/>
  <c r="L102" i="10" s="1"/>
  <c r="L103" i="10" s="1"/>
  <c r="L104" i="10" s="1"/>
  <c r="L105" i="10" s="1"/>
  <c r="L106" i="10" s="1"/>
  <c r="L107" i="10" s="1"/>
  <c r="J88" i="10"/>
  <c r="J89" i="10" s="1"/>
  <c r="J90" i="10" s="1"/>
  <c r="J91" i="10" s="1"/>
  <c r="J92" i="10" s="1"/>
  <c r="J93" i="10" s="1"/>
  <c r="J94" i="10" s="1"/>
  <c r="J95" i="10" s="1"/>
  <c r="J96" i="10" s="1"/>
  <c r="J97" i="10" s="1"/>
  <c r="J98" i="10" s="1"/>
  <c r="J99" i="10" s="1"/>
  <c r="J100" i="10" s="1"/>
  <c r="J101" i="10" s="1"/>
  <c r="J102" i="10" s="1"/>
  <c r="J103" i="10" s="1"/>
  <c r="J104" i="10" s="1"/>
  <c r="J105" i="10" s="1"/>
  <c r="J106" i="10" s="1"/>
  <c r="J107" i="10" s="1"/>
  <c r="H88" i="10"/>
  <c r="H89" i="10" s="1"/>
  <c r="H90" i="10" s="1"/>
  <c r="H91" i="10" s="1"/>
  <c r="H92" i="10" s="1"/>
  <c r="H93" i="10" s="1"/>
  <c r="H94" i="10" s="1"/>
  <c r="H95" i="10" s="1"/>
  <c r="H96" i="10" s="1"/>
  <c r="H97" i="10" s="1"/>
  <c r="H98" i="10" s="1"/>
  <c r="H99" i="10" s="1"/>
  <c r="H100" i="10" s="1"/>
  <c r="H101" i="10" s="1"/>
  <c r="H102" i="10" s="1"/>
  <c r="H103" i="10" s="1"/>
  <c r="H104" i="10" s="1"/>
  <c r="H105" i="10" s="1"/>
  <c r="H106" i="10" s="1"/>
  <c r="H107" i="10" s="1"/>
  <c r="F88" i="10"/>
  <c r="F89" i="10" s="1"/>
  <c r="F90" i="10" s="1"/>
  <c r="F91" i="10" s="1"/>
  <c r="F92" i="10" s="1"/>
  <c r="F93" i="10" s="1"/>
  <c r="F94" i="10" s="1"/>
  <c r="F95" i="10" s="1"/>
  <c r="F96" i="10" s="1"/>
  <c r="F97" i="10" s="1"/>
  <c r="F98" i="10" s="1"/>
  <c r="F99" i="10" s="1"/>
  <c r="F100" i="10" s="1"/>
  <c r="F101" i="10" s="1"/>
  <c r="F102" i="10" s="1"/>
  <c r="F103" i="10" s="1"/>
  <c r="F104" i="10" s="1"/>
  <c r="F105" i="10" s="1"/>
  <c r="F106" i="10" s="1"/>
  <c r="F107" i="10" s="1"/>
  <c r="D88" i="10"/>
  <c r="D89" i="10" s="1"/>
  <c r="D90" i="10" s="1"/>
  <c r="D91" i="10" s="1"/>
  <c r="D92" i="10" s="1"/>
  <c r="D93" i="10" s="1"/>
  <c r="D94" i="10" s="1"/>
  <c r="D95" i="10" s="1"/>
  <c r="D96" i="10" s="1"/>
  <c r="D97" i="10" s="1"/>
  <c r="D98" i="10" s="1"/>
  <c r="D99" i="10" s="1"/>
  <c r="D100" i="10" s="1"/>
  <c r="D101" i="10" s="1"/>
  <c r="D102" i="10" s="1"/>
  <c r="D103" i="10" s="1"/>
  <c r="D104" i="10" s="1"/>
  <c r="D105" i="10" s="1"/>
  <c r="D106" i="10" s="1"/>
  <c r="D107" i="10" s="1"/>
  <c r="B88" i="10"/>
  <c r="B89" i="10" s="1"/>
  <c r="B90" i="10" s="1"/>
  <c r="B91" i="10" s="1"/>
  <c r="B92" i="10" s="1"/>
  <c r="B93" i="10" s="1"/>
  <c r="B94" i="10" s="1"/>
  <c r="B95" i="10" s="1"/>
  <c r="B96" i="10" s="1"/>
  <c r="B97" i="10" s="1"/>
  <c r="B98" i="10" s="1"/>
  <c r="B99" i="10" s="1"/>
  <c r="B100" i="10" s="1"/>
  <c r="B101" i="10" s="1"/>
  <c r="B102" i="10" s="1"/>
  <c r="B103" i="10" s="1"/>
  <c r="B104" i="10" s="1"/>
  <c r="B105" i="10" s="1"/>
  <c r="B106" i="10" s="1"/>
  <c r="B107" i="10" s="1"/>
  <c r="J58" i="10"/>
  <c r="L38" i="10"/>
  <c r="L39" i="10" s="1"/>
  <c r="L40" i="10" s="1"/>
  <c r="L41" i="10" s="1"/>
  <c r="L42" i="10" s="1"/>
  <c r="L43" i="10" s="1"/>
  <c r="L44" i="10" s="1"/>
  <c r="L45" i="10" s="1"/>
  <c r="L46" i="10" s="1"/>
  <c r="L47" i="10" s="1"/>
  <c r="L48" i="10" s="1"/>
  <c r="L49" i="10" s="1"/>
  <c r="L50" i="10" s="1"/>
  <c r="L51" i="10" s="1"/>
  <c r="L52" i="10" s="1"/>
  <c r="L53" i="10" s="1"/>
  <c r="L54" i="10" s="1"/>
  <c r="L55" i="10" s="1"/>
  <c r="L56" i="10" s="1"/>
  <c r="L57" i="10" s="1"/>
  <c r="J38" i="10"/>
  <c r="J39" i="10" s="1"/>
  <c r="J40" i="10" s="1"/>
  <c r="J41" i="10" s="1"/>
  <c r="J42" i="10" s="1"/>
  <c r="J43" i="10" s="1"/>
  <c r="J44" i="10" s="1"/>
  <c r="J45" i="10" s="1"/>
  <c r="J46" i="10" s="1"/>
  <c r="J47" i="10" s="1"/>
  <c r="J48" i="10" s="1"/>
  <c r="J49" i="10" s="1"/>
  <c r="J50" i="10" s="1"/>
  <c r="J51" i="10" s="1"/>
  <c r="J52" i="10" s="1"/>
  <c r="J53" i="10" s="1"/>
  <c r="J54" i="10" s="1"/>
  <c r="J55" i="10" s="1"/>
  <c r="J56" i="10" s="1"/>
  <c r="J57" i="10" s="1"/>
  <c r="H38" i="10"/>
  <c r="H39" i="10" s="1"/>
  <c r="H40" i="10" s="1"/>
  <c r="H41" i="10" s="1"/>
  <c r="H42" i="10" s="1"/>
  <c r="H43" i="10" s="1"/>
  <c r="H44" i="10" s="1"/>
  <c r="H45" i="10" s="1"/>
  <c r="H46" i="10" s="1"/>
  <c r="H47" i="10" s="1"/>
  <c r="H48" i="10" s="1"/>
  <c r="H49" i="10" s="1"/>
  <c r="H50" i="10" s="1"/>
  <c r="H51" i="10" s="1"/>
  <c r="H52" i="10" s="1"/>
  <c r="H53" i="10" s="1"/>
  <c r="H54" i="10" s="1"/>
  <c r="H55" i="10" s="1"/>
  <c r="H56" i="10" s="1"/>
  <c r="H57" i="10" s="1"/>
  <c r="F38" i="10"/>
  <c r="F39" i="10" s="1"/>
  <c r="F40" i="10" s="1"/>
  <c r="F41" i="10" s="1"/>
  <c r="F42" i="10" s="1"/>
  <c r="F43" i="10" s="1"/>
  <c r="F44" i="10" s="1"/>
  <c r="F45" i="10" s="1"/>
  <c r="F46" i="10" s="1"/>
  <c r="F47" i="10" s="1"/>
  <c r="F48" i="10" s="1"/>
  <c r="F49" i="10" s="1"/>
  <c r="F50" i="10" s="1"/>
  <c r="F51" i="10" s="1"/>
  <c r="F52" i="10" s="1"/>
  <c r="F53" i="10" s="1"/>
  <c r="F54" i="10" s="1"/>
  <c r="F55" i="10" s="1"/>
  <c r="F56" i="10" s="1"/>
  <c r="F57" i="10" s="1"/>
  <c r="D38" i="10"/>
  <c r="D39" i="10" s="1"/>
  <c r="D40" i="10" s="1"/>
  <c r="D41" i="10" s="1"/>
  <c r="D42" i="10" s="1"/>
  <c r="D43" i="10" s="1"/>
  <c r="D44" i="10" s="1"/>
  <c r="D45" i="10" s="1"/>
  <c r="D46" i="10" s="1"/>
  <c r="D47" i="10" s="1"/>
  <c r="D48" i="10" s="1"/>
  <c r="D49" i="10" s="1"/>
  <c r="D50" i="10" s="1"/>
  <c r="D51" i="10" s="1"/>
  <c r="D52" i="10" s="1"/>
  <c r="D53" i="10" s="1"/>
  <c r="D54" i="10" s="1"/>
  <c r="D55" i="10" s="1"/>
  <c r="D56" i="10" s="1"/>
  <c r="D57" i="10" s="1"/>
  <c r="B38" i="10"/>
  <c r="B39" i="10" s="1"/>
  <c r="B40" i="10" s="1"/>
  <c r="B41" i="10" s="1"/>
  <c r="B42" i="10" s="1"/>
  <c r="B43" i="10" s="1"/>
  <c r="B44" i="10" s="1"/>
  <c r="B45" i="10" s="1"/>
  <c r="B46" i="10" s="1"/>
  <c r="B47" i="10" s="1"/>
  <c r="B48" i="10" s="1"/>
  <c r="B49" i="10" s="1"/>
  <c r="B50" i="10" s="1"/>
  <c r="B51" i="10" s="1"/>
  <c r="B52" i="10" s="1"/>
  <c r="B53" i="10" s="1"/>
  <c r="B54" i="10" s="1"/>
  <c r="B55" i="10" s="1"/>
  <c r="B56" i="10" s="1"/>
  <c r="B57" i="10" s="1"/>
  <c r="J156" i="9"/>
  <c r="L136" i="9"/>
  <c r="L137" i="9" s="1"/>
  <c r="L138" i="9" s="1"/>
  <c r="L139" i="9" s="1"/>
  <c r="L140" i="9" s="1"/>
  <c r="L141" i="9" s="1"/>
  <c r="L142" i="9" s="1"/>
  <c r="L143" i="9" s="1"/>
  <c r="L144" i="9" s="1"/>
  <c r="L145" i="9" s="1"/>
  <c r="L146" i="9" s="1"/>
  <c r="L147" i="9" s="1"/>
  <c r="L148" i="9" s="1"/>
  <c r="L149" i="9" s="1"/>
  <c r="L150" i="9" s="1"/>
  <c r="L151" i="9" s="1"/>
  <c r="L152" i="9" s="1"/>
  <c r="L153" i="9" s="1"/>
  <c r="L154" i="9" s="1"/>
  <c r="L155" i="9" s="1"/>
  <c r="J136" i="9"/>
  <c r="J137" i="9" s="1"/>
  <c r="J138" i="9" s="1"/>
  <c r="J139" i="9" s="1"/>
  <c r="J140" i="9" s="1"/>
  <c r="J141" i="9" s="1"/>
  <c r="J142" i="9" s="1"/>
  <c r="J143" i="9" s="1"/>
  <c r="J144" i="9" s="1"/>
  <c r="J145" i="9" s="1"/>
  <c r="J146" i="9" s="1"/>
  <c r="J147" i="9" s="1"/>
  <c r="J148" i="9" s="1"/>
  <c r="J149" i="9" s="1"/>
  <c r="J150" i="9" s="1"/>
  <c r="J151" i="9" s="1"/>
  <c r="J152" i="9" s="1"/>
  <c r="J153" i="9" s="1"/>
  <c r="J154" i="9" s="1"/>
  <c r="J155" i="9" s="1"/>
  <c r="H136" i="9"/>
  <c r="H137" i="9" s="1"/>
  <c r="H138" i="9" s="1"/>
  <c r="H139" i="9" s="1"/>
  <c r="H140" i="9" s="1"/>
  <c r="H141" i="9" s="1"/>
  <c r="H142" i="9" s="1"/>
  <c r="H143" i="9" s="1"/>
  <c r="H144" i="9" s="1"/>
  <c r="H145" i="9" s="1"/>
  <c r="H146" i="9" s="1"/>
  <c r="H147" i="9" s="1"/>
  <c r="H148" i="9" s="1"/>
  <c r="H149" i="9" s="1"/>
  <c r="H150" i="9" s="1"/>
  <c r="H151" i="9" s="1"/>
  <c r="H152" i="9" s="1"/>
  <c r="H153" i="9" s="1"/>
  <c r="H154" i="9" s="1"/>
  <c r="H155" i="9" s="1"/>
  <c r="F136" i="9"/>
  <c r="F137" i="9" s="1"/>
  <c r="F138" i="9" s="1"/>
  <c r="F139" i="9" s="1"/>
  <c r="F140" i="9" s="1"/>
  <c r="F141" i="9" s="1"/>
  <c r="F142" i="9" s="1"/>
  <c r="F143" i="9" s="1"/>
  <c r="F144" i="9" s="1"/>
  <c r="F145" i="9" s="1"/>
  <c r="F146" i="9" s="1"/>
  <c r="F147" i="9" s="1"/>
  <c r="F148" i="9" s="1"/>
  <c r="F149" i="9" s="1"/>
  <c r="F150" i="9" s="1"/>
  <c r="F151" i="9" s="1"/>
  <c r="F152" i="9" s="1"/>
  <c r="F153" i="9" s="1"/>
  <c r="F154" i="9" s="1"/>
  <c r="F155" i="9" s="1"/>
  <c r="D136" i="9"/>
  <c r="D137" i="9" s="1"/>
  <c r="D138" i="9" s="1"/>
  <c r="D139" i="9" s="1"/>
  <c r="D140" i="9" s="1"/>
  <c r="D141" i="9" s="1"/>
  <c r="D142" i="9" s="1"/>
  <c r="D143" i="9" s="1"/>
  <c r="D144" i="9" s="1"/>
  <c r="D145" i="9" s="1"/>
  <c r="D146" i="9" s="1"/>
  <c r="D147" i="9" s="1"/>
  <c r="D148" i="9" s="1"/>
  <c r="D149" i="9" s="1"/>
  <c r="D150" i="9" s="1"/>
  <c r="D151" i="9" s="1"/>
  <c r="D152" i="9" s="1"/>
  <c r="D153" i="9" s="1"/>
  <c r="D154" i="9" s="1"/>
  <c r="D155" i="9" s="1"/>
  <c r="B136" i="9"/>
  <c r="B137" i="9" s="1"/>
  <c r="B138" i="9" s="1"/>
  <c r="B139" i="9" s="1"/>
  <c r="B140" i="9" s="1"/>
  <c r="B141" i="9" s="1"/>
  <c r="B142" i="9" s="1"/>
  <c r="B143" i="9" s="1"/>
  <c r="B144" i="9" s="1"/>
  <c r="B145" i="9" s="1"/>
  <c r="B146" i="9" s="1"/>
  <c r="B147" i="9" s="1"/>
  <c r="B148" i="9" s="1"/>
  <c r="B149" i="9" s="1"/>
  <c r="B150" i="9" s="1"/>
  <c r="B151" i="9" s="1"/>
  <c r="B152" i="9" s="1"/>
  <c r="B153" i="9" s="1"/>
  <c r="B154" i="9" s="1"/>
  <c r="B155" i="9" s="1"/>
  <c r="J106" i="9"/>
  <c r="L86" i="9"/>
  <c r="L87" i="9" s="1"/>
  <c r="L88" i="9" s="1"/>
  <c r="L89" i="9" s="1"/>
  <c r="L90" i="9" s="1"/>
  <c r="L91" i="9" s="1"/>
  <c r="L92" i="9" s="1"/>
  <c r="L93" i="9" s="1"/>
  <c r="L94" i="9" s="1"/>
  <c r="L95" i="9" s="1"/>
  <c r="L96" i="9" s="1"/>
  <c r="L97" i="9" s="1"/>
  <c r="L98" i="9" s="1"/>
  <c r="L99" i="9" s="1"/>
  <c r="L100" i="9" s="1"/>
  <c r="L101" i="9" s="1"/>
  <c r="L102" i="9" s="1"/>
  <c r="L103" i="9" s="1"/>
  <c r="L104" i="9" s="1"/>
  <c r="L105" i="9" s="1"/>
  <c r="J86" i="9"/>
  <c r="J87" i="9" s="1"/>
  <c r="J88" i="9" s="1"/>
  <c r="J89" i="9" s="1"/>
  <c r="J90" i="9" s="1"/>
  <c r="J91" i="9" s="1"/>
  <c r="J92" i="9" s="1"/>
  <c r="J93" i="9" s="1"/>
  <c r="J94" i="9" s="1"/>
  <c r="J95" i="9" s="1"/>
  <c r="J96" i="9" s="1"/>
  <c r="J97" i="9" s="1"/>
  <c r="J98" i="9" s="1"/>
  <c r="J99" i="9" s="1"/>
  <c r="J100" i="9" s="1"/>
  <c r="J101" i="9" s="1"/>
  <c r="J102" i="9" s="1"/>
  <c r="J103" i="9" s="1"/>
  <c r="J104" i="9" s="1"/>
  <c r="J105" i="9" s="1"/>
  <c r="H86" i="9"/>
  <c r="H87" i="9" s="1"/>
  <c r="H88" i="9" s="1"/>
  <c r="H89" i="9" s="1"/>
  <c r="H90" i="9" s="1"/>
  <c r="H91" i="9" s="1"/>
  <c r="H92" i="9" s="1"/>
  <c r="H93" i="9" s="1"/>
  <c r="H94" i="9" s="1"/>
  <c r="H95" i="9" s="1"/>
  <c r="H96" i="9" s="1"/>
  <c r="H97" i="9" s="1"/>
  <c r="H98" i="9" s="1"/>
  <c r="H99" i="9" s="1"/>
  <c r="H100" i="9" s="1"/>
  <c r="H101" i="9" s="1"/>
  <c r="H102" i="9" s="1"/>
  <c r="H103" i="9" s="1"/>
  <c r="H104" i="9" s="1"/>
  <c r="H105" i="9" s="1"/>
  <c r="F86" i="9"/>
  <c r="F87" i="9" s="1"/>
  <c r="F88" i="9" s="1"/>
  <c r="F89" i="9" s="1"/>
  <c r="F90" i="9" s="1"/>
  <c r="F91" i="9" s="1"/>
  <c r="F92" i="9" s="1"/>
  <c r="F93" i="9" s="1"/>
  <c r="F94" i="9" s="1"/>
  <c r="F95" i="9" s="1"/>
  <c r="F96" i="9" s="1"/>
  <c r="F97" i="9" s="1"/>
  <c r="F98" i="9" s="1"/>
  <c r="F99" i="9" s="1"/>
  <c r="F100" i="9" s="1"/>
  <c r="F101" i="9" s="1"/>
  <c r="F102" i="9" s="1"/>
  <c r="F103" i="9" s="1"/>
  <c r="F104" i="9" s="1"/>
  <c r="F105" i="9" s="1"/>
  <c r="D86" i="9"/>
  <c r="D87" i="9" s="1"/>
  <c r="D88" i="9" s="1"/>
  <c r="D89" i="9" s="1"/>
  <c r="D90" i="9" s="1"/>
  <c r="D91" i="9" s="1"/>
  <c r="D92" i="9" s="1"/>
  <c r="D93" i="9" s="1"/>
  <c r="D94" i="9" s="1"/>
  <c r="D95" i="9" s="1"/>
  <c r="D96" i="9" s="1"/>
  <c r="D97" i="9" s="1"/>
  <c r="D98" i="9" s="1"/>
  <c r="D99" i="9" s="1"/>
  <c r="D100" i="9" s="1"/>
  <c r="D101" i="9" s="1"/>
  <c r="D102" i="9" s="1"/>
  <c r="D103" i="9" s="1"/>
  <c r="D104" i="9" s="1"/>
  <c r="D105" i="9" s="1"/>
  <c r="B86" i="9"/>
  <c r="B87" i="9" s="1"/>
  <c r="B88" i="9" s="1"/>
  <c r="B89" i="9" s="1"/>
  <c r="B90" i="9" s="1"/>
  <c r="B91" i="9" s="1"/>
  <c r="B92" i="9" s="1"/>
  <c r="B93" i="9" s="1"/>
  <c r="B94" i="9" s="1"/>
  <c r="B95" i="9" s="1"/>
  <c r="B96" i="9" s="1"/>
  <c r="B97" i="9" s="1"/>
  <c r="B98" i="9" s="1"/>
  <c r="B99" i="9" s="1"/>
  <c r="B100" i="9" s="1"/>
  <c r="B101" i="9" s="1"/>
  <c r="B102" i="9" s="1"/>
  <c r="B103" i="9" s="1"/>
  <c r="B104" i="9" s="1"/>
  <c r="B105" i="9" s="1"/>
  <c r="J56" i="9"/>
  <c r="L36" i="9"/>
  <c r="L37" i="9" s="1"/>
  <c r="L38" i="9" s="1"/>
  <c r="L39" i="9" s="1"/>
  <c r="L40" i="9" s="1"/>
  <c r="L41" i="9" s="1"/>
  <c r="L42" i="9" s="1"/>
  <c r="L43" i="9" s="1"/>
  <c r="L44" i="9" s="1"/>
  <c r="L45" i="9" s="1"/>
  <c r="L46" i="9" s="1"/>
  <c r="L47" i="9" s="1"/>
  <c r="L48" i="9" s="1"/>
  <c r="L49" i="9" s="1"/>
  <c r="L50" i="9" s="1"/>
  <c r="L51" i="9" s="1"/>
  <c r="L52" i="9" s="1"/>
  <c r="L53" i="9" s="1"/>
  <c r="L54" i="9" s="1"/>
  <c r="L55" i="9" s="1"/>
  <c r="J36" i="9"/>
  <c r="J37" i="9" s="1"/>
  <c r="J38" i="9" s="1"/>
  <c r="J39" i="9" s="1"/>
  <c r="J40" i="9" s="1"/>
  <c r="J41" i="9" s="1"/>
  <c r="J42" i="9" s="1"/>
  <c r="J43" i="9" s="1"/>
  <c r="J44" i="9" s="1"/>
  <c r="J45" i="9" s="1"/>
  <c r="J46" i="9" s="1"/>
  <c r="J47" i="9" s="1"/>
  <c r="J48" i="9" s="1"/>
  <c r="J49" i="9" s="1"/>
  <c r="J50" i="9" s="1"/>
  <c r="J51" i="9" s="1"/>
  <c r="J52" i="9" s="1"/>
  <c r="J53" i="9" s="1"/>
  <c r="J54" i="9" s="1"/>
  <c r="J55" i="9" s="1"/>
  <c r="H36" i="9"/>
  <c r="H37" i="9" s="1"/>
  <c r="H38" i="9" s="1"/>
  <c r="H39" i="9" s="1"/>
  <c r="H40" i="9" s="1"/>
  <c r="H41" i="9" s="1"/>
  <c r="H42" i="9" s="1"/>
  <c r="H43" i="9" s="1"/>
  <c r="H44" i="9" s="1"/>
  <c r="H45" i="9" s="1"/>
  <c r="H46" i="9" s="1"/>
  <c r="H47" i="9" s="1"/>
  <c r="H48" i="9" s="1"/>
  <c r="H49" i="9" s="1"/>
  <c r="H50" i="9" s="1"/>
  <c r="H51" i="9" s="1"/>
  <c r="H52" i="9" s="1"/>
  <c r="H53" i="9" s="1"/>
  <c r="H54" i="9" s="1"/>
  <c r="H55" i="9" s="1"/>
  <c r="F36" i="9"/>
  <c r="F37" i="9" s="1"/>
  <c r="F38" i="9" s="1"/>
  <c r="F39" i="9" s="1"/>
  <c r="F40" i="9" s="1"/>
  <c r="F41" i="9" s="1"/>
  <c r="F42" i="9" s="1"/>
  <c r="F43" i="9" s="1"/>
  <c r="F44" i="9" s="1"/>
  <c r="F45" i="9" s="1"/>
  <c r="F46" i="9" s="1"/>
  <c r="F47" i="9" s="1"/>
  <c r="F48" i="9" s="1"/>
  <c r="F49" i="9" s="1"/>
  <c r="F50" i="9" s="1"/>
  <c r="F51" i="9" s="1"/>
  <c r="F52" i="9" s="1"/>
  <c r="F53" i="9" s="1"/>
  <c r="F54" i="9" s="1"/>
  <c r="F55" i="9" s="1"/>
  <c r="D36" i="9"/>
  <c r="D37" i="9" s="1"/>
  <c r="D38" i="9" s="1"/>
  <c r="D39" i="9" s="1"/>
  <c r="D40" i="9" s="1"/>
  <c r="D41" i="9" s="1"/>
  <c r="D42" i="9" s="1"/>
  <c r="D43" i="9" s="1"/>
  <c r="D44" i="9" s="1"/>
  <c r="D45" i="9" s="1"/>
  <c r="D46" i="9" s="1"/>
  <c r="D47" i="9" s="1"/>
  <c r="D48" i="9" s="1"/>
  <c r="D49" i="9" s="1"/>
  <c r="D50" i="9" s="1"/>
  <c r="D51" i="9" s="1"/>
  <c r="D52" i="9" s="1"/>
  <c r="D53" i="9" s="1"/>
  <c r="D54" i="9" s="1"/>
  <c r="D55" i="9" s="1"/>
  <c r="B36" i="9"/>
  <c r="B37" i="9" s="1"/>
  <c r="B38" i="9" s="1"/>
  <c r="B39" i="9" s="1"/>
  <c r="B40" i="9" s="1"/>
  <c r="B41" i="9" s="1"/>
  <c r="B42" i="9" s="1"/>
  <c r="B43" i="9" s="1"/>
  <c r="B44" i="9" s="1"/>
  <c r="B45" i="9" s="1"/>
  <c r="B46" i="9" s="1"/>
  <c r="B47" i="9" s="1"/>
  <c r="B48" i="9" s="1"/>
  <c r="B49" i="9" s="1"/>
  <c r="B50" i="9" s="1"/>
  <c r="B51" i="9" s="1"/>
  <c r="B52" i="9" s="1"/>
  <c r="B53" i="9" s="1"/>
  <c r="B54" i="9" s="1"/>
  <c r="B55" i="9" s="1"/>
  <c r="J105" i="2"/>
  <c r="J106" i="2" s="1"/>
  <c r="L85" i="2"/>
  <c r="L86" i="2" s="1"/>
  <c r="L87" i="2" s="1"/>
  <c r="L88" i="2" s="1"/>
  <c r="L89" i="2" s="1"/>
  <c r="L90" i="2" s="1"/>
  <c r="L91" i="2" s="1"/>
  <c r="L92" i="2" s="1"/>
  <c r="L93" i="2" s="1"/>
  <c r="L94" i="2" s="1"/>
  <c r="L95" i="2" s="1"/>
  <c r="L96" i="2" s="1"/>
  <c r="L97" i="2" s="1"/>
  <c r="L98" i="2" s="1"/>
  <c r="L99" i="2" s="1"/>
  <c r="L100" i="2" s="1"/>
  <c r="L101" i="2" s="1"/>
  <c r="L102" i="2" s="1"/>
  <c r="L103" i="2" s="1"/>
  <c r="L104" i="2" s="1"/>
  <c r="J85" i="2"/>
  <c r="J86" i="2" s="1"/>
  <c r="J87" i="2" s="1"/>
  <c r="J88" i="2" s="1"/>
  <c r="J89" i="2" s="1"/>
  <c r="J90" i="2" s="1"/>
  <c r="J91" i="2" s="1"/>
  <c r="J92" i="2" s="1"/>
  <c r="J93" i="2" s="1"/>
  <c r="J94" i="2" s="1"/>
  <c r="J95" i="2" s="1"/>
  <c r="J96" i="2" s="1"/>
  <c r="J97" i="2" s="1"/>
  <c r="J98" i="2" s="1"/>
  <c r="J99" i="2" s="1"/>
  <c r="J100" i="2" s="1"/>
  <c r="J101" i="2" s="1"/>
  <c r="J102" i="2" s="1"/>
  <c r="J103" i="2" s="1"/>
  <c r="J104" i="2" s="1"/>
  <c r="H85" i="2"/>
  <c r="H86" i="2" s="1"/>
  <c r="H87" i="2" s="1"/>
  <c r="H88" i="2" s="1"/>
  <c r="H89" i="2" s="1"/>
  <c r="H90" i="2" s="1"/>
  <c r="H91" i="2" s="1"/>
  <c r="H92" i="2" s="1"/>
  <c r="H93" i="2" s="1"/>
  <c r="H94" i="2" s="1"/>
  <c r="H95" i="2" s="1"/>
  <c r="H96" i="2" s="1"/>
  <c r="H97" i="2" s="1"/>
  <c r="H98" i="2" s="1"/>
  <c r="H99" i="2" s="1"/>
  <c r="H100" i="2" s="1"/>
  <c r="H101" i="2" s="1"/>
  <c r="H102" i="2" s="1"/>
  <c r="H103" i="2" s="1"/>
  <c r="H104" i="2" s="1"/>
  <c r="F85" i="2"/>
  <c r="F86" i="2" s="1"/>
  <c r="F87" i="2" s="1"/>
  <c r="F88" i="2" s="1"/>
  <c r="F89" i="2" s="1"/>
  <c r="F90" i="2" s="1"/>
  <c r="F91" i="2" s="1"/>
  <c r="F92" i="2" s="1"/>
  <c r="F93" i="2" s="1"/>
  <c r="F94" i="2" s="1"/>
  <c r="F95" i="2" s="1"/>
  <c r="F96" i="2" s="1"/>
  <c r="F97" i="2" s="1"/>
  <c r="F98" i="2" s="1"/>
  <c r="F99" i="2" s="1"/>
  <c r="F100" i="2" s="1"/>
  <c r="F101" i="2" s="1"/>
  <c r="F102" i="2" s="1"/>
  <c r="F103" i="2" s="1"/>
  <c r="F104" i="2" s="1"/>
  <c r="D85" i="2"/>
  <c r="D86" i="2" s="1"/>
  <c r="D87" i="2" s="1"/>
  <c r="D88" i="2" s="1"/>
  <c r="D89" i="2" s="1"/>
  <c r="D90" i="2" s="1"/>
  <c r="D91" i="2" s="1"/>
  <c r="D92" i="2" s="1"/>
  <c r="D93" i="2" s="1"/>
  <c r="D94" i="2" s="1"/>
  <c r="D95" i="2" s="1"/>
  <c r="D96" i="2" s="1"/>
  <c r="D97" i="2" s="1"/>
  <c r="D98" i="2" s="1"/>
  <c r="D99" i="2" s="1"/>
  <c r="D100" i="2" s="1"/>
  <c r="D101" i="2" s="1"/>
  <c r="D102" i="2" s="1"/>
  <c r="D103" i="2" s="1"/>
  <c r="D104" i="2" s="1"/>
  <c r="B85" i="2"/>
  <c r="B86" i="2" s="1"/>
  <c r="B87" i="2" s="1"/>
  <c r="B88" i="2" s="1"/>
  <c r="B89" i="2" s="1"/>
  <c r="B90" i="2" s="1"/>
  <c r="B91" i="2" s="1"/>
  <c r="B92" i="2" s="1"/>
  <c r="B93" i="2" s="1"/>
  <c r="B94" i="2" s="1"/>
  <c r="B95" i="2" s="1"/>
  <c r="B96" i="2" s="1"/>
  <c r="B97" i="2" s="1"/>
  <c r="B98" i="2" s="1"/>
  <c r="B99" i="2" s="1"/>
  <c r="B100" i="2" s="1"/>
  <c r="B101" i="2" s="1"/>
  <c r="B102" i="2" s="1"/>
  <c r="B103" i="2" s="1"/>
  <c r="B104" i="2" s="1"/>
  <c r="J54" i="2"/>
  <c r="J55" i="2" s="1"/>
  <c r="L34" i="2"/>
  <c r="L35" i="2" s="1"/>
  <c r="L36" i="2" s="1"/>
  <c r="L37" i="2" s="1"/>
  <c r="L38" i="2" s="1"/>
  <c r="L39" i="2" s="1"/>
  <c r="L40" i="2" s="1"/>
  <c r="L41" i="2" s="1"/>
  <c r="L42" i="2" s="1"/>
  <c r="L43" i="2" s="1"/>
  <c r="L44" i="2" s="1"/>
  <c r="L45" i="2" s="1"/>
  <c r="L46" i="2" s="1"/>
  <c r="L47" i="2" s="1"/>
  <c r="L48" i="2" s="1"/>
  <c r="L49" i="2" s="1"/>
  <c r="L50" i="2" s="1"/>
  <c r="L51" i="2" s="1"/>
  <c r="L52" i="2" s="1"/>
  <c r="L53" i="2" s="1"/>
  <c r="J34" i="2"/>
  <c r="J35" i="2" s="1"/>
  <c r="J36" i="2" s="1"/>
  <c r="J37" i="2" s="1"/>
  <c r="J38" i="2" s="1"/>
  <c r="J39" i="2" s="1"/>
  <c r="J40" i="2" s="1"/>
  <c r="J41" i="2" s="1"/>
  <c r="J42" i="2" s="1"/>
  <c r="J43" i="2" s="1"/>
  <c r="J44" i="2" s="1"/>
  <c r="J45" i="2" s="1"/>
  <c r="J46" i="2" s="1"/>
  <c r="J47" i="2" s="1"/>
  <c r="J48" i="2" s="1"/>
  <c r="J49" i="2" s="1"/>
  <c r="J50" i="2" s="1"/>
  <c r="J51" i="2" s="1"/>
  <c r="J52" i="2" s="1"/>
  <c r="J53" i="2" s="1"/>
  <c r="H34" i="2"/>
  <c r="H35" i="2" s="1"/>
  <c r="H36" i="2" s="1"/>
  <c r="H37" i="2" s="1"/>
  <c r="H38" i="2" s="1"/>
  <c r="H39" i="2" s="1"/>
  <c r="H40" i="2" s="1"/>
  <c r="H41" i="2" s="1"/>
  <c r="H42" i="2" s="1"/>
  <c r="H43" i="2" s="1"/>
  <c r="H44" i="2" s="1"/>
  <c r="H45" i="2" s="1"/>
  <c r="H46" i="2" s="1"/>
  <c r="H47" i="2" s="1"/>
  <c r="H48" i="2" s="1"/>
  <c r="H49" i="2" s="1"/>
  <c r="H50" i="2" s="1"/>
  <c r="H51" i="2" s="1"/>
  <c r="H52" i="2" s="1"/>
  <c r="H53" i="2" s="1"/>
  <c r="F34" i="2"/>
  <c r="F35" i="2" s="1"/>
  <c r="F36" i="2" s="1"/>
  <c r="F37" i="2" s="1"/>
  <c r="F38" i="2" s="1"/>
  <c r="F39" i="2" s="1"/>
  <c r="F40" i="2" s="1"/>
  <c r="F41" i="2" s="1"/>
  <c r="F42" i="2" s="1"/>
  <c r="F43" i="2" s="1"/>
  <c r="F44" i="2" s="1"/>
  <c r="F45" i="2" s="1"/>
  <c r="F46" i="2" s="1"/>
  <c r="F47" i="2" s="1"/>
  <c r="F48" i="2" s="1"/>
  <c r="F49" i="2" s="1"/>
  <c r="F50" i="2" s="1"/>
  <c r="F51" i="2" s="1"/>
  <c r="F52" i="2" s="1"/>
  <c r="F53" i="2" s="1"/>
  <c r="D34" i="2"/>
  <c r="D35" i="2" s="1"/>
  <c r="D36" i="2" s="1"/>
  <c r="D37" i="2" s="1"/>
  <c r="D38" i="2" s="1"/>
  <c r="D39" i="2" s="1"/>
  <c r="D40" i="2" s="1"/>
  <c r="D41" i="2" s="1"/>
  <c r="D42" i="2" s="1"/>
  <c r="D43" i="2" s="1"/>
  <c r="D44" i="2" s="1"/>
  <c r="D45" i="2" s="1"/>
  <c r="D46" i="2" s="1"/>
  <c r="D47" i="2" s="1"/>
  <c r="D48" i="2" s="1"/>
  <c r="D49" i="2" s="1"/>
  <c r="D50" i="2" s="1"/>
  <c r="D51" i="2" s="1"/>
  <c r="D52" i="2" s="1"/>
  <c r="D53" i="2" s="1"/>
  <c r="B34" i="2"/>
  <c r="B35" i="2" s="1"/>
  <c r="B36" i="2" s="1"/>
  <c r="B37" i="2" s="1"/>
  <c r="B38" i="2" s="1"/>
  <c r="B39" i="2" s="1"/>
  <c r="B40" i="2" s="1"/>
  <c r="B41" i="2" s="1"/>
  <c r="B42" i="2" s="1"/>
  <c r="B43" i="2" s="1"/>
  <c r="B44" i="2" s="1"/>
  <c r="B45" i="2" s="1"/>
  <c r="B46" i="2" s="1"/>
  <c r="B47" i="2" s="1"/>
  <c r="B48" i="2" s="1"/>
  <c r="B49" i="2" s="1"/>
  <c r="B50" i="2" s="1"/>
  <c r="B51" i="2" s="1"/>
  <c r="B52" i="2" s="1"/>
  <c r="B53" i="2" s="1"/>
  <c r="J49" i="8"/>
  <c r="L29" i="8"/>
  <c r="L30" i="8" s="1"/>
  <c r="L31" i="8" s="1"/>
  <c r="L32" i="8" s="1"/>
  <c r="L33" i="8" s="1"/>
  <c r="L34" i="8" s="1"/>
  <c r="L35" i="8" s="1"/>
  <c r="L36" i="8" s="1"/>
  <c r="L37" i="8" s="1"/>
  <c r="L38" i="8" s="1"/>
  <c r="L39" i="8" s="1"/>
  <c r="L40" i="8" s="1"/>
  <c r="L41" i="8" s="1"/>
  <c r="L42" i="8" s="1"/>
  <c r="L43" i="8" s="1"/>
  <c r="L44" i="8" s="1"/>
  <c r="L45" i="8" s="1"/>
  <c r="L46" i="8" s="1"/>
  <c r="L47" i="8" s="1"/>
  <c r="L48" i="8" s="1"/>
  <c r="J29" i="8"/>
  <c r="J30" i="8" s="1"/>
  <c r="J31" i="8" s="1"/>
  <c r="J32" i="8" s="1"/>
  <c r="J33" i="8" s="1"/>
  <c r="J34" i="8" s="1"/>
  <c r="J35" i="8" s="1"/>
  <c r="J36" i="8" s="1"/>
  <c r="J37" i="8" s="1"/>
  <c r="J38" i="8" s="1"/>
  <c r="J39" i="8" s="1"/>
  <c r="J40" i="8" s="1"/>
  <c r="J41" i="8" s="1"/>
  <c r="J42" i="8" s="1"/>
  <c r="J43" i="8" s="1"/>
  <c r="J44" i="8" s="1"/>
  <c r="J45" i="8" s="1"/>
  <c r="J46" i="8" s="1"/>
  <c r="J47" i="8" s="1"/>
  <c r="J48" i="8" s="1"/>
  <c r="H29" i="8"/>
  <c r="H30" i="8" s="1"/>
  <c r="H31" i="8" s="1"/>
  <c r="H32" i="8" s="1"/>
  <c r="H33" i="8" s="1"/>
  <c r="H34" i="8" s="1"/>
  <c r="H35" i="8" s="1"/>
  <c r="H36" i="8" s="1"/>
  <c r="H37" i="8" s="1"/>
  <c r="H38" i="8" s="1"/>
  <c r="H39" i="8" s="1"/>
  <c r="H40" i="8" s="1"/>
  <c r="H41" i="8" s="1"/>
  <c r="H42" i="8" s="1"/>
  <c r="H43" i="8" s="1"/>
  <c r="H44" i="8" s="1"/>
  <c r="H45" i="8" s="1"/>
  <c r="H46" i="8" s="1"/>
  <c r="H47" i="8" s="1"/>
  <c r="H48" i="8" s="1"/>
  <c r="D29" i="8"/>
  <c r="D30" i="8" s="1"/>
  <c r="D31" i="8" s="1"/>
  <c r="D32" i="8" s="1"/>
  <c r="D33" i="8" s="1"/>
  <c r="D34" i="8" s="1"/>
  <c r="D35" i="8" s="1"/>
  <c r="D36" i="8" s="1"/>
  <c r="D37" i="8" s="1"/>
  <c r="D38" i="8" s="1"/>
  <c r="D39" i="8" s="1"/>
  <c r="D40" i="8" s="1"/>
  <c r="D41" i="8" s="1"/>
  <c r="D42" i="8" s="1"/>
  <c r="D43" i="8" s="1"/>
  <c r="D44" i="8" s="1"/>
  <c r="D45" i="8" s="1"/>
  <c r="D46" i="8" s="1"/>
  <c r="D47" i="8" s="1"/>
  <c r="D48" i="8" s="1"/>
  <c r="F29" i="8"/>
  <c r="F30" i="8" s="1"/>
  <c r="F31" i="8" s="1"/>
  <c r="F32" i="8" s="1"/>
  <c r="F33" i="8" s="1"/>
  <c r="F34" i="8" s="1"/>
  <c r="F35" i="8" s="1"/>
  <c r="F36" i="8" s="1"/>
  <c r="F37" i="8" s="1"/>
  <c r="F38" i="8" s="1"/>
  <c r="F39" i="8" s="1"/>
  <c r="F40" i="8" s="1"/>
  <c r="F41" i="8" s="1"/>
  <c r="F42" i="8" s="1"/>
  <c r="F43" i="8" s="1"/>
  <c r="F44" i="8" s="1"/>
  <c r="F45" i="8" s="1"/>
  <c r="F46" i="8" s="1"/>
  <c r="F47" i="8" s="1"/>
  <c r="F48" i="8" s="1"/>
  <c r="B30" i="8"/>
  <c r="B31" i="8" s="1"/>
  <c r="B32" i="8" s="1"/>
  <c r="B33" i="8" s="1"/>
  <c r="B34" i="8" s="1"/>
  <c r="B35" i="8" s="1"/>
  <c r="B36" i="8" s="1"/>
  <c r="B37" i="8" s="1"/>
  <c r="B38" i="8" s="1"/>
  <c r="B39" i="8" s="1"/>
  <c r="B40" i="8" s="1"/>
  <c r="B41" i="8" s="1"/>
  <c r="B42" i="8" s="1"/>
  <c r="B43" i="8" s="1"/>
  <c r="B44" i="8" s="1"/>
  <c r="B45" i="8" s="1"/>
  <c r="B46" i="8" s="1"/>
  <c r="B47" i="8" s="1"/>
  <c r="B48" i="8" s="1"/>
  <c r="B29" i="8"/>
  <c r="M5" i="13"/>
  <c r="K43" i="13"/>
  <c r="AB24" i="8"/>
  <c r="AB25" i="8"/>
  <c r="AB26" i="8"/>
  <c r="I82" i="13"/>
  <c r="G118" i="13" s="1"/>
  <c r="F27" i="13"/>
  <c r="L63" i="8"/>
  <c r="J50" i="8" l="1"/>
  <c r="B101" i="13" l="1"/>
  <c r="Q232" i="11"/>
  <c r="Q182" i="11"/>
  <c r="Q132" i="11"/>
  <c r="Q82" i="11"/>
  <c r="Q31" i="11"/>
  <c r="Q182" i="10"/>
  <c r="Q132" i="10"/>
  <c r="Q82" i="10"/>
  <c r="Q31" i="10"/>
  <c r="Q132" i="9"/>
  <c r="Q82" i="9"/>
  <c r="Q31" i="9"/>
  <c r="Q83" i="2"/>
  <c r="Q31" i="2"/>
  <c r="Q29" i="8"/>
  <c r="B23" i="11"/>
  <c r="F23" i="11" s="1"/>
  <c r="B21" i="10"/>
  <c r="F21" i="10" s="1"/>
  <c r="B19" i="9"/>
  <c r="F19" i="9" s="1"/>
  <c r="B17" i="2"/>
  <c r="B12" i="8"/>
  <c r="F12" i="8" s="1"/>
  <c r="K45" i="13"/>
  <c r="F4" i="9"/>
  <c r="M115" i="2"/>
  <c r="I96" i="13"/>
  <c r="G120" i="13" s="1"/>
  <c r="G11" i="11"/>
  <c r="G10" i="11"/>
  <c r="G9" i="11"/>
  <c r="G8" i="11"/>
  <c r="G7" i="11"/>
  <c r="G10" i="10"/>
  <c r="G9" i="10"/>
  <c r="G8" i="10"/>
  <c r="G7" i="10"/>
  <c r="G9" i="9"/>
  <c r="G8" i="9"/>
  <c r="G7" i="9"/>
  <c r="G8" i="2"/>
  <c r="G7" i="2"/>
  <c r="C11" i="11"/>
  <c r="C10" i="11"/>
  <c r="C9" i="11"/>
  <c r="C8" i="11"/>
  <c r="C10" i="10"/>
  <c r="C9" i="10"/>
  <c r="C8" i="10"/>
  <c r="C9" i="9"/>
  <c r="C8" i="9"/>
  <c r="C8" i="2"/>
  <c r="L277" i="11"/>
  <c r="L280" i="11"/>
  <c r="L283" i="11"/>
  <c r="L286" i="11"/>
  <c r="L289" i="11"/>
  <c r="L233" i="10"/>
  <c r="L229" i="10"/>
  <c r="L227" i="10"/>
  <c r="L224" i="10"/>
  <c r="L178" i="9"/>
  <c r="L175" i="9"/>
  <c r="L172" i="9"/>
  <c r="L125" i="2"/>
  <c r="L122" i="2"/>
  <c r="L66" i="8"/>
  <c r="F17" i="2" l="1"/>
  <c r="C7" i="11"/>
  <c r="C7" i="10"/>
  <c r="B24" i="10" s="1"/>
  <c r="V21" i="10" s="1"/>
  <c r="C7" i="9"/>
  <c r="B22" i="9" s="1"/>
  <c r="B70" i="9" s="1"/>
  <c r="C7" i="2"/>
  <c r="B10" i="2" s="1"/>
  <c r="B103" i="13"/>
  <c r="B102" i="13"/>
  <c r="C6" i="14"/>
  <c r="C5" i="14"/>
  <c r="C4" i="14"/>
  <c r="C3" i="14"/>
  <c r="C2" i="14"/>
  <c r="I89" i="13"/>
  <c r="I88" i="13"/>
  <c r="E48" i="13"/>
  <c r="E50" i="13" s="1"/>
  <c r="F4" i="11"/>
  <c r="B19" i="11" s="1"/>
  <c r="F4" i="10"/>
  <c r="B17" i="10" s="1"/>
  <c r="B15" i="9"/>
  <c r="F4" i="2"/>
  <c r="B13" i="2" s="1"/>
  <c r="C5" i="8"/>
  <c r="B8" i="8" s="1"/>
  <c r="B289" i="11"/>
  <c r="L273" i="11"/>
  <c r="M269" i="11"/>
  <c r="L270" i="11" s="1"/>
  <c r="L265" i="11"/>
  <c r="L264" i="11"/>
  <c r="I227" i="11"/>
  <c r="B226" i="11"/>
  <c r="B274" i="11"/>
  <c r="B273" i="11"/>
  <c r="B272" i="11"/>
  <c r="AC269" i="11"/>
  <c r="AA269" i="11"/>
  <c r="AC268" i="11"/>
  <c r="AA268" i="11"/>
  <c r="AC267" i="11"/>
  <c r="AA267" i="11"/>
  <c r="AC266" i="11"/>
  <c r="AA266" i="11"/>
  <c r="AC265" i="11"/>
  <c r="AA265" i="11"/>
  <c r="AC264" i="11"/>
  <c r="AA264" i="11"/>
  <c r="AC263" i="11"/>
  <c r="AA263" i="11"/>
  <c r="AC262" i="11"/>
  <c r="AA262" i="11"/>
  <c r="AC261" i="11"/>
  <c r="AA261" i="11"/>
  <c r="AC260" i="11"/>
  <c r="AA260" i="11"/>
  <c r="AC259" i="11"/>
  <c r="AA259" i="11"/>
  <c r="AC258" i="11"/>
  <c r="AA258" i="11"/>
  <c r="AC257" i="11"/>
  <c r="AA257" i="11"/>
  <c r="AC256" i="11"/>
  <c r="AA256" i="11"/>
  <c r="AC255" i="11"/>
  <c r="AA255" i="11"/>
  <c r="AC254" i="11"/>
  <c r="AA254" i="11"/>
  <c r="AC253" i="11"/>
  <c r="AA253" i="11"/>
  <c r="AC252" i="11"/>
  <c r="AA252" i="11"/>
  <c r="AC251" i="11"/>
  <c r="AA251" i="11"/>
  <c r="AC250" i="11"/>
  <c r="AA250" i="11"/>
  <c r="AC249" i="11"/>
  <c r="AA249" i="11"/>
  <c r="AC248" i="11"/>
  <c r="AA248" i="11"/>
  <c r="AC247" i="11"/>
  <c r="AA247" i="11"/>
  <c r="AC246" i="11"/>
  <c r="AA246" i="11"/>
  <c r="AC245" i="11"/>
  <c r="AA245" i="11"/>
  <c r="AC244" i="11"/>
  <c r="AA244" i="11"/>
  <c r="AC243" i="11"/>
  <c r="AA243" i="11"/>
  <c r="AC242" i="11"/>
  <c r="AA242" i="11"/>
  <c r="AC241" i="11"/>
  <c r="AA241" i="11"/>
  <c r="AC240" i="11"/>
  <c r="AA240" i="11"/>
  <c r="AC239" i="11"/>
  <c r="AA239" i="11"/>
  <c r="AC238" i="11"/>
  <c r="AA238" i="11"/>
  <c r="AC237" i="11"/>
  <c r="AA237" i="11"/>
  <c r="AC236" i="11"/>
  <c r="AA236" i="11"/>
  <c r="AC235" i="11"/>
  <c r="AA235" i="11"/>
  <c r="AC234" i="11"/>
  <c r="AA234" i="11"/>
  <c r="AC233" i="11"/>
  <c r="AA233" i="11"/>
  <c r="AC232" i="11"/>
  <c r="AA232" i="11"/>
  <c r="R232" i="11"/>
  <c r="N232" i="11"/>
  <c r="AC231" i="11"/>
  <c r="AA231" i="11"/>
  <c r="AC230" i="11"/>
  <c r="AA230" i="11"/>
  <c r="AC229" i="11"/>
  <c r="AA229" i="11"/>
  <c r="AC228" i="11"/>
  <c r="AA228" i="11"/>
  <c r="W228" i="11"/>
  <c r="W229" i="11" s="1"/>
  <c r="AB229" i="11" s="1"/>
  <c r="T228" i="11"/>
  <c r="T229" i="11" s="1"/>
  <c r="T230" i="11" s="1"/>
  <c r="T231" i="11" s="1"/>
  <c r="T232" i="11" s="1"/>
  <c r="T233" i="11" s="1"/>
  <c r="T234" i="11" s="1"/>
  <c r="T235" i="11" s="1"/>
  <c r="T236" i="11" s="1"/>
  <c r="T237" i="11" s="1"/>
  <c r="T238" i="11" s="1"/>
  <c r="T239" i="11" s="1"/>
  <c r="T240" i="11" s="1"/>
  <c r="T241" i="11" s="1"/>
  <c r="T242" i="11" s="1"/>
  <c r="T243" i="11" s="1"/>
  <c r="T244" i="11" s="1"/>
  <c r="T245" i="11" s="1"/>
  <c r="T246" i="11" s="1"/>
  <c r="T247" i="11" s="1"/>
  <c r="T248" i="11" s="1"/>
  <c r="T249" i="11" s="1"/>
  <c r="T250" i="11" s="1"/>
  <c r="T251" i="11" s="1"/>
  <c r="T252" i="11" s="1"/>
  <c r="T253" i="11" s="1"/>
  <c r="T254" i="11" s="1"/>
  <c r="T255" i="11" s="1"/>
  <c r="T256" i="11" s="1"/>
  <c r="T257" i="11" s="1"/>
  <c r="T258" i="11" s="1"/>
  <c r="T259" i="11" s="1"/>
  <c r="T260" i="11" s="1"/>
  <c r="T261" i="11" s="1"/>
  <c r="T262" i="11" s="1"/>
  <c r="T263" i="11" s="1"/>
  <c r="T264" i="11" s="1"/>
  <c r="T265" i="11" s="1"/>
  <c r="T266" i="11" s="1"/>
  <c r="T267" i="11" s="1"/>
  <c r="T268" i="11" s="1"/>
  <c r="T269" i="11" s="1"/>
  <c r="AC227" i="11"/>
  <c r="AB227" i="11"/>
  <c r="AD227" i="11" s="1"/>
  <c r="AA227" i="11"/>
  <c r="Q226" i="11"/>
  <c r="B17" i="11"/>
  <c r="B16" i="11"/>
  <c r="B15" i="10"/>
  <c r="B286" i="11"/>
  <c r="B283" i="11"/>
  <c r="B280" i="11"/>
  <c r="B224" i="11"/>
  <c r="L223" i="11"/>
  <c r="B223" i="11"/>
  <c r="B222" i="11"/>
  <c r="AC219" i="11"/>
  <c r="AA219" i="11"/>
  <c r="AC218" i="11"/>
  <c r="AA218" i="11"/>
  <c r="AC217" i="11"/>
  <c r="AA217" i="11"/>
  <c r="M219" i="11"/>
  <c r="L220" i="11" s="1"/>
  <c r="AC216" i="11"/>
  <c r="AA216" i="11"/>
  <c r="AC215" i="11"/>
  <c r="AA215" i="11"/>
  <c r="AC214" i="11"/>
  <c r="AA214" i="11"/>
  <c r="AC213" i="11"/>
  <c r="AA213" i="11"/>
  <c r="L215" i="11"/>
  <c r="AC212" i="11"/>
  <c r="AA212" i="11"/>
  <c r="L214" i="11"/>
  <c r="AC211" i="11"/>
  <c r="AA211" i="11"/>
  <c r="AC210" i="11"/>
  <c r="AA210" i="11"/>
  <c r="AC209" i="11"/>
  <c r="AA209" i="11"/>
  <c r="AC208" i="11"/>
  <c r="AA208" i="11"/>
  <c r="AC207" i="11"/>
  <c r="AA207" i="11"/>
  <c r="AC206" i="11"/>
  <c r="AA206" i="11"/>
  <c r="AC205" i="11"/>
  <c r="AA205" i="11"/>
  <c r="AC204" i="11"/>
  <c r="AA204" i="11"/>
  <c r="AC203" i="11"/>
  <c r="AA203" i="11"/>
  <c r="AC202" i="11"/>
  <c r="AA202" i="11"/>
  <c r="AC201" i="11"/>
  <c r="AA201" i="11"/>
  <c r="AC200" i="11"/>
  <c r="AA200" i="11"/>
  <c r="AC199" i="11"/>
  <c r="AA199" i="11"/>
  <c r="AC198" i="11"/>
  <c r="AA198" i="11"/>
  <c r="AC197" i="11"/>
  <c r="AA197" i="11"/>
  <c r="AC196" i="11"/>
  <c r="AA196" i="11"/>
  <c r="AC195" i="11"/>
  <c r="AA195" i="11"/>
  <c r="AC194" i="11"/>
  <c r="AA194" i="11"/>
  <c r="AC193" i="11"/>
  <c r="AA193" i="11"/>
  <c r="AC192" i="11"/>
  <c r="AA192" i="11"/>
  <c r="AC191" i="11"/>
  <c r="AA191" i="11"/>
  <c r="AC190" i="11"/>
  <c r="AA190" i="11"/>
  <c r="AC189" i="11"/>
  <c r="AA189" i="11"/>
  <c r="AC188" i="11"/>
  <c r="AA188" i="11"/>
  <c r="AC187" i="11"/>
  <c r="AA187" i="11"/>
  <c r="AC186" i="11"/>
  <c r="AA186" i="11"/>
  <c r="AC185" i="11"/>
  <c r="AA185" i="11"/>
  <c r="AC184" i="11"/>
  <c r="AA184" i="11"/>
  <c r="AC183" i="11"/>
  <c r="AA183" i="11"/>
  <c r="AC182" i="11"/>
  <c r="AA182" i="11"/>
  <c r="R182" i="11"/>
  <c r="AC181" i="11"/>
  <c r="AA181" i="11"/>
  <c r="AC180" i="11"/>
  <c r="AA180" i="11"/>
  <c r="N182" i="11"/>
  <c r="AC179" i="11"/>
  <c r="AA179" i="11"/>
  <c r="AC178" i="11"/>
  <c r="AA178" i="11"/>
  <c r="W178" i="11"/>
  <c r="T178" i="11"/>
  <c r="T179" i="11" s="1"/>
  <c r="T180" i="11" s="1"/>
  <c r="T181" i="11" s="1"/>
  <c r="T182" i="11" s="1"/>
  <c r="T183" i="11" s="1"/>
  <c r="T184" i="11" s="1"/>
  <c r="T185" i="11" s="1"/>
  <c r="T186" i="11" s="1"/>
  <c r="T187" i="11" s="1"/>
  <c r="T188" i="11" s="1"/>
  <c r="T189" i="11" s="1"/>
  <c r="T190" i="11" s="1"/>
  <c r="T191" i="11" s="1"/>
  <c r="T192" i="11" s="1"/>
  <c r="T193" i="11" s="1"/>
  <c r="T194" i="11" s="1"/>
  <c r="T195" i="11" s="1"/>
  <c r="T196" i="11" s="1"/>
  <c r="T197" i="11" s="1"/>
  <c r="T198" i="11" s="1"/>
  <c r="T199" i="11" s="1"/>
  <c r="T200" i="11" s="1"/>
  <c r="T201" i="11" s="1"/>
  <c r="T202" i="11" s="1"/>
  <c r="T203" i="11" s="1"/>
  <c r="T204" i="11" s="1"/>
  <c r="T205" i="11" s="1"/>
  <c r="T206" i="11" s="1"/>
  <c r="T207" i="11" s="1"/>
  <c r="T208" i="11" s="1"/>
  <c r="T209" i="11" s="1"/>
  <c r="T210" i="11" s="1"/>
  <c r="T211" i="11" s="1"/>
  <c r="T212" i="11" s="1"/>
  <c r="T213" i="11" s="1"/>
  <c r="T214" i="11" s="1"/>
  <c r="T215" i="11" s="1"/>
  <c r="T216" i="11" s="1"/>
  <c r="T217" i="11" s="1"/>
  <c r="T218" i="11" s="1"/>
  <c r="T219" i="11" s="1"/>
  <c r="AC177" i="11"/>
  <c r="AB177" i="11"/>
  <c r="AA177" i="11"/>
  <c r="I177" i="11"/>
  <c r="B176" i="11"/>
  <c r="B174" i="11"/>
  <c r="L173" i="11"/>
  <c r="B173" i="11"/>
  <c r="B172" i="11"/>
  <c r="AC169" i="11"/>
  <c r="AA169" i="11"/>
  <c r="AC168" i="11"/>
  <c r="AA168" i="11"/>
  <c r="AC167" i="11"/>
  <c r="AA167" i="11"/>
  <c r="M169" i="11"/>
  <c r="L170" i="11" s="1"/>
  <c r="AC166" i="11"/>
  <c r="AA166" i="11"/>
  <c r="AC165" i="11"/>
  <c r="AA165" i="11"/>
  <c r="AC164" i="11"/>
  <c r="AA164" i="11"/>
  <c r="AC163" i="11"/>
  <c r="AA163" i="11"/>
  <c r="L165" i="11"/>
  <c r="AC162" i="11"/>
  <c r="AA162" i="11"/>
  <c r="L164" i="11"/>
  <c r="AC161" i="11"/>
  <c r="AA161" i="11"/>
  <c r="AC160" i="11"/>
  <c r="AA160" i="11"/>
  <c r="AC159" i="11"/>
  <c r="AA159" i="11"/>
  <c r="AC158" i="11"/>
  <c r="AA158" i="11"/>
  <c r="AC157" i="11"/>
  <c r="AA157" i="11"/>
  <c r="AC156" i="11"/>
  <c r="AA156" i="11"/>
  <c r="AC155" i="11"/>
  <c r="AA155" i="11"/>
  <c r="AC154" i="11"/>
  <c r="AA154" i="11"/>
  <c r="AC153" i="11"/>
  <c r="AA153" i="11"/>
  <c r="AC152" i="11"/>
  <c r="AA152" i="11"/>
  <c r="AC151" i="11"/>
  <c r="AA151" i="11"/>
  <c r="AC150" i="11"/>
  <c r="AA150" i="11"/>
  <c r="AC149" i="11"/>
  <c r="AA149" i="11"/>
  <c r="AC148" i="11"/>
  <c r="AA148" i="11"/>
  <c r="AC147" i="11"/>
  <c r="AA147" i="11"/>
  <c r="AC146" i="11"/>
  <c r="AA146" i="11"/>
  <c r="AC145" i="11"/>
  <c r="AA145" i="11"/>
  <c r="AC144" i="11"/>
  <c r="AA144" i="11"/>
  <c r="AC143" i="11"/>
  <c r="AA143" i="11"/>
  <c r="AC142" i="11"/>
  <c r="AA142" i="11"/>
  <c r="AC141" i="11"/>
  <c r="AA141" i="11"/>
  <c r="AC140" i="11"/>
  <c r="AA140" i="11"/>
  <c r="AC139" i="11"/>
  <c r="AA139" i="11"/>
  <c r="AC138" i="11"/>
  <c r="AA138" i="11"/>
  <c r="AC137" i="11"/>
  <c r="AA137" i="11"/>
  <c r="AC136" i="11"/>
  <c r="AA136" i="11"/>
  <c r="AC135" i="11"/>
  <c r="AA135" i="11"/>
  <c r="AC134" i="11"/>
  <c r="AA134" i="11"/>
  <c r="AC133" i="11"/>
  <c r="AA133" i="11"/>
  <c r="AC132" i="11"/>
  <c r="AA132" i="11"/>
  <c r="R132" i="11"/>
  <c r="AC131" i="11"/>
  <c r="AA131" i="11"/>
  <c r="AC130" i="11"/>
  <c r="AA130" i="11"/>
  <c r="N132" i="11"/>
  <c r="AC129" i="11"/>
  <c r="AA129" i="11"/>
  <c r="AC128" i="11"/>
  <c r="AA128" i="11"/>
  <c r="T128" i="11"/>
  <c r="T129" i="11" s="1"/>
  <c r="T130" i="11" s="1"/>
  <c r="T131" i="11" s="1"/>
  <c r="T132" i="11" s="1"/>
  <c r="T133" i="11" s="1"/>
  <c r="T134" i="11" s="1"/>
  <c r="T135" i="11" s="1"/>
  <c r="T136" i="11" s="1"/>
  <c r="T137" i="11" s="1"/>
  <c r="T138" i="11" s="1"/>
  <c r="T139" i="11" s="1"/>
  <c r="T140" i="11" s="1"/>
  <c r="T141" i="11" s="1"/>
  <c r="T142" i="11" s="1"/>
  <c r="T143" i="11" s="1"/>
  <c r="T144" i="11" s="1"/>
  <c r="T145" i="11" s="1"/>
  <c r="T146" i="11" s="1"/>
  <c r="T147" i="11" s="1"/>
  <c r="T148" i="11" s="1"/>
  <c r="T149" i="11" s="1"/>
  <c r="T150" i="11" s="1"/>
  <c r="T151" i="11" s="1"/>
  <c r="T152" i="11" s="1"/>
  <c r="T153" i="11" s="1"/>
  <c r="T154" i="11" s="1"/>
  <c r="T155" i="11" s="1"/>
  <c r="T156" i="11" s="1"/>
  <c r="T157" i="11" s="1"/>
  <c r="T158" i="11" s="1"/>
  <c r="T159" i="11" s="1"/>
  <c r="T160" i="11" s="1"/>
  <c r="T161" i="11" s="1"/>
  <c r="T162" i="11" s="1"/>
  <c r="T163" i="11" s="1"/>
  <c r="T164" i="11" s="1"/>
  <c r="T165" i="11" s="1"/>
  <c r="T166" i="11" s="1"/>
  <c r="T167" i="11" s="1"/>
  <c r="T168" i="11" s="1"/>
  <c r="T169" i="11" s="1"/>
  <c r="AC127" i="11"/>
  <c r="AB127" i="11"/>
  <c r="AA127" i="11"/>
  <c r="I127" i="11"/>
  <c r="B126" i="11"/>
  <c r="V122" i="11" s="1"/>
  <c r="U123" i="11"/>
  <c r="W128" i="11" s="1"/>
  <c r="W129" i="11" s="1"/>
  <c r="B124" i="11"/>
  <c r="L123" i="11"/>
  <c r="B123" i="11"/>
  <c r="B122" i="11"/>
  <c r="AC119" i="11"/>
  <c r="AA119" i="11"/>
  <c r="AC118" i="11"/>
  <c r="AA118" i="11"/>
  <c r="AC117" i="11"/>
  <c r="AA117" i="11"/>
  <c r="M119" i="11"/>
  <c r="L120" i="11" s="1"/>
  <c r="AC116" i="11"/>
  <c r="AA116" i="11"/>
  <c r="AC115" i="11"/>
  <c r="AA115" i="11"/>
  <c r="AC114" i="11"/>
  <c r="AA114" i="11"/>
  <c r="AC113" i="11"/>
  <c r="AA113" i="11"/>
  <c r="L115" i="11"/>
  <c r="AC112" i="11"/>
  <c r="AA112" i="11"/>
  <c r="L114" i="11"/>
  <c r="AC111" i="11"/>
  <c r="AA111" i="11"/>
  <c r="AC110" i="11"/>
  <c r="AA110" i="11"/>
  <c r="AC109" i="11"/>
  <c r="AA109" i="11"/>
  <c r="AC108" i="11"/>
  <c r="AA108" i="11"/>
  <c r="AC107" i="11"/>
  <c r="AA107" i="11"/>
  <c r="AC106" i="11"/>
  <c r="AA106" i="11"/>
  <c r="AC105" i="11"/>
  <c r="AA105" i="11"/>
  <c r="AC104" i="11"/>
  <c r="AA104" i="11"/>
  <c r="AC103" i="11"/>
  <c r="AA103" i="11"/>
  <c r="AC102" i="11"/>
  <c r="AA102" i="11"/>
  <c r="AC101" i="11"/>
  <c r="AA101" i="11"/>
  <c r="AC100" i="11"/>
  <c r="AA100" i="11"/>
  <c r="AC99" i="11"/>
  <c r="AA99" i="11"/>
  <c r="AC98" i="11"/>
  <c r="AA98" i="11"/>
  <c r="AC97" i="11"/>
  <c r="AA97" i="11"/>
  <c r="AC96" i="11"/>
  <c r="AA96" i="11"/>
  <c r="AC95" i="11"/>
  <c r="AA95" i="11"/>
  <c r="AC94" i="11"/>
  <c r="AA94" i="11"/>
  <c r="AC93" i="11"/>
  <c r="AA93" i="11"/>
  <c r="AC92" i="11"/>
  <c r="AA92" i="11"/>
  <c r="AC91" i="11"/>
  <c r="AA91" i="11"/>
  <c r="AC90" i="11"/>
  <c r="AA90" i="11"/>
  <c r="AC89" i="11"/>
  <c r="AA89" i="11"/>
  <c r="AC88" i="11"/>
  <c r="AA88" i="11"/>
  <c r="AC87" i="11"/>
  <c r="AA87" i="11"/>
  <c r="AC86" i="11"/>
  <c r="AA86" i="11"/>
  <c r="AC85" i="11"/>
  <c r="AA85" i="11"/>
  <c r="AC84" i="11"/>
  <c r="AA84" i="11"/>
  <c r="AC83" i="11"/>
  <c r="AA83" i="11"/>
  <c r="AC82" i="11"/>
  <c r="AA82" i="11"/>
  <c r="R82" i="11"/>
  <c r="AC81" i="11"/>
  <c r="AA81" i="11"/>
  <c r="AC80" i="11"/>
  <c r="AA80" i="11"/>
  <c r="N82" i="11"/>
  <c r="AC79" i="11"/>
  <c r="AA79" i="11"/>
  <c r="AC78" i="11"/>
  <c r="AA78" i="11"/>
  <c r="T78" i="11"/>
  <c r="T79" i="11" s="1"/>
  <c r="T80" i="11" s="1"/>
  <c r="T81" i="11" s="1"/>
  <c r="T82" i="11" s="1"/>
  <c r="T83" i="11" s="1"/>
  <c r="T84" i="11" s="1"/>
  <c r="T85" i="11" s="1"/>
  <c r="T86" i="11" s="1"/>
  <c r="T87" i="11" s="1"/>
  <c r="T88" i="11" s="1"/>
  <c r="T89" i="11" s="1"/>
  <c r="T90" i="11" s="1"/>
  <c r="T91" i="11" s="1"/>
  <c r="T92" i="11" s="1"/>
  <c r="T93" i="11" s="1"/>
  <c r="T94" i="11" s="1"/>
  <c r="T95" i="11" s="1"/>
  <c r="T96" i="11" s="1"/>
  <c r="T97" i="11" s="1"/>
  <c r="T98" i="11" s="1"/>
  <c r="T99" i="11" s="1"/>
  <c r="T100" i="11" s="1"/>
  <c r="T101" i="11" s="1"/>
  <c r="T102" i="11" s="1"/>
  <c r="T103" i="11" s="1"/>
  <c r="T104" i="11" s="1"/>
  <c r="T105" i="11" s="1"/>
  <c r="T106" i="11" s="1"/>
  <c r="T107" i="11" s="1"/>
  <c r="T108" i="11" s="1"/>
  <c r="T109" i="11" s="1"/>
  <c r="T110" i="11" s="1"/>
  <c r="T111" i="11" s="1"/>
  <c r="T112" i="11" s="1"/>
  <c r="T113" i="11" s="1"/>
  <c r="T114" i="11" s="1"/>
  <c r="T115" i="11" s="1"/>
  <c r="T116" i="11" s="1"/>
  <c r="T117" i="11" s="1"/>
  <c r="T118" i="11" s="1"/>
  <c r="T119" i="11" s="1"/>
  <c r="AC77" i="11"/>
  <c r="AB77" i="11"/>
  <c r="AA77" i="11"/>
  <c r="I77" i="11"/>
  <c r="B76" i="11"/>
  <c r="V72" i="11" s="1"/>
  <c r="U73" i="11"/>
  <c r="W78" i="11" s="1"/>
  <c r="W79" i="11" s="1"/>
  <c r="W80" i="11" s="1"/>
  <c r="B74" i="11"/>
  <c r="L73" i="11"/>
  <c r="B73" i="11"/>
  <c r="B72" i="11"/>
  <c r="AC68" i="11"/>
  <c r="AA68" i="11"/>
  <c r="AC67" i="11"/>
  <c r="AA67" i="11"/>
  <c r="M69" i="11"/>
  <c r="L70" i="11" s="1"/>
  <c r="AC66" i="11"/>
  <c r="AA66" i="11"/>
  <c r="AC65" i="11"/>
  <c r="AA65" i="11"/>
  <c r="AC64" i="11"/>
  <c r="AA64" i="11"/>
  <c r="AC63" i="11"/>
  <c r="AA63" i="11"/>
  <c r="L65" i="11"/>
  <c r="AC62" i="11"/>
  <c r="AA62" i="11"/>
  <c r="L64" i="11"/>
  <c r="AC61" i="11"/>
  <c r="AA61" i="11"/>
  <c r="AC60" i="11"/>
  <c r="AA60" i="11"/>
  <c r="AC59" i="11"/>
  <c r="AA59" i="11"/>
  <c r="AC58" i="11"/>
  <c r="AA58" i="11"/>
  <c r="AC57" i="11"/>
  <c r="AA57" i="11"/>
  <c r="AC56" i="11"/>
  <c r="AA56" i="11"/>
  <c r="AC55" i="11"/>
  <c r="AA55" i="11"/>
  <c r="AC54" i="11"/>
  <c r="AA54" i="11"/>
  <c r="AC53" i="11"/>
  <c r="AA53" i="11"/>
  <c r="AC52" i="11"/>
  <c r="AA52" i="11"/>
  <c r="AC51" i="11"/>
  <c r="AA51" i="11"/>
  <c r="AC50" i="11"/>
  <c r="AA50" i="11"/>
  <c r="AC49" i="11"/>
  <c r="AA49" i="11"/>
  <c r="AC48" i="11"/>
  <c r="AA48" i="11"/>
  <c r="AC47" i="11"/>
  <c r="AA47" i="11"/>
  <c r="AC46" i="11"/>
  <c r="AA46" i="11"/>
  <c r="AC45" i="11"/>
  <c r="AA45" i="11"/>
  <c r="AC44" i="11"/>
  <c r="AA44" i="11"/>
  <c r="AC43" i="11"/>
  <c r="AA43" i="11"/>
  <c r="AC42" i="11"/>
  <c r="AA42" i="11"/>
  <c r="AC41" i="11"/>
  <c r="AA41" i="11"/>
  <c r="AC40" i="11"/>
  <c r="AA40" i="11"/>
  <c r="AC39" i="11"/>
  <c r="AA39" i="11"/>
  <c r="AC38" i="11"/>
  <c r="AA38" i="11"/>
  <c r="AC37" i="11"/>
  <c r="AA37" i="11"/>
  <c r="AC36" i="11"/>
  <c r="AA36" i="11"/>
  <c r="AC35" i="11"/>
  <c r="AA35" i="11"/>
  <c r="AC34" i="11"/>
  <c r="AA34" i="11"/>
  <c r="AC33" i="11"/>
  <c r="AA33" i="11"/>
  <c r="AC32" i="11"/>
  <c r="AA32" i="11"/>
  <c r="AC31" i="11"/>
  <c r="AA31" i="11"/>
  <c r="R31" i="11"/>
  <c r="I185" i="11" s="1"/>
  <c r="AC30" i="11"/>
  <c r="AA30" i="11"/>
  <c r="N32" i="11"/>
  <c r="AC29" i="11"/>
  <c r="AA29" i="11"/>
  <c r="W29" i="11"/>
  <c r="AC28" i="11"/>
  <c r="AB28" i="11"/>
  <c r="AA28" i="11"/>
  <c r="AC27" i="11"/>
  <c r="AA27" i="11"/>
  <c r="W27" i="11"/>
  <c r="AB27" i="11" s="1"/>
  <c r="T27" i="11"/>
  <c r="T28" i="11" s="1"/>
  <c r="T29" i="11" s="1"/>
  <c r="T30" i="11" s="1"/>
  <c r="T31" i="11" s="1"/>
  <c r="T32" i="11" s="1"/>
  <c r="T33" i="11" s="1"/>
  <c r="T34" i="11" s="1"/>
  <c r="T35" i="11" s="1"/>
  <c r="T36" i="11" s="1"/>
  <c r="T37" i="11" s="1"/>
  <c r="T38" i="11" s="1"/>
  <c r="T39" i="11" s="1"/>
  <c r="T40" i="11" s="1"/>
  <c r="T41" i="11" s="1"/>
  <c r="T42" i="11" s="1"/>
  <c r="T43" i="11" s="1"/>
  <c r="T44" i="11" s="1"/>
  <c r="T45" i="11" s="1"/>
  <c r="T46" i="11" s="1"/>
  <c r="T47" i="11" s="1"/>
  <c r="T48" i="11" s="1"/>
  <c r="T49" i="11" s="1"/>
  <c r="T50" i="11" s="1"/>
  <c r="T51" i="11" s="1"/>
  <c r="T52" i="11" s="1"/>
  <c r="T53" i="11" s="1"/>
  <c r="T54" i="11" s="1"/>
  <c r="T55" i="11" s="1"/>
  <c r="T56" i="11" s="1"/>
  <c r="T57" i="11" s="1"/>
  <c r="T58" i="11" s="1"/>
  <c r="T59" i="11" s="1"/>
  <c r="T60" i="11" s="1"/>
  <c r="T61" i="11" s="1"/>
  <c r="T62" i="11" s="1"/>
  <c r="T63" i="11" s="1"/>
  <c r="T64" i="11" s="1"/>
  <c r="T65" i="11" s="1"/>
  <c r="T66" i="11" s="1"/>
  <c r="T67" i="11" s="1"/>
  <c r="T68" i="11" s="1"/>
  <c r="AC26" i="11"/>
  <c r="AB26" i="11"/>
  <c r="AD26" i="11" s="1"/>
  <c r="Y26" i="11"/>
  <c r="AA26" i="11" s="1"/>
  <c r="I27" i="11"/>
  <c r="I23" i="11"/>
  <c r="I24" i="11" s="1"/>
  <c r="B15" i="11"/>
  <c r="B14" i="11"/>
  <c r="B233" i="10"/>
  <c r="L221" i="10"/>
  <c r="M217" i="10"/>
  <c r="L218" i="10" s="1"/>
  <c r="L213" i="10"/>
  <c r="L212" i="10"/>
  <c r="I175" i="10"/>
  <c r="B174" i="10"/>
  <c r="B222" i="10"/>
  <c r="B221" i="10"/>
  <c r="B220" i="10"/>
  <c r="AC219" i="10"/>
  <c r="AA219" i="10"/>
  <c r="AC218" i="10"/>
  <c r="AA218" i="10"/>
  <c r="AC217" i="10"/>
  <c r="AA217" i="10"/>
  <c r="AC216" i="10"/>
  <c r="AA216" i="10"/>
  <c r="AC215" i="10"/>
  <c r="AA215" i="10"/>
  <c r="AC214" i="10"/>
  <c r="AA214" i="10"/>
  <c r="AC213" i="10"/>
  <c r="AA213" i="10"/>
  <c r="AC212" i="10"/>
  <c r="AA212" i="10"/>
  <c r="AC211" i="10"/>
  <c r="AA211" i="10"/>
  <c r="AC210" i="10"/>
  <c r="AA210" i="10"/>
  <c r="AC209" i="10"/>
  <c r="AA209" i="10"/>
  <c r="AC208" i="10"/>
  <c r="AA208" i="10"/>
  <c r="AC207" i="10"/>
  <c r="AA207" i="10"/>
  <c r="AC206" i="10"/>
  <c r="AA206" i="10"/>
  <c r="AC205" i="10"/>
  <c r="AA205" i="10"/>
  <c r="AC204" i="10"/>
  <c r="AA204" i="10"/>
  <c r="AC203" i="10"/>
  <c r="AA203" i="10"/>
  <c r="AC202" i="10"/>
  <c r="AA202" i="10"/>
  <c r="AC201" i="10"/>
  <c r="AA201" i="10"/>
  <c r="AC200" i="10"/>
  <c r="AA200" i="10"/>
  <c r="AC199" i="10"/>
  <c r="AA199" i="10"/>
  <c r="AC198" i="10"/>
  <c r="AA198" i="10"/>
  <c r="AC197" i="10"/>
  <c r="AA197" i="10"/>
  <c r="AC196" i="10"/>
  <c r="AA196" i="10"/>
  <c r="AC195" i="10"/>
  <c r="AA195" i="10"/>
  <c r="AC194" i="10"/>
  <c r="AA194" i="10"/>
  <c r="AC193" i="10"/>
  <c r="AA193" i="10"/>
  <c r="AC192" i="10"/>
  <c r="AA192" i="10"/>
  <c r="AC191" i="10"/>
  <c r="AA191" i="10"/>
  <c r="AC190" i="10"/>
  <c r="AA190" i="10"/>
  <c r="AC189" i="10"/>
  <c r="AA189" i="10"/>
  <c r="AC188" i="10"/>
  <c r="AA188" i="10"/>
  <c r="AC187" i="10"/>
  <c r="AA187" i="10"/>
  <c r="AC186" i="10"/>
  <c r="AA186" i="10"/>
  <c r="AC185" i="10"/>
  <c r="AA185" i="10"/>
  <c r="AC184" i="10"/>
  <c r="AA184" i="10"/>
  <c r="AC183" i="10"/>
  <c r="AA183" i="10"/>
  <c r="AC182" i="10"/>
  <c r="AA182" i="10"/>
  <c r="R182" i="10"/>
  <c r="AC181" i="10"/>
  <c r="AA181" i="10"/>
  <c r="AC180" i="10"/>
  <c r="AA180" i="10"/>
  <c r="N180" i="10"/>
  <c r="AC179" i="10"/>
  <c r="AA179" i="10"/>
  <c r="AC178" i="10"/>
  <c r="AA178" i="10"/>
  <c r="W178" i="10"/>
  <c r="AB178" i="10" s="1"/>
  <c r="T178" i="10"/>
  <c r="T179" i="10" s="1"/>
  <c r="T180" i="10" s="1"/>
  <c r="T181" i="10" s="1"/>
  <c r="T182" i="10" s="1"/>
  <c r="T183" i="10" s="1"/>
  <c r="T184" i="10" s="1"/>
  <c r="T185" i="10" s="1"/>
  <c r="T186" i="10" s="1"/>
  <c r="T187" i="10" s="1"/>
  <c r="T188" i="10" s="1"/>
  <c r="T189" i="10" s="1"/>
  <c r="T190" i="10" s="1"/>
  <c r="T191" i="10" s="1"/>
  <c r="T192" i="10" s="1"/>
  <c r="T193" i="10" s="1"/>
  <c r="T194" i="10" s="1"/>
  <c r="T195" i="10" s="1"/>
  <c r="T196" i="10" s="1"/>
  <c r="T197" i="10" s="1"/>
  <c r="T198" i="10" s="1"/>
  <c r="T199" i="10" s="1"/>
  <c r="T200" i="10" s="1"/>
  <c r="T201" i="10" s="1"/>
  <c r="T202" i="10" s="1"/>
  <c r="T203" i="10" s="1"/>
  <c r="T204" i="10" s="1"/>
  <c r="T205" i="10" s="1"/>
  <c r="T206" i="10" s="1"/>
  <c r="T207" i="10" s="1"/>
  <c r="T208" i="10" s="1"/>
  <c r="T209" i="10" s="1"/>
  <c r="T210" i="10" s="1"/>
  <c r="T211" i="10" s="1"/>
  <c r="T212" i="10" s="1"/>
  <c r="T213" i="10" s="1"/>
  <c r="T214" i="10" s="1"/>
  <c r="T215" i="10" s="1"/>
  <c r="T216" i="10" s="1"/>
  <c r="T217" i="10" s="1"/>
  <c r="T218" i="10" s="1"/>
  <c r="T219" i="10" s="1"/>
  <c r="AC177" i="10"/>
  <c r="AB177" i="10"/>
  <c r="AA177" i="10"/>
  <c r="B124" i="10"/>
  <c r="V122" i="10" s="1"/>
  <c r="B74" i="10"/>
  <c r="V72" i="10" s="1"/>
  <c r="B71" i="2"/>
  <c r="B122" i="9"/>
  <c r="V122" i="9" s="1"/>
  <c r="B72" i="9"/>
  <c r="V72" i="9" s="1"/>
  <c r="B13" i="9"/>
  <c r="B14" i="10"/>
  <c r="B230" i="10"/>
  <c r="B227" i="10"/>
  <c r="AC169" i="10"/>
  <c r="AA169" i="10"/>
  <c r="L171" i="10"/>
  <c r="AC168" i="10"/>
  <c r="AA168" i="10"/>
  <c r="AC167" i="10"/>
  <c r="AA167" i="10"/>
  <c r="AC166" i="10"/>
  <c r="AA166" i="10"/>
  <c r="AC165" i="10"/>
  <c r="AA165" i="10"/>
  <c r="M167" i="10"/>
  <c r="L168" i="10" s="1"/>
  <c r="AC164" i="10"/>
  <c r="AA164" i="10"/>
  <c r="AC163" i="10"/>
  <c r="AA163" i="10"/>
  <c r="AC162" i="10"/>
  <c r="AA162" i="10"/>
  <c r="AC161" i="10"/>
  <c r="AA161" i="10"/>
  <c r="L163" i="10"/>
  <c r="AC160" i="10"/>
  <c r="AA160" i="10"/>
  <c r="L162" i="10"/>
  <c r="AC159" i="10"/>
  <c r="AA159" i="10"/>
  <c r="AC158" i="10"/>
  <c r="AA158" i="10"/>
  <c r="AC157" i="10"/>
  <c r="AA157" i="10"/>
  <c r="AC156" i="10"/>
  <c r="AA156" i="10"/>
  <c r="AC155" i="10"/>
  <c r="AA155" i="10"/>
  <c r="AC154" i="10"/>
  <c r="AA154" i="10"/>
  <c r="AC153" i="10"/>
  <c r="AA153" i="10"/>
  <c r="AC152" i="10"/>
  <c r="AA152" i="10"/>
  <c r="AC151" i="10"/>
  <c r="AA151" i="10"/>
  <c r="AC150" i="10"/>
  <c r="AA150" i="10"/>
  <c r="AC149" i="10"/>
  <c r="AA149" i="10"/>
  <c r="AC148" i="10"/>
  <c r="AA148" i="10"/>
  <c r="AC147" i="10"/>
  <c r="AA147" i="10"/>
  <c r="AC146" i="10"/>
  <c r="AA146" i="10"/>
  <c r="AC145" i="10"/>
  <c r="AA145" i="10"/>
  <c r="AC144" i="10"/>
  <c r="AA144" i="10"/>
  <c r="AC143" i="10"/>
  <c r="AA143" i="10"/>
  <c r="AC142" i="10"/>
  <c r="AA142" i="10"/>
  <c r="AC141" i="10"/>
  <c r="AA141" i="10"/>
  <c r="AC140" i="10"/>
  <c r="AA140" i="10"/>
  <c r="AC139" i="10"/>
  <c r="AA139" i="10"/>
  <c r="AC138" i="10"/>
  <c r="AA138" i="10"/>
  <c r="AC137" i="10"/>
  <c r="AA137" i="10"/>
  <c r="AC136" i="10"/>
  <c r="AA136" i="10"/>
  <c r="AC135" i="10"/>
  <c r="AA135" i="10"/>
  <c r="AC134" i="10"/>
  <c r="AA134" i="10"/>
  <c r="AC133" i="10"/>
  <c r="AA133" i="10"/>
  <c r="AC132" i="10"/>
  <c r="AA132" i="10"/>
  <c r="R132" i="10"/>
  <c r="AC131" i="10"/>
  <c r="AA131" i="10"/>
  <c r="AC130" i="10"/>
  <c r="AA130" i="10"/>
  <c r="AC129" i="10"/>
  <c r="AA129" i="10"/>
  <c r="AC128" i="10"/>
  <c r="AA128" i="10"/>
  <c r="T128" i="10"/>
  <c r="T129" i="10" s="1"/>
  <c r="T130" i="10" s="1"/>
  <c r="T131" i="10" s="1"/>
  <c r="T132" i="10" s="1"/>
  <c r="T133" i="10" s="1"/>
  <c r="T134" i="10" s="1"/>
  <c r="T135" i="10" s="1"/>
  <c r="T136" i="10" s="1"/>
  <c r="T137" i="10" s="1"/>
  <c r="T138" i="10" s="1"/>
  <c r="T139" i="10" s="1"/>
  <c r="T140" i="10" s="1"/>
  <c r="T141" i="10" s="1"/>
  <c r="T142" i="10" s="1"/>
  <c r="T143" i="10" s="1"/>
  <c r="T144" i="10" s="1"/>
  <c r="T145" i="10" s="1"/>
  <c r="T146" i="10" s="1"/>
  <c r="T147" i="10" s="1"/>
  <c r="T148" i="10" s="1"/>
  <c r="T149" i="10" s="1"/>
  <c r="T150" i="10" s="1"/>
  <c r="T151" i="10" s="1"/>
  <c r="T152" i="10" s="1"/>
  <c r="T153" i="10" s="1"/>
  <c r="T154" i="10" s="1"/>
  <c r="T155" i="10" s="1"/>
  <c r="T156" i="10" s="1"/>
  <c r="T157" i="10" s="1"/>
  <c r="T158" i="10" s="1"/>
  <c r="T159" i="10" s="1"/>
  <c r="T160" i="10" s="1"/>
  <c r="T161" i="10" s="1"/>
  <c r="T162" i="10" s="1"/>
  <c r="T163" i="10" s="1"/>
  <c r="T164" i="10" s="1"/>
  <c r="T165" i="10" s="1"/>
  <c r="T166" i="10" s="1"/>
  <c r="T167" i="10" s="1"/>
  <c r="T168" i="10" s="1"/>
  <c r="T169" i="10" s="1"/>
  <c r="N130" i="10"/>
  <c r="AC127" i="10"/>
  <c r="AB127" i="10"/>
  <c r="AA127" i="10"/>
  <c r="U123" i="10"/>
  <c r="W128" i="10" s="1"/>
  <c r="AB128" i="10" s="1"/>
  <c r="I125" i="10"/>
  <c r="B172" i="10"/>
  <c r="AC119" i="10"/>
  <c r="AA119" i="10"/>
  <c r="L121" i="10"/>
  <c r="AC118" i="10"/>
  <c r="AA118" i="10"/>
  <c r="AC117" i="10"/>
  <c r="AA117" i="10"/>
  <c r="AC116" i="10"/>
  <c r="AA116" i="10"/>
  <c r="AC115" i="10"/>
  <c r="AA115" i="10"/>
  <c r="M117" i="10"/>
  <c r="L118" i="10" s="1"/>
  <c r="AC114" i="10"/>
  <c r="AA114" i="10"/>
  <c r="AC113" i="10"/>
  <c r="AA113" i="10"/>
  <c r="AC112" i="10"/>
  <c r="AA112" i="10"/>
  <c r="AC111" i="10"/>
  <c r="AA111" i="10"/>
  <c r="L113" i="10"/>
  <c r="AC110" i="10"/>
  <c r="AA110" i="10"/>
  <c r="L112" i="10"/>
  <c r="AC109" i="10"/>
  <c r="AA109" i="10"/>
  <c r="AC108" i="10"/>
  <c r="AA108" i="10"/>
  <c r="AC107" i="10"/>
  <c r="AA107" i="10"/>
  <c r="AC106" i="10"/>
  <c r="AA106" i="10"/>
  <c r="AC105" i="10"/>
  <c r="AA105" i="10"/>
  <c r="AC104" i="10"/>
  <c r="AA104" i="10"/>
  <c r="AC103" i="10"/>
  <c r="AA103" i="10"/>
  <c r="AC102" i="10"/>
  <c r="AA102" i="10"/>
  <c r="AC101" i="10"/>
  <c r="AA101" i="10"/>
  <c r="AC100" i="10"/>
  <c r="AA100" i="10"/>
  <c r="AC99" i="10"/>
  <c r="AA99" i="10"/>
  <c r="AC98" i="10"/>
  <c r="AA98" i="10"/>
  <c r="AC97" i="10"/>
  <c r="AA97" i="10"/>
  <c r="AC96" i="10"/>
  <c r="AA96" i="10"/>
  <c r="AC95" i="10"/>
  <c r="AA95" i="10"/>
  <c r="AC94" i="10"/>
  <c r="AA94" i="10"/>
  <c r="AC93" i="10"/>
  <c r="AA93" i="10"/>
  <c r="AC92" i="10"/>
  <c r="AA92" i="10"/>
  <c r="AC91" i="10"/>
  <c r="AA91" i="10"/>
  <c r="AC90" i="10"/>
  <c r="AA90" i="10"/>
  <c r="AC89" i="10"/>
  <c r="AA89" i="10"/>
  <c r="AC88" i="10"/>
  <c r="AA88" i="10"/>
  <c r="AC87" i="10"/>
  <c r="AA87" i="10"/>
  <c r="AC86" i="10"/>
  <c r="AA86" i="10"/>
  <c r="AC85" i="10"/>
  <c r="AA85" i="10"/>
  <c r="AC84" i="10"/>
  <c r="AA84" i="10"/>
  <c r="AC83" i="10"/>
  <c r="AA83" i="10"/>
  <c r="AC82" i="10"/>
  <c r="AA82" i="10"/>
  <c r="R82" i="10"/>
  <c r="AC81" i="10"/>
  <c r="AA81" i="10"/>
  <c r="AC80" i="10"/>
  <c r="AA80" i="10"/>
  <c r="AC79" i="10"/>
  <c r="AA79" i="10"/>
  <c r="AC78" i="10"/>
  <c r="AA78" i="10"/>
  <c r="T78" i="10"/>
  <c r="T79" i="10" s="1"/>
  <c r="T80" i="10" s="1"/>
  <c r="T81" i="10" s="1"/>
  <c r="T82" i="10" s="1"/>
  <c r="T83" i="10" s="1"/>
  <c r="T84" i="10" s="1"/>
  <c r="T85" i="10" s="1"/>
  <c r="T86" i="10" s="1"/>
  <c r="T87" i="10" s="1"/>
  <c r="T88" i="10" s="1"/>
  <c r="T89" i="10" s="1"/>
  <c r="T90" i="10" s="1"/>
  <c r="T91" i="10" s="1"/>
  <c r="T92" i="10" s="1"/>
  <c r="T93" i="10" s="1"/>
  <c r="T94" i="10" s="1"/>
  <c r="T95" i="10" s="1"/>
  <c r="T96" i="10" s="1"/>
  <c r="T97" i="10" s="1"/>
  <c r="T98" i="10" s="1"/>
  <c r="T99" i="10" s="1"/>
  <c r="T100" i="10" s="1"/>
  <c r="T101" i="10" s="1"/>
  <c r="T102" i="10" s="1"/>
  <c r="T103" i="10" s="1"/>
  <c r="T104" i="10" s="1"/>
  <c r="T105" i="10" s="1"/>
  <c r="T106" i="10" s="1"/>
  <c r="T107" i="10" s="1"/>
  <c r="T108" i="10" s="1"/>
  <c r="T109" i="10" s="1"/>
  <c r="T110" i="10" s="1"/>
  <c r="T111" i="10" s="1"/>
  <c r="T112" i="10" s="1"/>
  <c r="T113" i="10" s="1"/>
  <c r="T114" i="10" s="1"/>
  <c r="T115" i="10" s="1"/>
  <c r="T116" i="10" s="1"/>
  <c r="T117" i="10" s="1"/>
  <c r="T118" i="10" s="1"/>
  <c r="T119" i="10" s="1"/>
  <c r="N80" i="10"/>
  <c r="AC77" i="10"/>
  <c r="AB77" i="10"/>
  <c r="AA77" i="10"/>
  <c r="U73" i="10"/>
  <c r="W78" i="10" s="1"/>
  <c r="AB78" i="10" s="1"/>
  <c r="I75" i="10"/>
  <c r="B122" i="10"/>
  <c r="L71" i="10"/>
  <c r="AC68" i="10"/>
  <c r="AA68" i="10"/>
  <c r="AC67" i="10"/>
  <c r="AA67" i="10"/>
  <c r="AC66" i="10"/>
  <c r="AA66" i="10"/>
  <c r="AC65" i="10"/>
  <c r="AA65" i="10"/>
  <c r="M67" i="10"/>
  <c r="L68" i="10" s="1"/>
  <c r="AC64" i="10"/>
  <c r="AA64" i="10"/>
  <c r="AC63" i="10"/>
  <c r="AA63" i="10"/>
  <c r="AC62" i="10"/>
  <c r="AA62" i="10"/>
  <c r="AC61" i="10"/>
  <c r="AA61" i="10"/>
  <c r="L63" i="10"/>
  <c r="AC60" i="10"/>
  <c r="AA60" i="10"/>
  <c r="L62" i="10"/>
  <c r="AC59" i="10"/>
  <c r="AA59" i="10"/>
  <c r="AC58" i="10"/>
  <c r="AA58" i="10"/>
  <c r="AC57" i="10"/>
  <c r="AA57" i="10"/>
  <c r="AC56" i="10"/>
  <c r="AA56" i="10"/>
  <c r="AC55" i="10"/>
  <c r="AA55" i="10"/>
  <c r="AC54" i="10"/>
  <c r="AA54" i="10"/>
  <c r="AC53" i="10"/>
  <c r="AA53" i="10"/>
  <c r="AC52" i="10"/>
  <c r="AA52" i="10"/>
  <c r="AC51" i="10"/>
  <c r="AA51" i="10"/>
  <c r="AC50" i="10"/>
  <c r="AA50" i="10"/>
  <c r="AC49" i="10"/>
  <c r="AA49" i="10"/>
  <c r="AC48" i="10"/>
  <c r="AA48" i="10"/>
  <c r="AC47" i="10"/>
  <c r="AA47" i="10"/>
  <c r="AC46" i="10"/>
  <c r="AA46" i="10"/>
  <c r="AC45" i="10"/>
  <c r="AA45" i="10"/>
  <c r="AC44" i="10"/>
  <c r="AA44" i="10"/>
  <c r="AC43" i="10"/>
  <c r="AA43" i="10"/>
  <c r="AC42" i="10"/>
  <c r="AA42" i="10"/>
  <c r="AC41" i="10"/>
  <c r="AA41" i="10"/>
  <c r="AC40" i="10"/>
  <c r="AA40" i="10"/>
  <c r="AC39" i="10"/>
  <c r="AA39" i="10"/>
  <c r="AC38" i="10"/>
  <c r="AA38" i="10"/>
  <c r="AC37" i="10"/>
  <c r="AA37" i="10"/>
  <c r="AC36" i="10"/>
  <c r="AA36" i="10"/>
  <c r="AC35" i="10"/>
  <c r="AA35" i="10"/>
  <c r="AC34" i="10"/>
  <c r="AA34" i="10"/>
  <c r="AC33" i="10"/>
  <c r="AA33" i="10"/>
  <c r="AC32" i="10"/>
  <c r="AA32" i="10"/>
  <c r="AC31" i="10"/>
  <c r="AA31" i="10"/>
  <c r="R31" i="10"/>
  <c r="I183" i="10" s="1"/>
  <c r="AC30" i="10"/>
  <c r="AA30" i="10"/>
  <c r="AC29" i="10"/>
  <c r="AA29" i="10"/>
  <c r="W29" i="10"/>
  <c r="AB29" i="10" s="1"/>
  <c r="AC28" i="10"/>
  <c r="AB28" i="10"/>
  <c r="AA28" i="10"/>
  <c r="N30" i="10"/>
  <c r="AC27" i="10"/>
  <c r="AA27" i="10"/>
  <c r="W27" i="10"/>
  <c r="AB27" i="10" s="1"/>
  <c r="T27" i="10"/>
  <c r="T28" i="10" s="1"/>
  <c r="T29" i="10" s="1"/>
  <c r="T30" i="10" s="1"/>
  <c r="T31" i="10" s="1"/>
  <c r="T32" i="10" s="1"/>
  <c r="T33" i="10" s="1"/>
  <c r="T34" i="10" s="1"/>
  <c r="T35" i="10" s="1"/>
  <c r="T36" i="10" s="1"/>
  <c r="T37" i="10" s="1"/>
  <c r="T38" i="10" s="1"/>
  <c r="T39" i="10" s="1"/>
  <c r="T40" i="10" s="1"/>
  <c r="T41" i="10" s="1"/>
  <c r="T42" i="10" s="1"/>
  <c r="T43" i="10" s="1"/>
  <c r="T44" i="10" s="1"/>
  <c r="T45" i="10" s="1"/>
  <c r="T46" i="10" s="1"/>
  <c r="T47" i="10" s="1"/>
  <c r="T48" i="10" s="1"/>
  <c r="T49" i="10" s="1"/>
  <c r="T50" i="10" s="1"/>
  <c r="T51" i="10" s="1"/>
  <c r="T52" i="10" s="1"/>
  <c r="T53" i="10" s="1"/>
  <c r="T54" i="10" s="1"/>
  <c r="T55" i="10" s="1"/>
  <c r="T56" i="10" s="1"/>
  <c r="T57" i="10" s="1"/>
  <c r="T58" i="10" s="1"/>
  <c r="T59" i="10" s="1"/>
  <c r="T60" i="10" s="1"/>
  <c r="T61" i="10" s="1"/>
  <c r="T62" i="10" s="1"/>
  <c r="T63" i="10" s="1"/>
  <c r="T64" i="10" s="1"/>
  <c r="T65" i="10" s="1"/>
  <c r="T66" i="10" s="1"/>
  <c r="T67" i="10" s="1"/>
  <c r="T68" i="10" s="1"/>
  <c r="AC26" i="10"/>
  <c r="AB26" i="10"/>
  <c r="Y26" i="10"/>
  <c r="AA26" i="10" s="1"/>
  <c r="I25" i="10"/>
  <c r="I21" i="10"/>
  <c r="I22" i="10" s="1"/>
  <c r="B13" i="10"/>
  <c r="L169" i="9"/>
  <c r="M165" i="9"/>
  <c r="L166" i="9" s="1"/>
  <c r="L161" i="9"/>
  <c r="L160" i="9"/>
  <c r="I123" i="9"/>
  <c r="B170" i="9"/>
  <c r="B178" i="9"/>
  <c r="AC169" i="9"/>
  <c r="AA169" i="9"/>
  <c r="AC168" i="9"/>
  <c r="AA168" i="9"/>
  <c r="AC167" i="9"/>
  <c r="AA167" i="9"/>
  <c r="AC166" i="9"/>
  <c r="AA166" i="9"/>
  <c r="AC165" i="9"/>
  <c r="AA165" i="9"/>
  <c r="AC164" i="9"/>
  <c r="AA164" i="9"/>
  <c r="AC163" i="9"/>
  <c r="AA163" i="9"/>
  <c r="AC162" i="9"/>
  <c r="AA162" i="9"/>
  <c r="AC161" i="9"/>
  <c r="AA161" i="9"/>
  <c r="AC160" i="9"/>
  <c r="AA160" i="9"/>
  <c r="AC159" i="9"/>
  <c r="AA159" i="9"/>
  <c r="AC158" i="9"/>
  <c r="AA158" i="9"/>
  <c r="AC157" i="9"/>
  <c r="AA157" i="9"/>
  <c r="AC156" i="9"/>
  <c r="AA156" i="9"/>
  <c r="AC155" i="9"/>
  <c r="AA155" i="9"/>
  <c r="AC154" i="9"/>
  <c r="AA154" i="9"/>
  <c r="AC153" i="9"/>
  <c r="AA153" i="9"/>
  <c r="AC152" i="9"/>
  <c r="AA152" i="9"/>
  <c r="AC151" i="9"/>
  <c r="AA151" i="9"/>
  <c r="AC150" i="9"/>
  <c r="AA150" i="9"/>
  <c r="AC149" i="9"/>
  <c r="AA149" i="9"/>
  <c r="AC148" i="9"/>
  <c r="AA148" i="9"/>
  <c r="AC147" i="9"/>
  <c r="AA147" i="9"/>
  <c r="AC146" i="9"/>
  <c r="AA146" i="9"/>
  <c r="AC145" i="9"/>
  <c r="AA145" i="9"/>
  <c r="AC144" i="9"/>
  <c r="AA144" i="9"/>
  <c r="AC143" i="9"/>
  <c r="AA143" i="9"/>
  <c r="AC142" i="9"/>
  <c r="AA142" i="9"/>
  <c r="AC141" i="9"/>
  <c r="AA141" i="9"/>
  <c r="AC140" i="9"/>
  <c r="AA140" i="9"/>
  <c r="AC139" i="9"/>
  <c r="AA139" i="9"/>
  <c r="AC138" i="9"/>
  <c r="AA138" i="9"/>
  <c r="AC137" i="9"/>
  <c r="AA137" i="9"/>
  <c r="AC136" i="9"/>
  <c r="AA136" i="9"/>
  <c r="AC135" i="9"/>
  <c r="AA135" i="9"/>
  <c r="AC134" i="9"/>
  <c r="AA134" i="9"/>
  <c r="AC133" i="9"/>
  <c r="AA133" i="9"/>
  <c r="AC132" i="9"/>
  <c r="AA132" i="9"/>
  <c r="R132" i="9"/>
  <c r="AC131" i="9"/>
  <c r="AA131" i="9"/>
  <c r="AC130" i="9"/>
  <c r="AA130" i="9"/>
  <c r="AC129" i="9"/>
  <c r="AA129" i="9"/>
  <c r="AC128" i="9"/>
  <c r="AA128" i="9"/>
  <c r="T128" i="9"/>
  <c r="T129" i="9" s="1"/>
  <c r="T130" i="9" s="1"/>
  <c r="T131" i="9" s="1"/>
  <c r="T132" i="9" s="1"/>
  <c r="T133" i="9" s="1"/>
  <c r="T134" i="9" s="1"/>
  <c r="T135" i="9" s="1"/>
  <c r="T136" i="9" s="1"/>
  <c r="T137" i="9" s="1"/>
  <c r="T138" i="9" s="1"/>
  <c r="T139" i="9" s="1"/>
  <c r="T140" i="9" s="1"/>
  <c r="T141" i="9" s="1"/>
  <c r="T142" i="9" s="1"/>
  <c r="T143" i="9" s="1"/>
  <c r="T144" i="9" s="1"/>
  <c r="T145" i="9" s="1"/>
  <c r="T146" i="9" s="1"/>
  <c r="T147" i="9" s="1"/>
  <c r="T148" i="9" s="1"/>
  <c r="T149" i="9" s="1"/>
  <c r="T150" i="9" s="1"/>
  <c r="T151" i="9" s="1"/>
  <c r="T152" i="9" s="1"/>
  <c r="T153" i="9" s="1"/>
  <c r="T154" i="9" s="1"/>
  <c r="T155" i="9" s="1"/>
  <c r="T156" i="9" s="1"/>
  <c r="T157" i="9" s="1"/>
  <c r="T158" i="9" s="1"/>
  <c r="T159" i="9" s="1"/>
  <c r="T160" i="9" s="1"/>
  <c r="T161" i="9" s="1"/>
  <c r="T162" i="9" s="1"/>
  <c r="T163" i="9" s="1"/>
  <c r="T164" i="9" s="1"/>
  <c r="T165" i="9" s="1"/>
  <c r="T166" i="9" s="1"/>
  <c r="T167" i="9" s="1"/>
  <c r="T168" i="9" s="1"/>
  <c r="T169" i="9" s="1"/>
  <c r="N128" i="9"/>
  <c r="AC127" i="9"/>
  <c r="AB127" i="9"/>
  <c r="AA127" i="9"/>
  <c r="U123" i="9"/>
  <c r="W128" i="9" s="1"/>
  <c r="W129" i="9" s="1"/>
  <c r="W130" i="9" s="1"/>
  <c r="B175" i="9"/>
  <c r="AC119" i="9"/>
  <c r="AA119" i="9"/>
  <c r="AC118" i="9"/>
  <c r="AA118" i="9"/>
  <c r="AC117" i="9"/>
  <c r="AA117" i="9"/>
  <c r="L119" i="9"/>
  <c r="AC116" i="9"/>
  <c r="AA116" i="9"/>
  <c r="AC115" i="9"/>
  <c r="AA115" i="9"/>
  <c r="AC114" i="9"/>
  <c r="AA114" i="9"/>
  <c r="AC113" i="9"/>
  <c r="AA113" i="9"/>
  <c r="M115" i="9"/>
  <c r="L116" i="9" s="1"/>
  <c r="AC112" i="9"/>
  <c r="AA112" i="9"/>
  <c r="AC111" i="9"/>
  <c r="AA111" i="9"/>
  <c r="AC110" i="9"/>
  <c r="AA110" i="9"/>
  <c r="AC109" i="9"/>
  <c r="AA109" i="9"/>
  <c r="L111" i="9"/>
  <c r="AC108" i="9"/>
  <c r="AA108" i="9"/>
  <c r="L110" i="9"/>
  <c r="AC107" i="9"/>
  <c r="AA107" i="9"/>
  <c r="AC106" i="9"/>
  <c r="AA106" i="9"/>
  <c r="AC105" i="9"/>
  <c r="AA105" i="9"/>
  <c r="AC104" i="9"/>
  <c r="AA104" i="9"/>
  <c r="AC103" i="9"/>
  <c r="AA103" i="9"/>
  <c r="AC102" i="9"/>
  <c r="AA102" i="9"/>
  <c r="AC101" i="9"/>
  <c r="AA101" i="9"/>
  <c r="AC100" i="9"/>
  <c r="AA100" i="9"/>
  <c r="AC99" i="9"/>
  <c r="AA99" i="9"/>
  <c r="AC98" i="9"/>
  <c r="AA98" i="9"/>
  <c r="AC97" i="9"/>
  <c r="AA97" i="9"/>
  <c r="AC96" i="9"/>
  <c r="AA96" i="9"/>
  <c r="AC95" i="9"/>
  <c r="AA95" i="9"/>
  <c r="AC94" i="9"/>
  <c r="AA94" i="9"/>
  <c r="AC93" i="9"/>
  <c r="AA93" i="9"/>
  <c r="AC92" i="9"/>
  <c r="AA92" i="9"/>
  <c r="AC91" i="9"/>
  <c r="AA91" i="9"/>
  <c r="AC90" i="9"/>
  <c r="AA90" i="9"/>
  <c r="AC89" i="9"/>
  <c r="AA89" i="9"/>
  <c r="AC88" i="9"/>
  <c r="AA88" i="9"/>
  <c r="AC87" i="9"/>
  <c r="AA87" i="9"/>
  <c r="AC86" i="9"/>
  <c r="AA86" i="9"/>
  <c r="AC85" i="9"/>
  <c r="AA85" i="9"/>
  <c r="AC84" i="9"/>
  <c r="AA84" i="9"/>
  <c r="AC83" i="9"/>
  <c r="AA83" i="9"/>
  <c r="AC82" i="9"/>
  <c r="AA82" i="9"/>
  <c r="R82" i="9"/>
  <c r="AC81" i="9"/>
  <c r="AA81" i="9"/>
  <c r="AC80" i="9"/>
  <c r="AA80" i="9"/>
  <c r="AC79" i="9"/>
  <c r="AA79" i="9"/>
  <c r="AC78" i="9"/>
  <c r="AA78" i="9"/>
  <c r="T78" i="9"/>
  <c r="T79" i="9" s="1"/>
  <c r="T80" i="9" s="1"/>
  <c r="T81" i="9" s="1"/>
  <c r="T82" i="9" s="1"/>
  <c r="T83" i="9" s="1"/>
  <c r="T84" i="9" s="1"/>
  <c r="T85" i="9" s="1"/>
  <c r="T86" i="9" s="1"/>
  <c r="T87" i="9" s="1"/>
  <c r="T88" i="9" s="1"/>
  <c r="T89" i="9" s="1"/>
  <c r="T90" i="9" s="1"/>
  <c r="T91" i="9" s="1"/>
  <c r="T92" i="9" s="1"/>
  <c r="T93" i="9" s="1"/>
  <c r="T94" i="9" s="1"/>
  <c r="T95" i="9" s="1"/>
  <c r="T96" i="9" s="1"/>
  <c r="T97" i="9" s="1"/>
  <c r="T98" i="9" s="1"/>
  <c r="T99" i="9" s="1"/>
  <c r="T100" i="9" s="1"/>
  <c r="T101" i="9" s="1"/>
  <c r="T102" i="9" s="1"/>
  <c r="T103" i="9" s="1"/>
  <c r="T104" i="9" s="1"/>
  <c r="T105" i="9" s="1"/>
  <c r="T106" i="9" s="1"/>
  <c r="T107" i="9" s="1"/>
  <c r="T108" i="9" s="1"/>
  <c r="T109" i="9" s="1"/>
  <c r="T110" i="9" s="1"/>
  <c r="T111" i="9" s="1"/>
  <c r="T112" i="9" s="1"/>
  <c r="T113" i="9" s="1"/>
  <c r="T114" i="9" s="1"/>
  <c r="T115" i="9" s="1"/>
  <c r="T116" i="9" s="1"/>
  <c r="T117" i="9" s="1"/>
  <c r="T118" i="9" s="1"/>
  <c r="T119" i="9" s="1"/>
  <c r="AC77" i="9"/>
  <c r="AB77" i="9"/>
  <c r="AA77" i="9"/>
  <c r="N78" i="9"/>
  <c r="U73" i="9"/>
  <c r="W78" i="9" s="1"/>
  <c r="AB78" i="9" s="1"/>
  <c r="I73" i="9"/>
  <c r="AC68" i="9"/>
  <c r="AA68" i="9"/>
  <c r="AC67" i="9"/>
  <c r="AA67" i="9"/>
  <c r="L69" i="9"/>
  <c r="AC66" i="9"/>
  <c r="AA66" i="9"/>
  <c r="AC65" i="9"/>
  <c r="AA65" i="9"/>
  <c r="AC64" i="9"/>
  <c r="AA64" i="9"/>
  <c r="AC63" i="9"/>
  <c r="AA63" i="9"/>
  <c r="M65" i="9"/>
  <c r="L66" i="9" s="1"/>
  <c r="AC62" i="9"/>
  <c r="AA62" i="9"/>
  <c r="AC61" i="9"/>
  <c r="AA61" i="9"/>
  <c r="AC60" i="9"/>
  <c r="AA60" i="9"/>
  <c r="AC59" i="9"/>
  <c r="AA59" i="9"/>
  <c r="L61" i="9"/>
  <c r="AC58" i="9"/>
  <c r="AA58" i="9"/>
  <c r="L60" i="9"/>
  <c r="AC57" i="9"/>
  <c r="AA57" i="9"/>
  <c r="AC56" i="9"/>
  <c r="AA56" i="9"/>
  <c r="AC55" i="9"/>
  <c r="AA55" i="9"/>
  <c r="AC54" i="9"/>
  <c r="AA54" i="9"/>
  <c r="AC53" i="9"/>
  <c r="AA53" i="9"/>
  <c r="AC52" i="9"/>
  <c r="AA52" i="9"/>
  <c r="AC51" i="9"/>
  <c r="AA51" i="9"/>
  <c r="AC50" i="9"/>
  <c r="AA50" i="9"/>
  <c r="AC49" i="9"/>
  <c r="AA49" i="9"/>
  <c r="AC48" i="9"/>
  <c r="AA48" i="9"/>
  <c r="AC47" i="9"/>
  <c r="AA47" i="9"/>
  <c r="AC46" i="9"/>
  <c r="AA46" i="9"/>
  <c r="AC45" i="9"/>
  <c r="AA45" i="9"/>
  <c r="AC44" i="9"/>
  <c r="AA44" i="9"/>
  <c r="AC43" i="9"/>
  <c r="AA43" i="9"/>
  <c r="AC42" i="9"/>
  <c r="AA42" i="9"/>
  <c r="AC41" i="9"/>
  <c r="AA41" i="9"/>
  <c r="AC40" i="9"/>
  <c r="AA40" i="9"/>
  <c r="AC39" i="9"/>
  <c r="AA39" i="9"/>
  <c r="AC38" i="9"/>
  <c r="AA38" i="9"/>
  <c r="AC37" i="9"/>
  <c r="AA37" i="9"/>
  <c r="AC36" i="9"/>
  <c r="AA36" i="9"/>
  <c r="AC35" i="9"/>
  <c r="AA35" i="9"/>
  <c r="AC34" i="9"/>
  <c r="AA34" i="9"/>
  <c r="AC33" i="9"/>
  <c r="AA33" i="9"/>
  <c r="AC32" i="9"/>
  <c r="AA32" i="9"/>
  <c r="AC31" i="9"/>
  <c r="AA31" i="9"/>
  <c r="R31" i="9"/>
  <c r="I31" i="9" s="1"/>
  <c r="AC30" i="9"/>
  <c r="AA30" i="9"/>
  <c r="AC29" i="9"/>
  <c r="AA29" i="9"/>
  <c r="W29" i="9"/>
  <c r="W30" i="9" s="1"/>
  <c r="AB30" i="9" s="1"/>
  <c r="AC28" i="9"/>
  <c r="AB28" i="9"/>
  <c r="AA28" i="9"/>
  <c r="AC27" i="9"/>
  <c r="AA27" i="9"/>
  <c r="W27" i="9"/>
  <c r="AB27" i="9" s="1"/>
  <c r="T27" i="9"/>
  <c r="T28" i="9" s="1"/>
  <c r="T29" i="9" s="1"/>
  <c r="T30" i="9" s="1"/>
  <c r="T31" i="9" s="1"/>
  <c r="T32" i="9" s="1"/>
  <c r="T33" i="9" s="1"/>
  <c r="T34" i="9" s="1"/>
  <c r="T35" i="9" s="1"/>
  <c r="T36" i="9" s="1"/>
  <c r="T37" i="9" s="1"/>
  <c r="T38" i="9" s="1"/>
  <c r="T39" i="9" s="1"/>
  <c r="T40" i="9" s="1"/>
  <c r="T41" i="9" s="1"/>
  <c r="T42" i="9" s="1"/>
  <c r="T43" i="9" s="1"/>
  <c r="T44" i="9" s="1"/>
  <c r="T45" i="9" s="1"/>
  <c r="T46" i="9" s="1"/>
  <c r="T47" i="9" s="1"/>
  <c r="T48" i="9" s="1"/>
  <c r="T49" i="9" s="1"/>
  <c r="T50" i="9" s="1"/>
  <c r="T51" i="9" s="1"/>
  <c r="T52" i="9" s="1"/>
  <c r="T53" i="9" s="1"/>
  <c r="T54" i="9" s="1"/>
  <c r="T55" i="9" s="1"/>
  <c r="T56" i="9" s="1"/>
  <c r="T57" i="9" s="1"/>
  <c r="T58" i="9" s="1"/>
  <c r="T59" i="9" s="1"/>
  <c r="T60" i="9" s="1"/>
  <c r="T61" i="9" s="1"/>
  <c r="T62" i="9" s="1"/>
  <c r="T63" i="9" s="1"/>
  <c r="T64" i="9" s="1"/>
  <c r="T65" i="9" s="1"/>
  <c r="T66" i="9" s="1"/>
  <c r="T67" i="9" s="1"/>
  <c r="T68" i="9" s="1"/>
  <c r="AC26" i="9"/>
  <c r="AB26" i="9"/>
  <c r="Y26" i="9"/>
  <c r="AA26" i="9" s="1"/>
  <c r="N28" i="9"/>
  <c r="V21" i="9"/>
  <c r="I23" i="9"/>
  <c r="I19" i="9"/>
  <c r="I20" i="9" s="1"/>
  <c r="B12" i="9"/>
  <c r="AC71" i="8"/>
  <c r="AA71" i="8"/>
  <c r="T71" i="8"/>
  <c r="AC69" i="8"/>
  <c r="AA69" i="8"/>
  <c r="AC66" i="8"/>
  <c r="AA66" i="8"/>
  <c r="AC65" i="8"/>
  <c r="AA65" i="8"/>
  <c r="AC64" i="8"/>
  <c r="AA64" i="8"/>
  <c r="AC63" i="8"/>
  <c r="AA63" i="8"/>
  <c r="AC62" i="8"/>
  <c r="AA62" i="8"/>
  <c r="M59" i="8"/>
  <c r="L60" i="8" s="1"/>
  <c r="AC61" i="8"/>
  <c r="AA61" i="8"/>
  <c r="AC60" i="8"/>
  <c r="AA60" i="8"/>
  <c r="AC59" i="8"/>
  <c r="AA59" i="8"/>
  <c r="AC58" i="8"/>
  <c r="AA58" i="8"/>
  <c r="L55" i="8"/>
  <c r="AC57" i="8"/>
  <c r="AA57" i="8"/>
  <c r="L54" i="8"/>
  <c r="AC56" i="8"/>
  <c r="AA56" i="8"/>
  <c r="AC55" i="8"/>
  <c r="AA55" i="8"/>
  <c r="AC54" i="8"/>
  <c r="AA54" i="8"/>
  <c r="AC53" i="8"/>
  <c r="AA53" i="8"/>
  <c r="AC52" i="8"/>
  <c r="AA52" i="8"/>
  <c r="AC51" i="8"/>
  <c r="AA51" i="8"/>
  <c r="AC50" i="8"/>
  <c r="AA50" i="8"/>
  <c r="AC49" i="8"/>
  <c r="AA49" i="8"/>
  <c r="AC48" i="8"/>
  <c r="AA48" i="8"/>
  <c r="AC46" i="8"/>
  <c r="AA46" i="8"/>
  <c r="AC45" i="8"/>
  <c r="AA45" i="8"/>
  <c r="AC44" i="8"/>
  <c r="AA44" i="8"/>
  <c r="AC43" i="8"/>
  <c r="AA43" i="8"/>
  <c r="AC42" i="8"/>
  <c r="AA42" i="8"/>
  <c r="AC41" i="8"/>
  <c r="AA41" i="8"/>
  <c r="AC40" i="8"/>
  <c r="AA40" i="8"/>
  <c r="AC39" i="8"/>
  <c r="AA39" i="8"/>
  <c r="AC38" i="8"/>
  <c r="AA38" i="8"/>
  <c r="AC37" i="8"/>
  <c r="AA37" i="8"/>
  <c r="AC36" i="8"/>
  <c r="AA36" i="8"/>
  <c r="AC35" i="8"/>
  <c r="AA35" i="8"/>
  <c r="AC34" i="8"/>
  <c r="AA34" i="8"/>
  <c r="AC33" i="8"/>
  <c r="AA33" i="8"/>
  <c r="AC32" i="8"/>
  <c r="AA32" i="8"/>
  <c r="AC31" i="8"/>
  <c r="AA31" i="8"/>
  <c r="AC30" i="8"/>
  <c r="AA30" i="8"/>
  <c r="AC29" i="8"/>
  <c r="AA29" i="8"/>
  <c r="R29" i="8"/>
  <c r="I24" i="8" s="1"/>
  <c r="AC28" i="8"/>
  <c r="AA28" i="8"/>
  <c r="AC27" i="8"/>
  <c r="AA27" i="8"/>
  <c r="AB28" i="8"/>
  <c r="AC26" i="8"/>
  <c r="AA26" i="8"/>
  <c r="AC25" i="8"/>
  <c r="AA25" i="8"/>
  <c r="T25" i="8"/>
  <c r="T26" i="8" s="1"/>
  <c r="T27" i="8" s="1"/>
  <c r="T28" i="8" s="1"/>
  <c r="T29" i="8" s="1"/>
  <c r="T30" i="8" s="1"/>
  <c r="T31" i="8" s="1"/>
  <c r="T32" i="8" s="1"/>
  <c r="T33" i="8" s="1"/>
  <c r="T34" i="8" s="1"/>
  <c r="T35" i="8" s="1"/>
  <c r="T36" i="8" s="1"/>
  <c r="T37" i="8" s="1"/>
  <c r="T38" i="8" s="1"/>
  <c r="T39" i="8" s="1"/>
  <c r="T40" i="8" s="1"/>
  <c r="T41" i="8" s="1"/>
  <c r="T42" i="8" s="1"/>
  <c r="T43" i="8" s="1"/>
  <c r="T44" i="8" s="1"/>
  <c r="T45" i="8" s="1"/>
  <c r="T46" i="8" s="1"/>
  <c r="T48" i="8" s="1"/>
  <c r="T49" i="8" s="1"/>
  <c r="T50" i="8" s="1"/>
  <c r="T51" i="8" s="1"/>
  <c r="T52" i="8" s="1"/>
  <c r="T53" i="8" s="1"/>
  <c r="T54" i="8" s="1"/>
  <c r="T55" i="8" s="1"/>
  <c r="T56" i="8" s="1"/>
  <c r="T57" i="8" s="1"/>
  <c r="T58" i="8" s="1"/>
  <c r="T59" i="8" s="1"/>
  <c r="T60" i="8" s="1"/>
  <c r="T61" i="8" s="1"/>
  <c r="T62" i="8" s="1"/>
  <c r="T63" i="8" s="1"/>
  <c r="T64" i="8" s="1"/>
  <c r="T65" i="8" s="1"/>
  <c r="T66" i="8" s="1"/>
  <c r="T69" i="8" s="1"/>
  <c r="AC24" i="8"/>
  <c r="AA24" i="8"/>
  <c r="N21" i="8"/>
  <c r="I16" i="8"/>
  <c r="B64" i="8"/>
  <c r="I12" i="8"/>
  <c r="I13" i="8" s="1"/>
  <c r="B11" i="2"/>
  <c r="L119" i="2"/>
  <c r="L111" i="2"/>
  <c r="L110" i="2"/>
  <c r="B125" i="2"/>
  <c r="L68" i="2"/>
  <c r="M64" i="2"/>
  <c r="L60" i="2"/>
  <c r="L59" i="2"/>
  <c r="I72" i="2"/>
  <c r="J107" i="2" s="1"/>
  <c r="B120" i="2"/>
  <c r="B69" i="2"/>
  <c r="I21" i="2"/>
  <c r="J56" i="2" s="1"/>
  <c r="I17" i="2"/>
  <c r="L61" i="2" l="1"/>
  <c r="B277" i="11"/>
  <c r="B13" i="11"/>
  <c r="B172" i="9"/>
  <c r="B11" i="9"/>
  <c r="B224" i="10"/>
  <c r="B12" i="10"/>
  <c r="B26" i="11"/>
  <c r="V21" i="11" s="1"/>
  <c r="B20" i="2"/>
  <c r="B122" i="2"/>
  <c r="G119" i="13"/>
  <c r="AD229" i="11"/>
  <c r="I81" i="9"/>
  <c r="I131" i="9"/>
  <c r="AD127" i="9"/>
  <c r="AE227" i="11"/>
  <c r="AD177" i="10"/>
  <c r="W179" i="10"/>
  <c r="AB179" i="10" s="1"/>
  <c r="AD179" i="10" s="1"/>
  <c r="L266" i="11"/>
  <c r="L267" i="11" s="1"/>
  <c r="B18" i="11"/>
  <c r="B14" i="9"/>
  <c r="B12" i="2"/>
  <c r="B16" i="10"/>
  <c r="B15" i="8"/>
  <c r="V19" i="8" s="1"/>
  <c r="B7" i="8"/>
  <c r="B66" i="8"/>
  <c r="AD24" i="8"/>
  <c r="AE24" i="8" s="1"/>
  <c r="I235" i="11"/>
  <c r="AB228" i="11"/>
  <c r="AD228" i="11" s="1"/>
  <c r="W230" i="11"/>
  <c r="J261" i="11"/>
  <c r="L262" i="11" s="1"/>
  <c r="AE229" i="11"/>
  <c r="L66" i="11"/>
  <c r="L67" i="11" s="1"/>
  <c r="J111" i="11"/>
  <c r="L112" i="11" s="1"/>
  <c r="L216" i="11"/>
  <c r="L217" i="11" s="1"/>
  <c r="AD127" i="11"/>
  <c r="AE127" i="11" s="1"/>
  <c r="J211" i="11"/>
  <c r="L212" i="11" s="1"/>
  <c r="AE26" i="11"/>
  <c r="AD177" i="11"/>
  <c r="AE177" i="11" s="1"/>
  <c r="L116" i="11"/>
  <c r="L117" i="11" s="1"/>
  <c r="AB128" i="11"/>
  <c r="AD128" i="11" s="1"/>
  <c r="AE128" i="11" s="1"/>
  <c r="L166" i="11"/>
  <c r="L167" i="11" s="1"/>
  <c r="AD27" i="11"/>
  <c r="AD77" i="11"/>
  <c r="AE77" i="11" s="1"/>
  <c r="J161" i="11"/>
  <c r="L162" i="11" s="1"/>
  <c r="AB79" i="11"/>
  <c r="AD79" i="11" s="1"/>
  <c r="J61" i="11"/>
  <c r="L62" i="11" s="1"/>
  <c r="AD28" i="11"/>
  <c r="AE28" i="11" s="1"/>
  <c r="I135" i="11"/>
  <c r="I85" i="11"/>
  <c r="I35" i="11"/>
  <c r="W30" i="11"/>
  <c r="AB29" i="11"/>
  <c r="AD29" i="11" s="1"/>
  <c r="W81" i="11"/>
  <c r="AB80" i="11"/>
  <c r="AD80" i="11" s="1"/>
  <c r="AB129" i="11"/>
  <c r="AD129" i="11" s="1"/>
  <c r="W130" i="11"/>
  <c r="AB178" i="11"/>
  <c r="W179" i="11"/>
  <c r="AB78" i="11"/>
  <c r="L214" i="10"/>
  <c r="L215" i="10" s="1"/>
  <c r="J209" i="10"/>
  <c r="L210" i="10" s="1"/>
  <c r="L220" i="10" s="1"/>
  <c r="L222" i="10" s="1"/>
  <c r="L15" i="10" s="1"/>
  <c r="AD178" i="10"/>
  <c r="AE178" i="10" s="1"/>
  <c r="AE179" i="10"/>
  <c r="AE177" i="10"/>
  <c r="W30" i="10"/>
  <c r="W31" i="10" s="1"/>
  <c r="W32" i="10" s="1"/>
  <c r="J159" i="10"/>
  <c r="L160" i="10" s="1"/>
  <c r="AD77" i="10"/>
  <c r="AE77" i="10" s="1"/>
  <c r="L114" i="10"/>
  <c r="L115" i="10" s="1"/>
  <c r="J109" i="10"/>
  <c r="L110" i="10" s="1"/>
  <c r="AD128" i="10"/>
  <c r="AE128" i="10" s="1"/>
  <c r="B120" i="10"/>
  <c r="AD127" i="10"/>
  <c r="AE127" i="10" s="1"/>
  <c r="AD29" i="10"/>
  <c r="AE29" i="10" s="1"/>
  <c r="L164" i="10"/>
  <c r="L165" i="10" s="1"/>
  <c r="W79" i="10"/>
  <c r="W80" i="10" s="1"/>
  <c r="AB80" i="10" s="1"/>
  <c r="AD27" i="10"/>
  <c r="B171" i="10"/>
  <c r="AD26" i="10"/>
  <c r="AE26" i="10" s="1"/>
  <c r="W129" i="10"/>
  <c r="W130" i="10" s="1"/>
  <c r="W131" i="10" s="1"/>
  <c r="J59" i="10"/>
  <c r="L60" i="10" s="1"/>
  <c r="L64" i="10"/>
  <c r="L65" i="10" s="1"/>
  <c r="B72" i="10"/>
  <c r="B70" i="10"/>
  <c r="B71" i="10"/>
  <c r="AD78" i="10"/>
  <c r="AE78" i="10" s="1"/>
  <c r="I133" i="10"/>
  <c r="I33" i="10"/>
  <c r="I83" i="10"/>
  <c r="AD28" i="10"/>
  <c r="AE28" i="10" s="1"/>
  <c r="B121" i="10"/>
  <c r="B170" i="10"/>
  <c r="B168" i="9"/>
  <c r="B169" i="9"/>
  <c r="AD27" i="9"/>
  <c r="AE127" i="9"/>
  <c r="AB129" i="9"/>
  <c r="L162" i="9"/>
  <c r="L163" i="9" s="1"/>
  <c r="W131" i="9"/>
  <c r="AB130" i="9"/>
  <c r="AD130" i="9" s="1"/>
  <c r="AB128" i="9"/>
  <c r="AD128" i="9" s="1"/>
  <c r="J157" i="9"/>
  <c r="L158" i="9" s="1"/>
  <c r="W79" i="9"/>
  <c r="W80" i="9" s="1"/>
  <c r="AD28" i="9"/>
  <c r="AE28" i="9" s="1"/>
  <c r="B118" i="9"/>
  <c r="B119" i="9"/>
  <c r="AD26" i="9"/>
  <c r="AE26" i="9" s="1"/>
  <c r="AD77" i="9"/>
  <c r="AE77" i="9" s="1"/>
  <c r="B120" i="9"/>
  <c r="AD30" i="9"/>
  <c r="AE30" i="9" s="1"/>
  <c r="J107" i="9"/>
  <c r="L108" i="9" s="1"/>
  <c r="L62" i="9"/>
  <c r="L63" i="9" s="1"/>
  <c r="L112" i="9"/>
  <c r="L113" i="9" s="1"/>
  <c r="AD78" i="9"/>
  <c r="AE78" i="9" s="1"/>
  <c r="B69" i="9"/>
  <c r="B68" i="9"/>
  <c r="J57" i="9"/>
  <c r="L58" i="9" s="1"/>
  <c r="W31" i="9"/>
  <c r="AB29" i="9"/>
  <c r="AD29" i="9" s="1"/>
  <c r="AD26" i="8"/>
  <c r="AE26" i="8" s="1"/>
  <c r="L56" i="8"/>
  <c r="L57" i="8" s="1"/>
  <c r="AD25" i="8"/>
  <c r="AE25" i="8" s="1"/>
  <c r="B63" i="8"/>
  <c r="J51" i="8"/>
  <c r="L52" i="8" s="1"/>
  <c r="AD28" i="8"/>
  <c r="AE28" i="8" s="1"/>
  <c r="B62" i="8"/>
  <c r="AB27" i="8"/>
  <c r="AD27" i="8" s="1"/>
  <c r="L112" i="2"/>
  <c r="B119" i="2"/>
  <c r="B68" i="2"/>
  <c r="B67" i="2"/>
  <c r="B118" i="2"/>
  <c r="E69" i="13" l="1"/>
  <c r="L272" i="11"/>
  <c r="L274" i="11" s="1"/>
  <c r="W180" i="10"/>
  <c r="AE228" i="11"/>
  <c r="W231" i="11"/>
  <c r="AB230" i="11"/>
  <c r="L222" i="11"/>
  <c r="L224" i="11" s="1"/>
  <c r="L16" i="11" s="1"/>
  <c r="L72" i="11"/>
  <c r="L74" i="11" s="1"/>
  <c r="L13" i="11" s="1"/>
  <c r="L122" i="11"/>
  <c r="L124" i="11" s="1"/>
  <c r="L14" i="11" s="1"/>
  <c r="L172" i="11"/>
  <c r="L174" i="11" s="1"/>
  <c r="L15" i="11" s="1"/>
  <c r="AE79" i="11"/>
  <c r="AE29" i="11"/>
  <c r="AD78" i="11"/>
  <c r="AE78" i="11" s="1"/>
  <c r="AE80" i="11"/>
  <c r="AB81" i="11"/>
  <c r="W82" i="11"/>
  <c r="AD178" i="11"/>
  <c r="AE178" i="11" s="1"/>
  <c r="AB30" i="11"/>
  <c r="W31" i="11"/>
  <c r="W131" i="11"/>
  <c r="AB130" i="11"/>
  <c r="AE129" i="11"/>
  <c r="W180" i="11"/>
  <c r="AB179" i="11"/>
  <c r="W181" i="10"/>
  <c r="AB180" i="10"/>
  <c r="AB30" i="10"/>
  <c r="AD30" i="10" s="1"/>
  <c r="AB31" i="10"/>
  <c r="AD31" i="10" s="1"/>
  <c r="W81" i="10"/>
  <c r="W82" i="10" s="1"/>
  <c r="L120" i="10"/>
  <c r="L122" i="10" s="1"/>
  <c r="L13" i="10" s="1"/>
  <c r="L70" i="10"/>
  <c r="L72" i="10" s="1"/>
  <c r="L12" i="10" s="1"/>
  <c r="AB79" i="10"/>
  <c r="AD79" i="10" s="1"/>
  <c r="AB129" i="10"/>
  <c r="AD129" i="10" s="1"/>
  <c r="L170" i="10"/>
  <c r="L172" i="10" s="1"/>
  <c r="L14" i="10" s="1"/>
  <c r="AB130" i="10"/>
  <c r="AD80" i="10"/>
  <c r="AE80" i="10" s="1"/>
  <c r="W132" i="10"/>
  <c r="AB131" i="10"/>
  <c r="AB32" i="10"/>
  <c r="W33" i="10"/>
  <c r="L168" i="9"/>
  <c r="L170" i="9" s="1"/>
  <c r="L13" i="9" s="1"/>
  <c r="AE128" i="9"/>
  <c r="AE130" i="9"/>
  <c r="W132" i="9"/>
  <c r="AB131" i="9"/>
  <c r="AD129" i="9"/>
  <c r="AE129" i="9" s="1"/>
  <c r="AB79" i="9"/>
  <c r="AD79" i="9" s="1"/>
  <c r="AE79" i="9" s="1"/>
  <c r="L118" i="9"/>
  <c r="L120" i="9" s="1"/>
  <c r="L12" i="9" s="1"/>
  <c r="L68" i="9"/>
  <c r="L70" i="9" s="1"/>
  <c r="L11" i="9" s="1"/>
  <c r="AE29" i="9"/>
  <c r="AB31" i="9"/>
  <c r="W32" i="9"/>
  <c r="W81" i="9"/>
  <c r="AB80" i="9"/>
  <c r="L62" i="8"/>
  <c r="L64" i="8" s="1"/>
  <c r="L7" i="8" s="1"/>
  <c r="L8" i="8" s="1"/>
  <c r="AB29" i="8"/>
  <c r="AE27" i="8"/>
  <c r="G115" i="13" l="1"/>
  <c r="G122" i="13" s="1"/>
  <c r="G124" i="13" s="1"/>
  <c r="B2" i="14"/>
  <c r="D2" i="14"/>
  <c r="L16" i="10"/>
  <c r="L17" i="10" s="1"/>
  <c r="AD230" i="11"/>
  <c r="AE230" i="11"/>
  <c r="W232" i="11"/>
  <c r="AB231" i="11"/>
  <c r="AD231" i="11" s="1"/>
  <c r="AE231" i="11" s="1"/>
  <c r="L17" i="11"/>
  <c r="L18" i="11" s="1"/>
  <c r="L19" i="11" s="1"/>
  <c r="AB131" i="11"/>
  <c r="W132" i="11"/>
  <c r="W32" i="11"/>
  <c r="AB31" i="11"/>
  <c r="AD30" i="11"/>
  <c r="AE30" i="11" s="1"/>
  <c r="AB82" i="11"/>
  <c r="W83" i="11"/>
  <c r="AD179" i="11"/>
  <c r="AE179" i="11" s="1"/>
  <c r="AD81" i="11"/>
  <c r="AE81" i="11" s="1"/>
  <c r="W181" i="11"/>
  <c r="AB180" i="11"/>
  <c r="AD130" i="11"/>
  <c r="AE130" i="11" s="1"/>
  <c r="AD180" i="10"/>
  <c r="AE180" i="10" s="1"/>
  <c r="AB181" i="10"/>
  <c r="W182" i="10"/>
  <c r="AB81" i="10"/>
  <c r="AD81" i="10" s="1"/>
  <c r="AE81" i="10" s="1"/>
  <c r="AE30" i="10"/>
  <c r="AE31" i="10"/>
  <c r="AE129" i="10"/>
  <c r="AE79" i="10"/>
  <c r="AD130" i="10"/>
  <c r="AE130" i="10" s="1"/>
  <c r="W83" i="10"/>
  <c r="AB82" i="10"/>
  <c r="AD131" i="10"/>
  <c r="AE131" i="10" s="1"/>
  <c r="W133" i="10"/>
  <c r="AB132" i="10"/>
  <c r="W34" i="10"/>
  <c r="AB33" i="10"/>
  <c r="AD32" i="10"/>
  <c r="AE32" i="10" s="1"/>
  <c r="AD131" i="9"/>
  <c r="AE131" i="9"/>
  <c r="W133" i="9"/>
  <c r="AB132" i="9"/>
  <c r="L14" i="9"/>
  <c r="L15" i="9" s="1"/>
  <c r="AD80" i="9"/>
  <c r="AE80" i="9" s="1"/>
  <c r="AB81" i="9"/>
  <c r="W82" i="9"/>
  <c r="W33" i="9"/>
  <c r="AB32" i="9"/>
  <c r="AD31" i="9"/>
  <c r="AE31" i="9" s="1"/>
  <c r="AB30" i="8"/>
  <c r="AD29" i="8"/>
  <c r="AE29" i="8" s="1"/>
  <c r="D6" i="14" l="1"/>
  <c r="B6" i="14"/>
  <c r="D4" i="14"/>
  <c r="B4" i="14"/>
  <c r="D5" i="14"/>
  <c r="B5" i="14"/>
  <c r="AB232" i="11"/>
  <c r="W233" i="11"/>
  <c r="W84" i="11"/>
  <c r="AB83" i="11"/>
  <c r="AD31" i="11"/>
  <c r="AE31" i="11" s="1"/>
  <c r="W182" i="11"/>
  <c r="AB181" i="11"/>
  <c r="AD131" i="11"/>
  <c r="AE131" i="11" s="1"/>
  <c r="AD82" i="11"/>
  <c r="AE82" i="11" s="1"/>
  <c r="W33" i="11"/>
  <c r="AB32" i="11"/>
  <c r="AD180" i="11"/>
  <c r="AE180" i="11" s="1"/>
  <c r="AB132" i="11"/>
  <c r="W133" i="11"/>
  <c r="AD181" i="10"/>
  <c r="AE181" i="10"/>
  <c r="AB182" i="10"/>
  <c r="W183" i="10"/>
  <c r="W84" i="10"/>
  <c r="AB83" i="10"/>
  <c r="AD33" i="10"/>
  <c r="AE33" i="10" s="1"/>
  <c r="AB34" i="10"/>
  <c r="W35" i="10"/>
  <c r="AD132" i="10"/>
  <c r="AE132" i="10" s="1"/>
  <c r="AB133" i="10"/>
  <c r="W134" i="10"/>
  <c r="AD82" i="10"/>
  <c r="AE82" i="10" s="1"/>
  <c r="AD132" i="9"/>
  <c r="AE132" i="9" s="1"/>
  <c r="AB133" i="9"/>
  <c r="W134" i="9"/>
  <c r="AD32" i="9"/>
  <c r="AE32" i="9" s="1"/>
  <c r="AB33" i="9"/>
  <c r="W34" i="9"/>
  <c r="W83" i="9"/>
  <c r="AB82" i="9"/>
  <c r="AD81" i="9"/>
  <c r="AE81" i="9" s="1"/>
  <c r="AD30" i="8"/>
  <c r="AE30" i="8" s="1"/>
  <c r="AB31" i="8"/>
  <c r="W234" i="11" l="1"/>
  <c r="AB233" i="11"/>
  <c r="AD232" i="11"/>
  <c r="AE232" i="11" s="1"/>
  <c r="AD181" i="11"/>
  <c r="AE181" i="11" s="1"/>
  <c r="W134" i="11"/>
  <c r="AB133" i="11"/>
  <c r="W183" i="11"/>
  <c r="AB182" i="11"/>
  <c r="AD132" i="11"/>
  <c r="AE132" i="11" s="1"/>
  <c r="AD32" i="11"/>
  <c r="AE32" i="11" s="1"/>
  <c r="AD83" i="11"/>
  <c r="AE83" i="11" s="1"/>
  <c r="AB33" i="11"/>
  <c r="W34" i="11"/>
  <c r="AB84" i="11"/>
  <c r="W85" i="11"/>
  <c r="W184" i="10"/>
  <c r="AB183" i="10"/>
  <c r="AD182" i="10"/>
  <c r="AE182" i="10" s="1"/>
  <c r="W36" i="10"/>
  <c r="AB35" i="10"/>
  <c r="AB84" i="10"/>
  <c r="W85" i="10"/>
  <c r="W135" i="10"/>
  <c r="AB134" i="10"/>
  <c r="AD133" i="10"/>
  <c r="AE133" i="10" s="1"/>
  <c r="AD34" i="10"/>
  <c r="AE34" i="10" s="1"/>
  <c r="AD83" i="10"/>
  <c r="AE83" i="10" s="1"/>
  <c r="W135" i="9"/>
  <c r="AB134" i="9"/>
  <c r="AD133" i="9"/>
  <c r="AE133" i="9"/>
  <c r="AD82" i="9"/>
  <c r="AE82" i="9" s="1"/>
  <c r="W84" i="9"/>
  <c r="AB83" i="9"/>
  <c r="AB34" i="9"/>
  <c r="W35" i="9"/>
  <c r="AD33" i="9"/>
  <c r="AE33" i="9" s="1"/>
  <c r="AD31" i="8"/>
  <c r="AE31" i="8" s="1"/>
  <c r="AB32" i="8"/>
  <c r="AD233" i="11" l="1"/>
  <c r="AE233" i="11" s="1"/>
  <c r="AB234" i="11"/>
  <c r="AD234" i="11" s="1"/>
  <c r="AE234" i="11" s="1"/>
  <c r="W235" i="11"/>
  <c r="W184" i="11"/>
  <c r="AB183" i="11"/>
  <c r="W86" i="11"/>
  <c r="AB85" i="11"/>
  <c r="AD84" i="11"/>
  <c r="AE84" i="11" s="1"/>
  <c r="AB134" i="11"/>
  <c r="W135" i="11"/>
  <c r="AD182" i="11"/>
  <c r="AE182" i="11" s="1"/>
  <c r="AD133" i="11"/>
  <c r="AE133" i="11" s="1"/>
  <c r="W35" i="11"/>
  <c r="AB34" i="11"/>
  <c r="AD33" i="11"/>
  <c r="AE33" i="11" s="1"/>
  <c r="AD183" i="10"/>
  <c r="AE183" i="10" s="1"/>
  <c r="AB184" i="10"/>
  <c r="W185" i="10"/>
  <c r="AD134" i="10"/>
  <c r="AE134" i="10" s="1"/>
  <c r="W136" i="10"/>
  <c r="AB135" i="10"/>
  <c r="AB85" i="10"/>
  <c r="W86" i="10"/>
  <c r="AD84" i="10"/>
  <c r="AE84" i="10" s="1"/>
  <c r="AD35" i="10"/>
  <c r="AE35" i="10" s="1"/>
  <c r="AB36" i="10"/>
  <c r="W37" i="10"/>
  <c r="AD134" i="9"/>
  <c r="AE134" i="9" s="1"/>
  <c r="AB135" i="9"/>
  <c r="W136" i="9"/>
  <c r="AB35" i="9"/>
  <c r="W36" i="9"/>
  <c r="AD34" i="9"/>
  <c r="AE34" i="9" s="1"/>
  <c r="AD83" i="9"/>
  <c r="AE83" i="9" s="1"/>
  <c r="W85" i="9"/>
  <c r="AB84" i="9"/>
  <c r="AB33" i="8"/>
  <c r="AD32" i="8"/>
  <c r="AE32" i="8" s="1"/>
  <c r="W236" i="11" l="1"/>
  <c r="AB235" i="11"/>
  <c r="AD235" i="11" s="1"/>
  <c r="AE235" i="11" s="1"/>
  <c r="W136" i="11"/>
  <c r="AB135" i="11"/>
  <c r="AD134" i="11"/>
  <c r="AE134" i="11" s="1"/>
  <c r="AD85" i="11"/>
  <c r="AE85" i="11" s="1"/>
  <c r="AB86" i="11"/>
  <c r="W87" i="11"/>
  <c r="AD34" i="11"/>
  <c r="AE34" i="11" s="1"/>
  <c r="AD183" i="11"/>
  <c r="AE183" i="11" s="1"/>
  <c r="AB35" i="11"/>
  <c r="W36" i="11"/>
  <c r="W185" i="11"/>
  <c r="AB184" i="11"/>
  <c r="AB185" i="10"/>
  <c r="W186" i="10"/>
  <c r="AD184" i="10"/>
  <c r="AE184" i="10" s="1"/>
  <c r="W137" i="10"/>
  <c r="AB136" i="10"/>
  <c r="W38" i="10"/>
  <c r="AB37" i="10"/>
  <c r="AD36" i="10"/>
  <c r="AE36" i="10" s="1"/>
  <c r="W87" i="10"/>
  <c r="AB86" i="10"/>
  <c r="AD85" i="10"/>
  <c r="AE85" i="10" s="1"/>
  <c r="AD135" i="10"/>
  <c r="AE135" i="10" s="1"/>
  <c r="AB136" i="9"/>
  <c r="W137" i="9"/>
  <c r="AD135" i="9"/>
  <c r="AE135" i="9"/>
  <c r="AD84" i="9"/>
  <c r="AE84" i="9" s="1"/>
  <c r="W86" i="9"/>
  <c r="AB85" i="9"/>
  <c r="W37" i="9"/>
  <c r="AB36" i="9"/>
  <c r="AD35" i="9"/>
  <c r="AE35" i="9" s="1"/>
  <c r="AB34" i="8"/>
  <c r="AD33" i="8"/>
  <c r="AE33" i="8" s="1"/>
  <c r="W237" i="11" l="1"/>
  <c r="AB236" i="11"/>
  <c r="AD236" i="11" s="1"/>
  <c r="AE236" i="11" s="1"/>
  <c r="AB87" i="11"/>
  <c r="W88" i="11"/>
  <c r="AD184" i="11"/>
  <c r="AE184" i="11" s="1"/>
  <c r="AD86" i="11"/>
  <c r="AE86" i="11" s="1"/>
  <c r="AB185" i="11"/>
  <c r="W186" i="11"/>
  <c r="W37" i="11"/>
  <c r="AB36" i="11"/>
  <c r="AD135" i="11"/>
  <c r="AE135" i="11" s="1"/>
  <c r="AD35" i="11"/>
  <c r="AE35" i="11" s="1"/>
  <c r="AB136" i="11"/>
  <c r="W137" i="11"/>
  <c r="W187" i="10"/>
  <c r="AB186" i="10"/>
  <c r="AD185" i="10"/>
  <c r="AE185" i="10" s="1"/>
  <c r="AD37" i="10"/>
  <c r="AE37" i="10" s="1"/>
  <c r="W39" i="10"/>
  <c r="AB38" i="10"/>
  <c r="W138" i="10"/>
  <c r="AB137" i="10"/>
  <c r="AD136" i="10"/>
  <c r="AE136" i="10" s="1"/>
  <c r="AD86" i="10"/>
  <c r="AE86" i="10" s="1"/>
  <c r="W88" i="10"/>
  <c r="AB87" i="10"/>
  <c r="AD136" i="9"/>
  <c r="AE136" i="9" s="1"/>
  <c r="AB137" i="9"/>
  <c r="W138" i="9"/>
  <c r="AD36" i="9"/>
  <c r="AE36" i="9" s="1"/>
  <c r="W38" i="9"/>
  <c r="AB37" i="9"/>
  <c r="AD85" i="9"/>
  <c r="AE85" i="9" s="1"/>
  <c r="AB86" i="9"/>
  <c r="W87" i="9"/>
  <c r="AD34" i="8"/>
  <c r="AE34" i="8" s="1"/>
  <c r="AB35" i="8"/>
  <c r="AB237" i="11" l="1"/>
  <c r="AD237" i="11" s="1"/>
  <c r="AE237" i="11" s="1"/>
  <c r="W238" i="11"/>
  <c r="AB88" i="11"/>
  <c r="W89" i="11"/>
  <c r="AD36" i="11"/>
  <c r="AE36" i="11" s="1"/>
  <c r="AB186" i="11"/>
  <c r="W187" i="11"/>
  <c r="AB137" i="11"/>
  <c r="W138" i="11"/>
  <c r="AD87" i="11"/>
  <c r="AE87" i="11" s="1"/>
  <c r="W38" i="11"/>
  <c r="AB37" i="11"/>
  <c r="AD185" i="11"/>
  <c r="AE185" i="11" s="1"/>
  <c r="AD136" i="11"/>
  <c r="AE136" i="11" s="1"/>
  <c r="AD186" i="10"/>
  <c r="AE186" i="10" s="1"/>
  <c r="AB187" i="10"/>
  <c r="W188" i="10"/>
  <c r="AB88" i="10"/>
  <c r="W89" i="10"/>
  <c r="AD137" i="10"/>
  <c r="AE137" i="10" s="1"/>
  <c r="AB138" i="10"/>
  <c r="W139" i="10"/>
  <c r="AD87" i="10"/>
  <c r="AE87" i="10" s="1"/>
  <c r="AD38" i="10"/>
  <c r="AE38" i="10" s="1"/>
  <c r="W40" i="10"/>
  <c r="AB39" i="10"/>
  <c r="W139" i="9"/>
  <c r="AB138" i="9"/>
  <c r="AD137" i="9"/>
  <c r="AE137" i="9" s="1"/>
  <c r="AB87" i="9"/>
  <c r="W88" i="9"/>
  <c r="AD37" i="9"/>
  <c r="AE37" i="9" s="1"/>
  <c r="AD86" i="9"/>
  <c r="AE86" i="9" s="1"/>
  <c r="W39" i="9"/>
  <c r="AB38" i="9"/>
  <c r="AD35" i="8"/>
  <c r="AE35" i="8" s="1"/>
  <c r="AB36" i="8"/>
  <c r="W239" i="11" l="1"/>
  <c r="AB238" i="11"/>
  <c r="AD238" i="11" s="1"/>
  <c r="AE238" i="11" s="1"/>
  <c r="AD37" i="11"/>
  <c r="AE37" i="11" s="1"/>
  <c r="W39" i="11"/>
  <c r="AB38" i="11"/>
  <c r="AD88" i="11"/>
  <c r="AE88" i="11" s="1"/>
  <c r="AD137" i="11"/>
  <c r="AE137" i="11" s="1"/>
  <c r="W188" i="11"/>
  <c r="AB187" i="11"/>
  <c r="AD186" i="11"/>
  <c r="AE186" i="11" s="1"/>
  <c r="AB89" i="11"/>
  <c r="W90" i="11"/>
  <c r="W139" i="11"/>
  <c r="AB138" i="11"/>
  <c r="AB188" i="10"/>
  <c r="W189" i="10"/>
  <c r="AD187" i="10"/>
  <c r="AE187" i="10" s="1"/>
  <c r="AD39" i="10"/>
  <c r="AE39" i="10" s="1"/>
  <c r="AB40" i="10"/>
  <c r="W41" i="10"/>
  <c r="W140" i="10"/>
  <c r="AB139" i="10"/>
  <c r="AD138" i="10"/>
  <c r="AE138" i="10" s="1"/>
  <c r="W90" i="10"/>
  <c r="AB89" i="10"/>
  <c r="AD88" i="10"/>
  <c r="AE88" i="10" s="1"/>
  <c r="AD138" i="9"/>
  <c r="AE138" i="9" s="1"/>
  <c r="W140" i="9"/>
  <c r="AB139" i="9"/>
  <c r="AD38" i="9"/>
  <c r="AE38" i="9" s="1"/>
  <c r="AB39" i="9"/>
  <c r="W40" i="9"/>
  <c r="AB88" i="9"/>
  <c r="W89" i="9"/>
  <c r="AD87" i="9"/>
  <c r="AE87" i="9" s="1"/>
  <c r="AD36" i="8"/>
  <c r="AE36" i="8" s="1"/>
  <c r="AB37" i="8"/>
  <c r="W240" i="11" l="1"/>
  <c r="AB239" i="11"/>
  <c r="AD239" i="11" s="1"/>
  <c r="AE239" i="11" s="1"/>
  <c r="AD89" i="11"/>
  <c r="AE89" i="11" s="1"/>
  <c r="W189" i="11"/>
  <c r="AB188" i="11"/>
  <c r="AD138" i="11"/>
  <c r="AE138" i="11" s="1"/>
  <c r="AD187" i="11"/>
  <c r="AE187" i="11" s="1"/>
  <c r="AD38" i="11"/>
  <c r="AE38" i="11" s="1"/>
  <c r="AB139" i="11"/>
  <c r="W140" i="11"/>
  <c r="AB39" i="11"/>
  <c r="W40" i="11"/>
  <c r="W91" i="11"/>
  <c r="AB90" i="11"/>
  <c r="AD188" i="10"/>
  <c r="AE188" i="10"/>
  <c r="AB189" i="10"/>
  <c r="W190" i="10"/>
  <c r="AD89" i="10"/>
  <c r="AE89" i="10" s="1"/>
  <c r="AD139" i="10"/>
  <c r="AE139" i="10" s="1"/>
  <c r="AB140" i="10"/>
  <c r="W141" i="10"/>
  <c r="AB90" i="10"/>
  <c r="W91" i="10"/>
  <c r="AD40" i="10"/>
  <c r="AE40" i="10" s="1"/>
  <c r="AB41" i="10"/>
  <c r="W42" i="10"/>
  <c r="AB140" i="9"/>
  <c r="W141" i="9"/>
  <c r="AD139" i="9"/>
  <c r="AE139" i="9" s="1"/>
  <c r="AD39" i="9"/>
  <c r="AE39" i="9" s="1"/>
  <c r="AB89" i="9"/>
  <c r="W90" i="9"/>
  <c r="AD88" i="9"/>
  <c r="AE88" i="9" s="1"/>
  <c r="AB40" i="9"/>
  <c r="W41" i="9"/>
  <c r="AB38" i="8"/>
  <c r="AD37" i="8"/>
  <c r="AE37" i="8" s="1"/>
  <c r="W241" i="11" l="1"/>
  <c r="AB240" i="11"/>
  <c r="AD139" i="11"/>
  <c r="AE139" i="11" s="1"/>
  <c r="AD39" i="11"/>
  <c r="AE39" i="11" s="1"/>
  <c r="W141" i="11"/>
  <c r="AB140" i="11"/>
  <c r="AD90" i="11"/>
  <c r="AE90" i="11" s="1"/>
  <c r="AD188" i="11"/>
  <c r="AE188" i="11" s="1"/>
  <c r="W92" i="11"/>
  <c r="AB91" i="11"/>
  <c r="W190" i="11"/>
  <c r="AB189" i="11"/>
  <c r="AB40" i="11"/>
  <c r="W41" i="11"/>
  <c r="W191" i="10"/>
  <c r="AB190" i="10"/>
  <c r="AD189" i="10"/>
  <c r="AE189" i="10" s="1"/>
  <c r="AB42" i="10"/>
  <c r="W43" i="10"/>
  <c r="AD41" i="10"/>
  <c r="AE41" i="10" s="1"/>
  <c r="W92" i="10"/>
  <c r="AB91" i="10"/>
  <c r="AD90" i="10"/>
  <c r="AE90" i="10" s="1"/>
  <c r="W142" i="10"/>
  <c r="AB141" i="10"/>
  <c r="AD140" i="10"/>
  <c r="AE140" i="10" s="1"/>
  <c r="AB141" i="9"/>
  <c r="W142" i="9"/>
  <c r="AD140" i="9"/>
  <c r="AE140" i="9" s="1"/>
  <c r="AB41" i="9"/>
  <c r="W42" i="9"/>
  <c r="AD40" i="9"/>
  <c r="AE40" i="9" s="1"/>
  <c r="W91" i="9"/>
  <c r="AB90" i="9"/>
  <c r="AD89" i="9"/>
  <c r="AE89" i="9" s="1"/>
  <c r="AB39" i="8"/>
  <c r="AD38" i="8"/>
  <c r="AE38" i="8" s="1"/>
  <c r="AD240" i="11" l="1"/>
  <c r="AE240" i="11"/>
  <c r="AB241" i="11"/>
  <c r="W242" i="11"/>
  <c r="W191" i="11"/>
  <c r="AB190" i="11"/>
  <c r="AD91" i="11"/>
  <c r="AE91" i="11" s="1"/>
  <c r="AB92" i="11"/>
  <c r="W93" i="11"/>
  <c r="AD140" i="11"/>
  <c r="AE140" i="11" s="1"/>
  <c r="W142" i="11"/>
  <c r="AB141" i="11"/>
  <c r="W42" i="11"/>
  <c r="AB41" i="11"/>
  <c r="AD40" i="11"/>
  <c r="AE40" i="11" s="1"/>
  <c r="AD189" i="11"/>
  <c r="AE189" i="11" s="1"/>
  <c r="AD190" i="10"/>
  <c r="AE190" i="10" s="1"/>
  <c r="W192" i="10"/>
  <c r="AB191" i="10"/>
  <c r="AD141" i="10"/>
  <c r="AE141" i="10" s="1"/>
  <c r="W143" i="10"/>
  <c r="AB142" i="10"/>
  <c r="AD91" i="10"/>
  <c r="AE91" i="10" s="1"/>
  <c r="W93" i="10"/>
  <c r="AB92" i="10"/>
  <c r="AB43" i="10"/>
  <c r="W44" i="10"/>
  <c r="AD42" i="10"/>
  <c r="AE42" i="10" s="1"/>
  <c r="W143" i="9"/>
  <c r="AB142" i="9"/>
  <c r="AD141" i="9"/>
  <c r="AE141" i="9" s="1"/>
  <c r="W43" i="9"/>
  <c r="AB42" i="9"/>
  <c r="AD90" i="9"/>
  <c r="AE90" i="9" s="1"/>
  <c r="W92" i="9"/>
  <c r="AB91" i="9"/>
  <c r="AD41" i="9"/>
  <c r="AE41" i="9" s="1"/>
  <c r="AB40" i="8"/>
  <c r="AD39" i="8"/>
  <c r="AE39" i="8" s="1"/>
  <c r="W243" i="11" l="1"/>
  <c r="AB242" i="11"/>
  <c r="AD242" i="11" s="1"/>
  <c r="AE242" i="11" s="1"/>
  <c r="AD241" i="11"/>
  <c r="AE241" i="11"/>
  <c r="W43" i="11"/>
  <c r="AB42" i="11"/>
  <c r="AB191" i="11"/>
  <c r="W192" i="11"/>
  <c r="AD141" i="11"/>
  <c r="AE141" i="11" s="1"/>
  <c r="AB93" i="11"/>
  <c r="W94" i="11"/>
  <c r="AD41" i="11"/>
  <c r="AE41" i="11" s="1"/>
  <c r="AB142" i="11"/>
  <c r="W143" i="11"/>
  <c r="AD92" i="11"/>
  <c r="AE92" i="11" s="1"/>
  <c r="AD190" i="11"/>
  <c r="AE190" i="11" s="1"/>
  <c r="AD191" i="10"/>
  <c r="AE191" i="10" s="1"/>
  <c r="W193" i="10"/>
  <c r="AB192" i="10"/>
  <c r="W45" i="10"/>
  <c r="AB44" i="10"/>
  <c r="AD92" i="10"/>
  <c r="AE92" i="10" s="1"/>
  <c r="AB93" i="10"/>
  <c r="W94" i="10"/>
  <c r="AD142" i="10"/>
  <c r="AE142" i="10" s="1"/>
  <c r="W144" i="10"/>
  <c r="AB143" i="10"/>
  <c r="AD43" i="10"/>
  <c r="AE43" i="10" s="1"/>
  <c r="AD142" i="9"/>
  <c r="AE142" i="9"/>
  <c r="AB143" i="9"/>
  <c r="W144" i="9"/>
  <c r="AD91" i="9"/>
  <c r="AE91" i="9" s="1"/>
  <c r="AB92" i="9"/>
  <c r="W93" i="9"/>
  <c r="AD42" i="9"/>
  <c r="AE42" i="9" s="1"/>
  <c r="W44" i="9"/>
  <c r="AB43" i="9"/>
  <c r="AB41" i="8"/>
  <c r="AD40" i="8"/>
  <c r="AE40" i="8" s="1"/>
  <c r="W244" i="11" l="1"/>
  <c r="AB243" i="11"/>
  <c r="AB143" i="11"/>
  <c r="W144" i="11"/>
  <c r="AD93" i="11"/>
  <c r="AE93" i="11"/>
  <c r="AD142" i="11"/>
  <c r="AE142" i="11" s="1"/>
  <c r="W95" i="11"/>
  <c r="AB94" i="11"/>
  <c r="AB192" i="11"/>
  <c r="W193" i="11"/>
  <c r="AD191" i="11"/>
  <c r="AE191" i="11" s="1"/>
  <c r="AD42" i="11"/>
  <c r="AE42" i="11" s="1"/>
  <c r="W44" i="11"/>
  <c r="AB43" i="11"/>
  <c r="AB193" i="10"/>
  <c r="W194" i="10"/>
  <c r="AD192" i="10"/>
  <c r="AE192" i="10" s="1"/>
  <c r="AD44" i="10"/>
  <c r="AE44" i="10" s="1"/>
  <c r="W46" i="10"/>
  <c r="AB45" i="10"/>
  <c r="AD143" i="10"/>
  <c r="AE143" i="10" s="1"/>
  <c r="AB144" i="10"/>
  <c r="W145" i="10"/>
  <c r="AB94" i="10"/>
  <c r="W95" i="10"/>
  <c r="AD93" i="10"/>
  <c r="AE93" i="10" s="1"/>
  <c r="AD143" i="9"/>
  <c r="AE143" i="9"/>
  <c r="W145" i="9"/>
  <c r="AB144" i="9"/>
  <c r="AD92" i="9"/>
  <c r="AE92" i="9" s="1"/>
  <c r="AD43" i="9"/>
  <c r="AE43" i="9" s="1"/>
  <c r="W45" i="9"/>
  <c r="AB44" i="9"/>
  <c r="AB93" i="9"/>
  <c r="W94" i="9"/>
  <c r="AD41" i="8"/>
  <c r="AE41" i="8" s="1"/>
  <c r="AB42" i="8"/>
  <c r="AD243" i="11" l="1"/>
  <c r="AE243" i="11"/>
  <c r="W245" i="11"/>
  <c r="AB244" i="11"/>
  <c r="AD192" i="11"/>
  <c r="AE192" i="11" s="1"/>
  <c r="W194" i="11"/>
  <c r="AB193" i="11"/>
  <c r="AD94" i="11"/>
  <c r="AE94" i="11" s="1"/>
  <c r="W96" i="11"/>
  <c r="AB95" i="11"/>
  <c r="AD43" i="11"/>
  <c r="AE43" i="11" s="1"/>
  <c r="W45" i="11"/>
  <c r="AB44" i="11"/>
  <c r="AB144" i="11"/>
  <c r="W145" i="11"/>
  <c r="AD143" i="11"/>
  <c r="AE143" i="11" s="1"/>
  <c r="AB194" i="10"/>
  <c r="W195" i="10"/>
  <c r="AD193" i="10"/>
  <c r="AE193" i="10" s="1"/>
  <c r="AD144" i="10"/>
  <c r="AE144" i="10" s="1"/>
  <c r="AD45" i="10"/>
  <c r="AE45" i="10" s="1"/>
  <c r="AB95" i="10"/>
  <c r="W96" i="10"/>
  <c r="AB145" i="10"/>
  <c r="W146" i="10"/>
  <c r="AD94" i="10"/>
  <c r="AE94" i="10" s="1"/>
  <c r="AB46" i="10"/>
  <c r="W47" i="10"/>
  <c r="W146" i="9"/>
  <c r="AB145" i="9"/>
  <c r="AD144" i="9"/>
  <c r="AE144" i="9" s="1"/>
  <c r="W95" i="9"/>
  <c r="AB94" i="9"/>
  <c r="AD93" i="9"/>
  <c r="AE93" i="9" s="1"/>
  <c r="AD44" i="9"/>
  <c r="AE44" i="9" s="1"/>
  <c r="AB45" i="9"/>
  <c r="W46" i="9"/>
  <c r="AD42" i="8"/>
  <c r="AE42" i="8" s="1"/>
  <c r="AB43" i="8"/>
  <c r="AD244" i="11" l="1"/>
  <c r="AE244" i="11" s="1"/>
  <c r="W246" i="11"/>
  <c r="AB245" i="11"/>
  <c r="AD245" i="11" s="1"/>
  <c r="AE245" i="11" s="1"/>
  <c r="AB45" i="11"/>
  <c r="W46" i="11"/>
  <c r="AD95" i="11"/>
  <c r="AE95" i="11"/>
  <c r="AD44" i="11"/>
  <c r="AE44" i="11" s="1"/>
  <c r="W97" i="11"/>
  <c r="AB96" i="11"/>
  <c r="AD193" i="11"/>
  <c r="AE193" i="11" s="1"/>
  <c r="AB194" i="11"/>
  <c r="W195" i="11"/>
  <c r="AB145" i="11"/>
  <c r="W146" i="11"/>
  <c r="AD144" i="11"/>
  <c r="AE144" i="11" s="1"/>
  <c r="W196" i="10"/>
  <c r="AB195" i="10"/>
  <c r="AD194" i="10"/>
  <c r="AE194" i="10" s="1"/>
  <c r="AD145" i="10"/>
  <c r="AE145" i="10" s="1"/>
  <c r="AB96" i="10"/>
  <c r="W97" i="10"/>
  <c r="AD95" i="10"/>
  <c r="AE95" i="10" s="1"/>
  <c r="AD46" i="10"/>
  <c r="AE46" i="10" s="1"/>
  <c r="W48" i="10"/>
  <c r="AB47" i="10"/>
  <c r="AB146" i="10"/>
  <c r="W147" i="10"/>
  <c r="AD145" i="9"/>
  <c r="AE145" i="9" s="1"/>
  <c r="AB146" i="9"/>
  <c r="W147" i="9"/>
  <c r="AB46" i="9"/>
  <c r="W47" i="9"/>
  <c r="AD45" i="9"/>
  <c r="AE45" i="9" s="1"/>
  <c r="AD94" i="9"/>
  <c r="AE94" i="9" s="1"/>
  <c r="AB95" i="9"/>
  <c r="W96" i="9"/>
  <c r="AB44" i="8"/>
  <c r="AD43" i="8"/>
  <c r="AE43" i="8" s="1"/>
  <c r="AB246" i="11" l="1"/>
  <c r="AD246" i="11" s="1"/>
  <c r="AE246" i="11" s="1"/>
  <c r="W247" i="11"/>
  <c r="AD194" i="11"/>
  <c r="AE194" i="11" s="1"/>
  <c r="W196" i="11"/>
  <c r="AB195" i="11"/>
  <c r="AD96" i="11"/>
  <c r="AE96" i="11" s="1"/>
  <c r="W98" i="11"/>
  <c r="AB97" i="11"/>
  <c r="W147" i="11"/>
  <c r="AB146" i="11"/>
  <c r="AB46" i="11"/>
  <c r="W47" i="11"/>
  <c r="AD145" i="11"/>
  <c r="AE145" i="11" s="1"/>
  <c r="AD45" i="11"/>
  <c r="AE45" i="11" s="1"/>
  <c r="AD195" i="10"/>
  <c r="AE195" i="10"/>
  <c r="W197" i="10"/>
  <c r="AB196" i="10"/>
  <c r="AD96" i="10"/>
  <c r="AE96" i="10" s="1"/>
  <c r="W148" i="10"/>
  <c r="AB147" i="10"/>
  <c r="AD146" i="10"/>
  <c r="AE146" i="10" s="1"/>
  <c r="AD47" i="10"/>
  <c r="AE47" i="10" s="1"/>
  <c r="AB48" i="10"/>
  <c r="W49" i="10"/>
  <c r="W98" i="10"/>
  <c r="AB97" i="10"/>
  <c r="AD146" i="9"/>
  <c r="AE146" i="9" s="1"/>
  <c r="AB147" i="9"/>
  <c r="W148" i="9"/>
  <c r="W97" i="9"/>
  <c r="AB96" i="9"/>
  <c r="AD95" i="9"/>
  <c r="AE95" i="9" s="1"/>
  <c r="AB47" i="9"/>
  <c r="W48" i="9"/>
  <c r="AD46" i="9"/>
  <c r="AE46" i="9" s="1"/>
  <c r="AB45" i="8"/>
  <c r="AD44" i="8"/>
  <c r="AE44" i="8" s="1"/>
  <c r="AB247" i="11" l="1"/>
  <c r="W248" i="11"/>
  <c r="AD146" i="11"/>
  <c r="AE146" i="11" s="1"/>
  <c r="W148" i="11"/>
  <c r="AB147" i="11"/>
  <c r="AD97" i="11"/>
  <c r="AE97" i="11" s="1"/>
  <c r="AB98" i="11"/>
  <c r="W99" i="11"/>
  <c r="AD195" i="11"/>
  <c r="AE195" i="11" s="1"/>
  <c r="W197" i="11"/>
  <c r="AB196" i="11"/>
  <c r="W48" i="11"/>
  <c r="AB47" i="11"/>
  <c r="AD46" i="11"/>
  <c r="AE46" i="11" s="1"/>
  <c r="AD196" i="10"/>
  <c r="AE196" i="10"/>
  <c r="W198" i="10"/>
  <c r="AB197" i="10"/>
  <c r="W149" i="10"/>
  <c r="AB148" i="10"/>
  <c r="W50" i="10"/>
  <c r="AB49" i="10"/>
  <c r="AD48" i="10"/>
  <c r="AE48" i="10" s="1"/>
  <c r="AD147" i="10"/>
  <c r="AE147" i="10" s="1"/>
  <c r="AD97" i="10"/>
  <c r="AE97" i="10" s="1"/>
  <c r="W99" i="10"/>
  <c r="AB98" i="10"/>
  <c r="AB148" i="9"/>
  <c r="W149" i="9"/>
  <c r="AD147" i="9"/>
  <c r="AE147" i="9" s="1"/>
  <c r="W49" i="9"/>
  <c r="AB48" i="9"/>
  <c r="AD47" i="9"/>
  <c r="AE47" i="9" s="1"/>
  <c r="AD96" i="9"/>
  <c r="AE96" i="9" s="1"/>
  <c r="W98" i="9"/>
  <c r="AB97" i="9"/>
  <c r="AB46" i="8"/>
  <c r="AD45" i="8"/>
  <c r="AE45" i="8" s="1"/>
  <c r="AB248" i="11" l="1"/>
  <c r="W249" i="11"/>
  <c r="AD247" i="11"/>
  <c r="AE247" i="11" s="1"/>
  <c r="AD196" i="11"/>
  <c r="AE196" i="11" s="1"/>
  <c r="AB197" i="11"/>
  <c r="W198" i="11"/>
  <c r="AB99" i="11"/>
  <c r="W100" i="11"/>
  <c r="AD98" i="11"/>
  <c r="AE98" i="11" s="1"/>
  <c r="AD147" i="11"/>
  <c r="AE147" i="11" s="1"/>
  <c r="AB148" i="11"/>
  <c r="W149" i="11"/>
  <c r="AD47" i="11"/>
  <c r="AE47" i="11" s="1"/>
  <c r="AB48" i="11"/>
  <c r="W49" i="11"/>
  <c r="AD197" i="10"/>
  <c r="AE197" i="10" s="1"/>
  <c r="W199" i="10"/>
  <c r="AB198" i="10"/>
  <c r="AD49" i="10"/>
  <c r="AE49" i="10" s="1"/>
  <c r="AD148" i="10"/>
  <c r="AE148" i="10" s="1"/>
  <c r="W100" i="10"/>
  <c r="AB99" i="10"/>
  <c r="W51" i="10"/>
  <c r="AB50" i="10"/>
  <c r="AD98" i="10"/>
  <c r="AE98" i="10" s="1"/>
  <c r="W150" i="10"/>
  <c r="AB149" i="10"/>
  <c r="AB149" i="9"/>
  <c r="W150" i="9"/>
  <c r="AD148" i="9"/>
  <c r="AE148" i="9" s="1"/>
  <c r="AD97" i="9"/>
  <c r="AE97" i="9" s="1"/>
  <c r="AB98" i="9"/>
  <c r="W99" i="9"/>
  <c r="AD48" i="9"/>
  <c r="AE48" i="9" s="1"/>
  <c r="W50" i="9"/>
  <c r="AB49" i="9"/>
  <c r="AB48" i="8"/>
  <c r="AD46" i="8"/>
  <c r="AE46" i="8" s="1"/>
  <c r="AB249" i="11" l="1"/>
  <c r="W250" i="11"/>
  <c r="AD248" i="11"/>
  <c r="AE248" i="11" s="1"/>
  <c r="W101" i="11"/>
  <c r="AB100" i="11"/>
  <c r="W50" i="11"/>
  <c r="AB49" i="11"/>
  <c r="AB198" i="11"/>
  <c r="W199" i="11"/>
  <c r="AD48" i="11"/>
  <c r="AE48" i="11" s="1"/>
  <c r="AB149" i="11"/>
  <c r="W150" i="11"/>
  <c r="AD148" i="11"/>
  <c r="AE148" i="11" s="1"/>
  <c r="AD99" i="11"/>
  <c r="AE99" i="11" s="1"/>
  <c r="AD197" i="11"/>
  <c r="AE197" i="11" s="1"/>
  <c r="AD198" i="10"/>
  <c r="AE198" i="10"/>
  <c r="AB199" i="10"/>
  <c r="W200" i="10"/>
  <c r="AD149" i="10"/>
  <c r="AE149" i="10" s="1"/>
  <c r="AB150" i="10"/>
  <c r="W151" i="10"/>
  <c r="AD50" i="10"/>
  <c r="AE50" i="10" s="1"/>
  <c r="AB51" i="10"/>
  <c r="W52" i="10"/>
  <c r="AD99" i="10"/>
  <c r="AE99" i="10" s="1"/>
  <c r="AB100" i="10"/>
  <c r="W101" i="10"/>
  <c r="AD149" i="9"/>
  <c r="AE149" i="9"/>
  <c r="W151" i="9"/>
  <c r="AB150" i="9"/>
  <c r="AD49" i="9"/>
  <c r="AE49" i="9" s="1"/>
  <c r="W51" i="9"/>
  <c r="AB50" i="9"/>
  <c r="AB99" i="9"/>
  <c r="W100" i="9"/>
  <c r="AD98" i="9"/>
  <c r="AE98" i="9" s="1"/>
  <c r="AD48" i="8"/>
  <c r="AE48" i="8" s="1"/>
  <c r="AB49" i="8"/>
  <c r="W251" i="11" l="1"/>
  <c r="AB250" i="11"/>
  <c r="AD249" i="11"/>
  <c r="AE249" i="11" s="1"/>
  <c r="AB150" i="11"/>
  <c r="W151" i="11"/>
  <c r="AD198" i="11"/>
  <c r="AE198" i="11" s="1"/>
  <c r="W51" i="11"/>
  <c r="AB50" i="11"/>
  <c r="W102" i="11"/>
  <c r="AB101" i="11"/>
  <c r="AD149" i="11"/>
  <c r="AE149" i="11" s="1"/>
  <c r="W200" i="11"/>
  <c r="AB199" i="11"/>
  <c r="AD49" i="11"/>
  <c r="AE49" i="11" s="1"/>
  <c r="AD100" i="11"/>
  <c r="AE100" i="11" s="1"/>
  <c r="AB200" i="10"/>
  <c r="W201" i="10"/>
  <c r="AD199" i="10"/>
  <c r="AE199" i="10" s="1"/>
  <c r="AD51" i="10"/>
  <c r="AE51" i="10" s="1"/>
  <c r="AB151" i="10"/>
  <c r="W152" i="10"/>
  <c r="W102" i="10"/>
  <c r="AB101" i="10"/>
  <c r="AD150" i="10"/>
  <c r="AE150" i="10" s="1"/>
  <c r="AD100" i="10"/>
  <c r="AE100" i="10" s="1"/>
  <c r="AB52" i="10"/>
  <c r="W53" i="10"/>
  <c r="W152" i="9"/>
  <c r="AB151" i="9"/>
  <c r="AD150" i="9"/>
  <c r="AE150" i="9"/>
  <c r="AB100" i="9"/>
  <c r="W101" i="9"/>
  <c r="AD99" i="9"/>
  <c r="AE99" i="9" s="1"/>
  <c r="AD50" i="9"/>
  <c r="AE50" i="9" s="1"/>
  <c r="AB51" i="9"/>
  <c r="W52" i="9"/>
  <c r="AD49" i="8"/>
  <c r="AE49" i="8" s="1"/>
  <c r="AB50" i="8"/>
  <c r="AD250" i="11" l="1"/>
  <c r="AE250" i="11" s="1"/>
  <c r="W252" i="11"/>
  <c r="AB251" i="11"/>
  <c r="AD199" i="11"/>
  <c r="AE199" i="11" s="1"/>
  <c r="W201" i="11"/>
  <c r="AB200" i="11"/>
  <c r="W103" i="11"/>
  <c r="AB102" i="11"/>
  <c r="AD101" i="11"/>
  <c r="AE101" i="11" s="1"/>
  <c r="AD50" i="11"/>
  <c r="AE50" i="11" s="1"/>
  <c r="AB51" i="11"/>
  <c r="W52" i="11"/>
  <c r="AB151" i="11"/>
  <c r="W152" i="11"/>
  <c r="AD150" i="11"/>
  <c r="AE150" i="11" s="1"/>
  <c r="W202" i="10"/>
  <c r="AB201" i="10"/>
  <c r="AD200" i="10"/>
  <c r="AE200" i="10" s="1"/>
  <c r="AD52" i="10"/>
  <c r="AE52" i="10" s="1"/>
  <c r="AD101" i="10"/>
  <c r="AE101" i="10" s="1"/>
  <c r="AB102" i="10"/>
  <c r="W103" i="10"/>
  <c r="AB53" i="10"/>
  <c r="W54" i="10"/>
  <c r="AB152" i="10"/>
  <c r="W153" i="10"/>
  <c r="AD151" i="10"/>
  <c r="AE151" i="10" s="1"/>
  <c r="AB152" i="9"/>
  <c r="W153" i="9"/>
  <c r="AD151" i="9"/>
  <c r="AE151" i="9" s="1"/>
  <c r="AD51" i="9"/>
  <c r="AE51" i="9" s="1"/>
  <c r="AB52" i="9"/>
  <c r="W53" i="9"/>
  <c r="W102" i="9"/>
  <c r="AB101" i="9"/>
  <c r="AD100" i="9"/>
  <c r="AE100" i="9" s="1"/>
  <c r="AB51" i="8"/>
  <c r="AD50" i="8"/>
  <c r="AE50" i="8" s="1"/>
  <c r="AB252" i="11" l="1"/>
  <c r="AD252" i="11" s="1"/>
  <c r="AE252" i="11" s="1"/>
  <c r="W253" i="11"/>
  <c r="AD251" i="11"/>
  <c r="AE251" i="11" s="1"/>
  <c r="AD151" i="11"/>
  <c r="AE151" i="11" s="1"/>
  <c r="AD51" i="11"/>
  <c r="AE51" i="11" s="1"/>
  <c r="AB52" i="11"/>
  <c r="W53" i="11"/>
  <c r="AD102" i="11"/>
  <c r="AE102" i="11" s="1"/>
  <c r="W104" i="11"/>
  <c r="AB103" i="11"/>
  <c r="AD200" i="11"/>
  <c r="AE200" i="11" s="1"/>
  <c r="W202" i="11"/>
  <c r="AB201" i="11"/>
  <c r="W153" i="11"/>
  <c r="AB152" i="11"/>
  <c r="AD201" i="10"/>
  <c r="AE201" i="10" s="1"/>
  <c r="W203" i="10"/>
  <c r="AB202" i="10"/>
  <c r="AB153" i="10"/>
  <c r="W154" i="10"/>
  <c r="AD152" i="10"/>
  <c r="AE152" i="10" s="1"/>
  <c r="AB54" i="10"/>
  <c r="W55" i="10"/>
  <c r="AD53" i="10"/>
  <c r="AE53" i="10" s="1"/>
  <c r="W104" i="10"/>
  <c r="AB103" i="10"/>
  <c r="AD102" i="10"/>
  <c r="AE102" i="10" s="1"/>
  <c r="AD152" i="9"/>
  <c r="AE152" i="9" s="1"/>
  <c r="AB153" i="9"/>
  <c r="W154" i="9"/>
  <c r="AD101" i="9"/>
  <c r="AE101" i="9" s="1"/>
  <c r="W103" i="9"/>
  <c r="AB102" i="9"/>
  <c r="W54" i="9"/>
  <c r="AB53" i="9"/>
  <c r="AD52" i="9"/>
  <c r="AE52" i="9" s="1"/>
  <c r="AB52" i="8"/>
  <c r="AD51" i="8"/>
  <c r="AE51" i="8" s="1"/>
  <c r="AB253" i="11" l="1"/>
  <c r="W254" i="11"/>
  <c r="AB104" i="11"/>
  <c r="W105" i="11"/>
  <c r="W54" i="11"/>
  <c r="AB53" i="11"/>
  <c r="AD103" i="11"/>
  <c r="AE103" i="11" s="1"/>
  <c r="AD52" i="11"/>
  <c r="AE52" i="11" s="1"/>
  <c r="AD152" i="11"/>
  <c r="AE152" i="11" s="1"/>
  <c r="W154" i="11"/>
  <c r="AB153" i="11"/>
  <c r="AD201" i="11"/>
  <c r="AE201" i="11" s="1"/>
  <c r="W203" i="11"/>
  <c r="AB202" i="11"/>
  <c r="AD202" i="10"/>
  <c r="AE202" i="10"/>
  <c r="W204" i="10"/>
  <c r="AB203" i="10"/>
  <c r="AB154" i="10"/>
  <c r="W155" i="10"/>
  <c r="AD153" i="10"/>
  <c r="AE153" i="10" s="1"/>
  <c r="AD103" i="10"/>
  <c r="AE103" i="10" s="1"/>
  <c r="AB104" i="10"/>
  <c r="W105" i="10"/>
  <c r="W56" i="10"/>
  <c r="AB55" i="10"/>
  <c r="AD54" i="10"/>
  <c r="AE54" i="10" s="1"/>
  <c r="AD153" i="9"/>
  <c r="AE153" i="9" s="1"/>
  <c r="AB154" i="9"/>
  <c r="W155" i="9"/>
  <c r="AD53" i="9"/>
  <c r="AE53" i="9" s="1"/>
  <c r="AB54" i="9"/>
  <c r="W55" i="9"/>
  <c r="AD102" i="9"/>
  <c r="AE102" i="9" s="1"/>
  <c r="AB103" i="9"/>
  <c r="W104" i="9"/>
  <c r="AD52" i="8"/>
  <c r="AE52" i="8" s="1"/>
  <c r="AB53" i="8"/>
  <c r="AB254" i="11" l="1"/>
  <c r="W255" i="11"/>
  <c r="AD253" i="11"/>
  <c r="AE253" i="11"/>
  <c r="AB154" i="11"/>
  <c r="W155" i="11"/>
  <c r="AD202" i="11"/>
  <c r="AE202" i="11" s="1"/>
  <c r="AD53" i="11"/>
  <c r="AE53" i="11" s="1"/>
  <c r="AD153" i="11"/>
  <c r="AE153" i="11" s="1"/>
  <c r="AB203" i="11"/>
  <c r="W204" i="11"/>
  <c r="AB54" i="11"/>
  <c r="W55" i="11"/>
  <c r="AB105" i="11"/>
  <c r="W106" i="11"/>
  <c r="AD104" i="11"/>
  <c r="AE104" i="11" s="1"/>
  <c r="W205" i="10"/>
  <c r="AB204" i="10"/>
  <c r="AD203" i="10"/>
  <c r="AE203" i="10" s="1"/>
  <c r="AB155" i="10"/>
  <c r="W156" i="10"/>
  <c r="AD154" i="10"/>
  <c r="AE154" i="10" s="1"/>
  <c r="AD55" i="10"/>
  <c r="AE55" i="10" s="1"/>
  <c r="AB56" i="10"/>
  <c r="W57" i="10"/>
  <c r="AB105" i="10"/>
  <c r="W106" i="10"/>
  <c r="AD104" i="10"/>
  <c r="AE104" i="10" s="1"/>
  <c r="W156" i="9"/>
  <c r="AB155" i="9"/>
  <c r="AD154" i="9"/>
  <c r="AE154" i="9"/>
  <c r="W105" i="9"/>
  <c r="AB104" i="9"/>
  <c r="AD103" i="9"/>
  <c r="AE103" i="9" s="1"/>
  <c r="AB55" i="9"/>
  <c r="W56" i="9"/>
  <c r="AD54" i="9"/>
  <c r="AE54" i="9" s="1"/>
  <c r="AD53" i="8"/>
  <c r="AE53" i="8" s="1"/>
  <c r="AB54" i="8"/>
  <c r="W256" i="11" l="1"/>
  <c r="AB255" i="11"/>
  <c r="AD254" i="11"/>
  <c r="AE254" i="11"/>
  <c r="AD54" i="11"/>
  <c r="AE54" i="11" s="1"/>
  <c r="AB204" i="11"/>
  <c r="W205" i="11"/>
  <c r="W56" i="11"/>
  <c r="AB55" i="11"/>
  <c r="AD203" i="11"/>
  <c r="AE203" i="11" s="1"/>
  <c r="AB106" i="11"/>
  <c r="W107" i="11"/>
  <c r="AB155" i="11"/>
  <c r="W156" i="11"/>
  <c r="AD105" i="11"/>
  <c r="AE105" i="11" s="1"/>
  <c r="AD154" i="11"/>
  <c r="AE154" i="11" s="1"/>
  <c r="AD204" i="10"/>
  <c r="AE204" i="10"/>
  <c r="AB205" i="10"/>
  <c r="W206" i="10"/>
  <c r="AB156" i="10"/>
  <c r="W157" i="10"/>
  <c r="AD155" i="10"/>
  <c r="AE155" i="10" s="1"/>
  <c r="AB106" i="10"/>
  <c r="W107" i="10"/>
  <c r="AD105" i="10"/>
  <c r="AE105" i="10" s="1"/>
  <c r="W58" i="10"/>
  <c r="AB57" i="10"/>
  <c r="AD56" i="10"/>
  <c r="AE56" i="10" s="1"/>
  <c r="AB156" i="9"/>
  <c r="W157" i="9"/>
  <c r="AD155" i="9"/>
  <c r="AE155" i="9"/>
  <c r="W57" i="9"/>
  <c r="AB56" i="9"/>
  <c r="AD55" i="9"/>
  <c r="AE55" i="9" s="1"/>
  <c r="AD104" i="9"/>
  <c r="AE104" i="9" s="1"/>
  <c r="W106" i="9"/>
  <c r="AB105" i="9"/>
  <c r="AB55" i="8"/>
  <c r="AD54" i="8"/>
  <c r="AE54" i="8" s="1"/>
  <c r="AD255" i="11" l="1"/>
  <c r="AE255" i="11" s="1"/>
  <c r="W257" i="11"/>
  <c r="AB256" i="11"/>
  <c r="AD155" i="11"/>
  <c r="AE155" i="11" s="1"/>
  <c r="W108" i="11"/>
  <c r="AB107" i="11"/>
  <c r="AD55" i="11"/>
  <c r="AE55" i="11" s="1"/>
  <c r="W206" i="11"/>
  <c r="AB205" i="11"/>
  <c r="AD204" i="11"/>
  <c r="AE204" i="11" s="1"/>
  <c r="W157" i="11"/>
  <c r="AB156" i="11"/>
  <c r="AD106" i="11"/>
  <c r="AE106" i="11" s="1"/>
  <c r="W57" i="11"/>
  <c r="AB56" i="11"/>
  <c r="AD205" i="10"/>
  <c r="AE205" i="10" s="1"/>
  <c r="AB206" i="10"/>
  <c r="W207" i="10"/>
  <c r="AD57" i="10"/>
  <c r="AE57" i="10" s="1"/>
  <c r="W59" i="10"/>
  <c r="AB58" i="10"/>
  <c r="AB107" i="10"/>
  <c r="W108" i="10"/>
  <c r="W158" i="10"/>
  <c r="AB157" i="10"/>
  <c r="AD106" i="10"/>
  <c r="AE106" i="10" s="1"/>
  <c r="AD156" i="10"/>
  <c r="AE156" i="10" s="1"/>
  <c r="AD156" i="9"/>
  <c r="AE156" i="9" s="1"/>
  <c r="AB157" i="9"/>
  <c r="W158" i="9"/>
  <c r="AD105" i="9"/>
  <c r="AE105" i="9" s="1"/>
  <c r="AB106" i="9"/>
  <c r="W107" i="9"/>
  <c r="AD56" i="9"/>
  <c r="AE56" i="9" s="1"/>
  <c r="AB57" i="9"/>
  <c r="W58" i="9"/>
  <c r="AD55" i="8"/>
  <c r="AE55" i="8" s="1"/>
  <c r="AB56" i="8"/>
  <c r="AD256" i="11" l="1"/>
  <c r="AE256" i="11" s="1"/>
  <c r="W258" i="11"/>
  <c r="AB257" i="11"/>
  <c r="AD257" i="11" s="1"/>
  <c r="AE257" i="11" s="1"/>
  <c r="W158" i="11"/>
  <c r="AB157" i="11"/>
  <c r="AD156" i="11"/>
  <c r="AE156" i="11" s="1"/>
  <c r="AD56" i="11"/>
  <c r="AE56" i="11" s="1"/>
  <c r="AD205" i="11"/>
  <c r="AE205" i="11" s="1"/>
  <c r="W207" i="11"/>
  <c r="AB206" i="11"/>
  <c r="AD107" i="11"/>
  <c r="AE107" i="11" s="1"/>
  <c r="AB57" i="11"/>
  <c r="W58" i="11"/>
  <c r="AB108" i="11"/>
  <c r="W109" i="11"/>
  <c r="AD206" i="10"/>
  <c r="AE206" i="10" s="1"/>
  <c r="W208" i="10"/>
  <c r="AB207" i="10"/>
  <c r="W60" i="10"/>
  <c r="AB59" i="10"/>
  <c r="AD157" i="10"/>
  <c r="AE157" i="10" s="1"/>
  <c r="AB158" i="10"/>
  <c r="W159" i="10"/>
  <c r="AB108" i="10"/>
  <c r="W109" i="10"/>
  <c r="AD107" i="10"/>
  <c r="AE107" i="10" s="1"/>
  <c r="AD58" i="10"/>
  <c r="AE58" i="10" s="1"/>
  <c r="W159" i="9"/>
  <c r="AB158" i="9"/>
  <c r="AD157" i="9"/>
  <c r="AE157" i="9"/>
  <c r="W59" i="9"/>
  <c r="AB58" i="9"/>
  <c r="AD57" i="9"/>
  <c r="AE57" i="9" s="1"/>
  <c r="W108" i="9"/>
  <c r="AB107" i="9"/>
  <c r="AD106" i="9"/>
  <c r="AE106" i="9" s="1"/>
  <c r="AB57" i="8"/>
  <c r="AD56" i="8"/>
  <c r="AE56" i="8" s="1"/>
  <c r="AB258" i="11" l="1"/>
  <c r="AD258" i="11" s="1"/>
  <c r="AE258" i="11" s="1"/>
  <c r="W259" i="11"/>
  <c r="AD157" i="11"/>
  <c r="AE157" i="11" s="1"/>
  <c r="W208" i="11"/>
  <c r="AB207" i="11"/>
  <c r="AD206" i="11"/>
  <c r="AE206" i="11" s="1"/>
  <c r="W59" i="11"/>
  <c r="AB58" i="11"/>
  <c r="W110" i="11"/>
  <c r="AB109" i="11"/>
  <c r="AD108" i="11"/>
  <c r="AE108" i="11" s="1"/>
  <c r="AD57" i="11"/>
  <c r="AE57" i="11" s="1"/>
  <c r="AB158" i="11"/>
  <c r="W159" i="11"/>
  <c r="AB208" i="10"/>
  <c r="W209" i="10"/>
  <c r="AD207" i="10"/>
  <c r="AE207" i="10" s="1"/>
  <c r="AD108" i="10"/>
  <c r="AE108" i="10" s="1"/>
  <c r="AD158" i="10"/>
  <c r="AE158" i="10" s="1"/>
  <c r="W110" i="10"/>
  <c r="AB109" i="10"/>
  <c r="AB159" i="10"/>
  <c r="W160" i="10"/>
  <c r="AD59" i="10"/>
  <c r="AE59" i="10" s="1"/>
  <c r="W61" i="10"/>
  <c r="AB60" i="10"/>
  <c r="W160" i="9"/>
  <c r="AB159" i="9"/>
  <c r="AD158" i="9"/>
  <c r="AE158" i="9"/>
  <c r="AD107" i="9"/>
  <c r="AE107" i="9" s="1"/>
  <c r="W109" i="9"/>
  <c r="AB108" i="9"/>
  <c r="AD58" i="9"/>
  <c r="AE58" i="9" s="1"/>
  <c r="W60" i="9"/>
  <c r="AB59" i="9"/>
  <c r="AB58" i="8"/>
  <c r="AD57" i="8"/>
  <c r="AE57" i="8" s="1"/>
  <c r="AB259" i="11" l="1"/>
  <c r="W260" i="11"/>
  <c r="AD58" i="11"/>
  <c r="AE58" i="11" s="1"/>
  <c r="AD109" i="11"/>
  <c r="AE109" i="11" s="1"/>
  <c r="W160" i="11"/>
  <c r="AB159" i="11"/>
  <c r="W111" i="11"/>
  <c r="AB110" i="11"/>
  <c r="AB59" i="11"/>
  <c r="W60" i="11"/>
  <c r="AD207" i="11"/>
  <c r="AE207" i="11" s="1"/>
  <c r="AD158" i="11"/>
  <c r="AE158" i="11" s="1"/>
  <c r="AB208" i="11"/>
  <c r="W209" i="11"/>
  <c r="AB209" i="10"/>
  <c r="W210" i="10"/>
  <c r="AD208" i="10"/>
  <c r="AE208" i="10" s="1"/>
  <c r="AB160" i="10"/>
  <c r="W161" i="10"/>
  <c r="AD109" i="10"/>
  <c r="AE109" i="10" s="1"/>
  <c r="AB110" i="10"/>
  <c r="W111" i="10"/>
  <c r="AD60" i="10"/>
  <c r="AE60" i="10" s="1"/>
  <c r="W62" i="10"/>
  <c r="AB61" i="10"/>
  <c r="AD159" i="10"/>
  <c r="AE159" i="10" s="1"/>
  <c r="AB160" i="9"/>
  <c r="W161" i="9"/>
  <c r="AD159" i="9"/>
  <c r="AE159" i="9" s="1"/>
  <c r="AB109" i="9"/>
  <c r="W110" i="9"/>
  <c r="AD59" i="9"/>
  <c r="AE59" i="9" s="1"/>
  <c r="W61" i="9"/>
  <c r="AB60" i="9"/>
  <c r="AD108" i="9"/>
  <c r="AE108" i="9" s="1"/>
  <c r="AD58" i="8"/>
  <c r="AE58" i="8" s="1"/>
  <c r="AB59" i="8"/>
  <c r="W261" i="11" l="1"/>
  <c r="AB260" i="11"/>
  <c r="AD259" i="11"/>
  <c r="AE259" i="11" s="1"/>
  <c r="AD110" i="11"/>
  <c r="AE110" i="11" s="1"/>
  <c r="AB160" i="11"/>
  <c r="W161" i="11"/>
  <c r="AB60" i="11"/>
  <c r="W61" i="11"/>
  <c r="W210" i="11"/>
  <c r="AB209" i="11"/>
  <c r="AD59" i="11"/>
  <c r="AE59" i="11" s="1"/>
  <c r="AB111" i="11"/>
  <c r="W112" i="11"/>
  <c r="AD159" i="11"/>
  <c r="AE159" i="11" s="1"/>
  <c r="AD208" i="11"/>
  <c r="AE208" i="11" s="1"/>
  <c r="W211" i="10"/>
  <c r="AB210" i="10"/>
  <c r="AD209" i="10"/>
  <c r="AE209" i="10" s="1"/>
  <c r="AD160" i="10"/>
  <c r="AE160" i="10" s="1"/>
  <c r="AD61" i="10"/>
  <c r="AE61" i="10" s="1"/>
  <c r="AD110" i="10"/>
  <c r="AE110" i="10" s="1"/>
  <c r="AB161" i="10"/>
  <c r="W162" i="10"/>
  <c r="W63" i="10"/>
  <c r="AB62" i="10"/>
  <c r="AB111" i="10"/>
  <c r="W112" i="10"/>
  <c r="W162" i="9"/>
  <c r="AB161" i="9"/>
  <c r="AD160" i="9"/>
  <c r="AE160" i="9" s="1"/>
  <c r="AB61" i="9"/>
  <c r="W62" i="9"/>
  <c r="AD60" i="9"/>
  <c r="AE60" i="9" s="1"/>
  <c r="W111" i="9"/>
  <c r="AB110" i="9"/>
  <c r="AD109" i="9"/>
  <c r="AE109" i="9" s="1"/>
  <c r="AD59" i="8"/>
  <c r="AE59" i="8" s="1"/>
  <c r="AB60" i="8"/>
  <c r="AD260" i="11" l="1"/>
  <c r="AE260" i="11" s="1"/>
  <c r="AB261" i="11"/>
  <c r="AD261" i="11" s="1"/>
  <c r="AE261" i="11" s="1"/>
  <c r="W262" i="11"/>
  <c r="AB112" i="11"/>
  <c r="W113" i="11"/>
  <c r="AD209" i="11"/>
  <c r="AE209" i="11" s="1"/>
  <c r="W62" i="11"/>
  <c r="AB61" i="11"/>
  <c r="AD111" i="11"/>
  <c r="AE111" i="11" s="1"/>
  <c r="AB161" i="11"/>
  <c r="W162" i="11"/>
  <c r="AB210" i="11"/>
  <c r="W211" i="11"/>
  <c r="AD60" i="11"/>
  <c r="AE60" i="11" s="1"/>
  <c r="AD160" i="11"/>
  <c r="AE160" i="11" s="1"/>
  <c r="AD210" i="10"/>
  <c r="AE210" i="10" s="1"/>
  <c r="AB211" i="10"/>
  <c r="W212" i="10"/>
  <c r="W113" i="10"/>
  <c r="AB112" i="10"/>
  <c r="AD111" i="10"/>
  <c r="AE111" i="10" s="1"/>
  <c r="AD62" i="10"/>
  <c r="AE62" i="10" s="1"/>
  <c r="AB63" i="10"/>
  <c r="W64" i="10"/>
  <c r="AB162" i="10"/>
  <c r="W163" i="10"/>
  <c r="AD161" i="10"/>
  <c r="AE161" i="10" s="1"/>
  <c r="AD161" i="9"/>
  <c r="AE161" i="9" s="1"/>
  <c r="W163" i="9"/>
  <c r="AB162" i="9"/>
  <c r="AD110" i="9"/>
  <c r="AE110" i="9" s="1"/>
  <c r="AB111" i="9"/>
  <c r="W112" i="9"/>
  <c r="W63" i="9"/>
  <c r="AB62" i="9"/>
  <c r="AD61" i="9"/>
  <c r="AE61" i="9" s="1"/>
  <c r="AB61" i="8"/>
  <c r="AD60" i="8"/>
  <c r="AE60" i="8" s="1"/>
  <c r="W263" i="11" l="1"/>
  <c r="AB262" i="11"/>
  <c r="AD161" i="11"/>
  <c r="AE161" i="11" s="1"/>
  <c r="W114" i="11"/>
  <c r="AB113" i="11"/>
  <c r="W212" i="11"/>
  <c r="AB211" i="11"/>
  <c r="W163" i="11"/>
  <c r="AB162" i="11"/>
  <c r="AD210" i="11"/>
  <c r="AE210" i="11" s="1"/>
  <c r="AD61" i="11"/>
  <c r="AE61" i="11" s="1"/>
  <c r="W63" i="11"/>
  <c r="AB62" i="11"/>
  <c r="AD112" i="11"/>
  <c r="AE112" i="11" s="1"/>
  <c r="W213" i="10"/>
  <c r="AB212" i="10"/>
  <c r="AD211" i="10"/>
  <c r="AE211" i="10" s="1"/>
  <c r="W164" i="10"/>
  <c r="AB163" i="10"/>
  <c r="AD63" i="10"/>
  <c r="AE63" i="10" s="1"/>
  <c r="AD162" i="10"/>
  <c r="AE162" i="10" s="1"/>
  <c r="AB64" i="10"/>
  <c r="W65" i="10"/>
  <c r="AD112" i="10"/>
  <c r="AE112" i="10" s="1"/>
  <c r="W114" i="10"/>
  <c r="AB113" i="10"/>
  <c r="AD162" i="9"/>
  <c r="AE162" i="9" s="1"/>
  <c r="W164" i="9"/>
  <c r="AB163" i="9"/>
  <c r="AD62" i="9"/>
  <c r="AE62" i="9" s="1"/>
  <c r="AB63" i="9"/>
  <c r="W64" i="9"/>
  <c r="AB112" i="9"/>
  <c r="W113" i="9"/>
  <c r="AD111" i="9"/>
  <c r="AE111" i="9" s="1"/>
  <c r="AD61" i="8"/>
  <c r="AE61" i="8" s="1"/>
  <c r="AB62" i="8"/>
  <c r="AD262" i="11" l="1"/>
  <c r="AE262" i="11" s="1"/>
  <c r="W264" i="11"/>
  <c r="AB263" i="11"/>
  <c r="AD263" i="11" s="1"/>
  <c r="AE263" i="11" s="1"/>
  <c r="AD62" i="11"/>
  <c r="AE62" i="11" s="1"/>
  <c r="AB163" i="11"/>
  <c r="W164" i="11"/>
  <c r="AD162" i="11"/>
  <c r="AE162" i="11" s="1"/>
  <c r="AD211" i="11"/>
  <c r="AE211" i="11" s="1"/>
  <c r="W213" i="11"/>
  <c r="AB212" i="11"/>
  <c r="AD113" i="11"/>
  <c r="AE113" i="11" s="1"/>
  <c r="AB114" i="11"/>
  <c r="W115" i="11"/>
  <c r="AB63" i="11"/>
  <c r="W64" i="11"/>
  <c r="AD212" i="10"/>
  <c r="AE212" i="10"/>
  <c r="W214" i="10"/>
  <c r="AB213" i="10"/>
  <c r="AB114" i="10"/>
  <c r="W115" i="10"/>
  <c r="AD113" i="10"/>
  <c r="AE113" i="10" s="1"/>
  <c r="AB65" i="10"/>
  <c r="W66" i="10"/>
  <c r="AD64" i="10"/>
  <c r="AE64" i="10" s="1"/>
  <c r="AD163" i="10"/>
  <c r="AE163" i="10" s="1"/>
  <c r="W165" i="10"/>
  <c r="AB164" i="10"/>
  <c r="AD163" i="9"/>
  <c r="AE163" i="9" s="1"/>
  <c r="W165" i="9"/>
  <c r="AB164" i="9"/>
  <c r="W114" i="9"/>
  <c r="AB113" i="9"/>
  <c r="AD112" i="9"/>
  <c r="AE112" i="9" s="1"/>
  <c r="AB64" i="9"/>
  <c r="W65" i="9"/>
  <c r="AD63" i="9"/>
  <c r="AE63" i="9" s="1"/>
  <c r="AB63" i="8"/>
  <c r="AD62" i="8"/>
  <c r="AE62" i="8" s="1"/>
  <c r="AB264" i="11" l="1"/>
  <c r="W265" i="11"/>
  <c r="W116" i="11"/>
  <c r="AB115" i="11"/>
  <c r="AB213" i="11"/>
  <c r="W214" i="11"/>
  <c r="AD114" i="11"/>
  <c r="AE114" i="11" s="1"/>
  <c r="AD212" i="11"/>
  <c r="AE212" i="11" s="1"/>
  <c r="W65" i="11"/>
  <c r="AB64" i="11"/>
  <c r="AB164" i="11"/>
  <c r="W165" i="11"/>
  <c r="AD63" i="11"/>
  <c r="AE63" i="11" s="1"/>
  <c r="AD163" i="11"/>
  <c r="AE163" i="11" s="1"/>
  <c r="AB214" i="10"/>
  <c r="W215" i="10"/>
  <c r="AD213" i="10"/>
  <c r="AE213" i="10" s="1"/>
  <c r="W116" i="10"/>
  <c r="AB115" i="10"/>
  <c r="AD164" i="10"/>
  <c r="AE164" i="10" s="1"/>
  <c r="W67" i="10"/>
  <c r="AB66" i="10"/>
  <c r="AD65" i="10"/>
  <c r="AE65" i="10" s="1"/>
  <c r="AD114" i="10"/>
  <c r="AE114" i="10" s="1"/>
  <c r="W166" i="10"/>
  <c r="AB165" i="10"/>
  <c r="AD164" i="9"/>
  <c r="AE164" i="9" s="1"/>
  <c r="AB165" i="9"/>
  <c r="W166" i="9"/>
  <c r="W66" i="9"/>
  <c r="AB65" i="9"/>
  <c r="AD64" i="9"/>
  <c r="AE64" i="9" s="1"/>
  <c r="AD113" i="9"/>
  <c r="AE113" i="9" s="1"/>
  <c r="AB114" i="9"/>
  <c r="W115" i="9"/>
  <c r="AB64" i="8"/>
  <c r="AD63" i="8"/>
  <c r="AE63" i="8" s="1"/>
  <c r="W266" i="11" l="1"/>
  <c r="AB265" i="11"/>
  <c r="AD264" i="11"/>
  <c r="AE264" i="11" s="1"/>
  <c r="AD164" i="11"/>
  <c r="AE164" i="11" s="1"/>
  <c r="AD64" i="11"/>
  <c r="AE64" i="11" s="1"/>
  <c r="AD115" i="11"/>
  <c r="AE115" i="11" s="1"/>
  <c r="W117" i="11"/>
  <c r="AB116" i="11"/>
  <c r="W166" i="11"/>
  <c r="AB165" i="11"/>
  <c r="AB65" i="11"/>
  <c r="W66" i="11"/>
  <c r="W215" i="11"/>
  <c r="AB214" i="11"/>
  <c r="AD213" i="11"/>
  <c r="AE213" i="11" s="1"/>
  <c r="AB215" i="10"/>
  <c r="W216" i="10"/>
  <c r="AD214" i="10"/>
  <c r="AE214" i="10" s="1"/>
  <c r="W167" i="10"/>
  <c r="AB166" i="10"/>
  <c r="AD165" i="10"/>
  <c r="AE165" i="10" s="1"/>
  <c r="AD66" i="10"/>
  <c r="AE66" i="10" s="1"/>
  <c r="AB67" i="10"/>
  <c r="W68" i="10"/>
  <c r="AB68" i="10" s="1"/>
  <c r="AD115" i="10"/>
  <c r="AE115" i="10" s="1"/>
  <c r="AB116" i="10"/>
  <c r="W117" i="10"/>
  <c r="AB166" i="9"/>
  <c r="W167" i="9"/>
  <c r="AD165" i="9"/>
  <c r="AE165" i="9"/>
  <c r="AD114" i="9"/>
  <c r="AE114" i="9" s="1"/>
  <c r="AD65" i="9"/>
  <c r="AE65" i="9" s="1"/>
  <c r="W116" i="9"/>
  <c r="AB115" i="9"/>
  <c r="AB66" i="9"/>
  <c r="W67" i="9"/>
  <c r="AD64" i="8"/>
  <c r="AE64" i="8" s="1"/>
  <c r="AB65" i="8"/>
  <c r="AD265" i="11" l="1"/>
  <c r="AE265" i="11" s="1"/>
  <c r="W267" i="11"/>
  <c r="AB266" i="11"/>
  <c r="AD65" i="11"/>
  <c r="AE65" i="11" s="1"/>
  <c r="AD214" i="11"/>
  <c r="AE214" i="11" s="1"/>
  <c r="W216" i="11"/>
  <c r="AB215" i="11"/>
  <c r="AD165" i="11"/>
  <c r="AE165" i="11" s="1"/>
  <c r="AD116" i="11"/>
  <c r="AE116" i="11" s="1"/>
  <c r="AB66" i="11"/>
  <c r="W67" i="11"/>
  <c r="AB166" i="11"/>
  <c r="W167" i="11"/>
  <c r="AB117" i="11"/>
  <c r="W118" i="11"/>
  <c r="W217" i="10"/>
  <c r="AB216" i="10"/>
  <c r="AD215" i="10"/>
  <c r="AE215" i="10" s="1"/>
  <c r="AD166" i="10"/>
  <c r="AE166" i="10" s="1"/>
  <c r="W168" i="10"/>
  <c r="AB167" i="10"/>
  <c r="W118" i="10"/>
  <c r="AB117" i="10"/>
  <c r="AD116" i="10"/>
  <c r="AE116" i="10" s="1"/>
  <c r="AD68" i="10"/>
  <c r="AE68" i="10" s="1"/>
  <c r="AD67" i="10"/>
  <c r="AE67" i="10" s="1"/>
  <c r="AD166" i="9"/>
  <c r="AE166" i="9" s="1"/>
  <c r="W168" i="9"/>
  <c r="AB167" i="9"/>
  <c r="AD66" i="9"/>
  <c r="AE66" i="9" s="1"/>
  <c r="AD115" i="9"/>
  <c r="AE115" i="9" s="1"/>
  <c r="W117" i="9"/>
  <c r="AB116" i="9"/>
  <c r="AB67" i="9"/>
  <c r="W68" i="9"/>
  <c r="AB68" i="9" s="1"/>
  <c r="AB66" i="8"/>
  <c r="AB69" i="8"/>
  <c r="AD65" i="8"/>
  <c r="AE65" i="8" s="1"/>
  <c r="AB267" i="11" l="1"/>
  <c r="W268" i="11"/>
  <c r="AD266" i="11"/>
  <c r="AE266" i="11"/>
  <c r="AD66" i="11"/>
  <c r="AE66" i="11" s="1"/>
  <c r="AB167" i="11"/>
  <c r="W168" i="11"/>
  <c r="W68" i="11"/>
  <c r="AB68" i="11" s="1"/>
  <c r="AB67" i="11"/>
  <c r="AD215" i="11"/>
  <c r="AE215" i="11" s="1"/>
  <c r="AB216" i="11"/>
  <c r="W217" i="11"/>
  <c r="W119" i="11"/>
  <c r="AB119" i="11" s="1"/>
  <c r="AB118" i="11"/>
  <c r="AD117" i="11"/>
  <c r="AE117" i="11" s="1"/>
  <c r="AD166" i="11"/>
  <c r="AE166" i="11" s="1"/>
  <c r="AD216" i="10"/>
  <c r="AE216" i="10" s="1"/>
  <c r="AB217" i="10"/>
  <c r="W218" i="10"/>
  <c r="AD167" i="10"/>
  <c r="AE167" i="10" s="1"/>
  <c r="W169" i="10"/>
  <c r="AB169" i="10" s="1"/>
  <c r="AB168" i="10"/>
  <c r="AE69" i="10"/>
  <c r="AD117" i="10"/>
  <c r="AE117" i="10" s="1"/>
  <c r="AB118" i="10"/>
  <c r="W119" i="10"/>
  <c r="AB119" i="10" s="1"/>
  <c r="AD167" i="9"/>
  <c r="AE167" i="9" s="1"/>
  <c r="AB168" i="9"/>
  <c r="W169" i="9"/>
  <c r="AB169" i="9" s="1"/>
  <c r="AD67" i="9"/>
  <c r="AE67" i="9" s="1"/>
  <c r="AD116" i="9"/>
  <c r="AE116" i="9" s="1"/>
  <c r="W118" i="9"/>
  <c r="AB117" i="9"/>
  <c r="AD68" i="9"/>
  <c r="AE68" i="9" s="1"/>
  <c r="W71" i="8"/>
  <c r="AB71" i="8" s="1"/>
  <c r="AD69" i="8"/>
  <c r="AE69" i="8" s="1"/>
  <c r="AD66" i="8"/>
  <c r="AE66" i="8" s="1"/>
  <c r="W269" i="11" l="1"/>
  <c r="AB269" i="11" s="1"/>
  <c r="AD269" i="11" s="1"/>
  <c r="AE269" i="11" s="1"/>
  <c r="AB268" i="11"/>
  <c r="AD267" i="11"/>
  <c r="AE267" i="11" s="1"/>
  <c r="AD119" i="11"/>
  <c r="AE119" i="11" s="1"/>
  <c r="W218" i="11"/>
  <c r="AB217" i="11"/>
  <c r="AD118" i="11"/>
  <c r="AE118" i="11" s="1"/>
  <c r="AD216" i="11"/>
  <c r="AE216" i="11" s="1"/>
  <c r="AD67" i="11"/>
  <c r="AE67" i="11" s="1"/>
  <c r="AD68" i="11"/>
  <c r="AE68" i="11" s="1"/>
  <c r="AE69" i="11" s="1"/>
  <c r="W169" i="11"/>
  <c r="AB169" i="11" s="1"/>
  <c r="AB168" i="11"/>
  <c r="AD167" i="11"/>
  <c r="AE167" i="11" s="1"/>
  <c r="W219" i="10"/>
  <c r="AB219" i="10" s="1"/>
  <c r="AB218" i="10"/>
  <c r="AD217" i="10"/>
  <c r="AE217" i="10" s="1"/>
  <c r="AD168" i="10"/>
  <c r="AE168" i="10" s="1"/>
  <c r="AD169" i="10"/>
  <c r="AE169" i="10" s="1"/>
  <c r="AD119" i="10"/>
  <c r="AE119" i="10" s="1"/>
  <c r="AD118" i="10"/>
  <c r="AE118" i="10" s="1"/>
  <c r="AD169" i="9"/>
  <c r="AE169" i="9" s="1"/>
  <c r="AD168" i="9"/>
  <c r="AE168" i="9" s="1"/>
  <c r="AE69" i="9"/>
  <c r="AD117" i="9"/>
  <c r="AE117" i="9" s="1"/>
  <c r="AB118" i="9"/>
  <c r="W119" i="9"/>
  <c r="AB119" i="9" s="1"/>
  <c r="AE70" i="8"/>
  <c r="AD71" i="8"/>
  <c r="AE71" i="8" s="1"/>
  <c r="AD268" i="11" l="1"/>
  <c r="AE268" i="11" s="1"/>
  <c r="AE270" i="11" s="1"/>
  <c r="AE120" i="11"/>
  <c r="AD168" i="11"/>
  <c r="AE168" i="11" s="1"/>
  <c r="AD217" i="11"/>
  <c r="AE217" i="11" s="1"/>
  <c r="W219" i="11"/>
  <c r="AB219" i="11" s="1"/>
  <c r="AB218" i="11"/>
  <c r="AD169" i="11"/>
  <c r="AE169" i="11" s="1"/>
  <c r="AD218" i="10"/>
  <c r="AE218" i="10" s="1"/>
  <c r="AD219" i="10"/>
  <c r="AE219" i="10" s="1"/>
  <c r="AE220" i="10" s="1"/>
  <c r="AE170" i="10"/>
  <c r="AE120" i="10"/>
  <c r="AE170" i="9"/>
  <c r="AD119" i="9"/>
  <c r="AE119" i="9" s="1"/>
  <c r="AD118" i="9"/>
  <c r="AE118" i="9" s="1"/>
  <c r="AE72" i="8"/>
  <c r="AE170" i="11" l="1"/>
  <c r="AD218" i="11"/>
  <c r="AE218" i="11" s="1"/>
  <c r="AD219" i="11"/>
  <c r="AE219" i="11" s="1"/>
  <c r="AE120" i="9"/>
  <c r="AE220" i="11" l="1"/>
  <c r="I18" i="2" l="1"/>
  <c r="AC28" i="2" l="1"/>
  <c r="AB28" i="2"/>
  <c r="W27" i="2"/>
  <c r="AB27" i="2" s="1"/>
  <c r="AC27" i="2"/>
  <c r="AC26" i="2"/>
  <c r="AB26" i="2"/>
  <c r="Y26" i="2"/>
  <c r="AD27" i="2" l="1"/>
  <c r="AC79" i="2" l="1"/>
  <c r="AC80" i="2"/>
  <c r="AC81" i="2"/>
  <c r="AC82" i="2"/>
  <c r="AC83" i="2"/>
  <c r="AC84" i="2"/>
  <c r="AC85" i="2"/>
  <c r="AC86" i="2"/>
  <c r="AC87" i="2"/>
  <c r="AC88" i="2"/>
  <c r="AC89" i="2"/>
  <c r="AC90" i="2"/>
  <c r="AC91" i="2"/>
  <c r="AC92" i="2"/>
  <c r="AC93" i="2"/>
  <c r="AC94" i="2"/>
  <c r="AC95" i="2"/>
  <c r="AC96" i="2"/>
  <c r="AC97" i="2"/>
  <c r="AC98" i="2"/>
  <c r="AC99" i="2"/>
  <c r="AC100" i="2"/>
  <c r="AC101" i="2"/>
  <c r="AC102" i="2"/>
  <c r="AC103" i="2"/>
  <c r="AC104" i="2"/>
  <c r="AC105" i="2"/>
  <c r="AC107" i="2"/>
  <c r="AC108" i="2"/>
  <c r="AC109" i="2"/>
  <c r="AC110" i="2"/>
  <c r="AC111" i="2"/>
  <c r="AC112" i="2"/>
  <c r="AC113" i="2"/>
  <c r="AC114" i="2"/>
  <c r="AC115" i="2"/>
  <c r="AC116" i="2"/>
  <c r="AC117" i="2"/>
  <c r="AC118" i="2"/>
  <c r="AC119" i="2"/>
  <c r="AC120" i="2"/>
  <c r="AC121" i="2"/>
  <c r="AC78" i="2"/>
  <c r="AC29" i="2"/>
  <c r="AC30" i="2"/>
  <c r="AC31" i="2"/>
  <c r="AC32" i="2"/>
  <c r="AC33" i="2"/>
  <c r="AC34" i="2"/>
  <c r="AC35" i="2"/>
  <c r="AC36" i="2"/>
  <c r="AC37" i="2"/>
  <c r="AC38" i="2"/>
  <c r="AC39" i="2"/>
  <c r="AC40" i="2"/>
  <c r="AC41" i="2"/>
  <c r="AC42" i="2"/>
  <c r="AC43" i="2"/>
  <c r="AC44" i="2"/>
  <c r="AC45" i="2"/>
  <c r="AC46" i="2"/>
  <c r="AC47" i="2"/>
  <c r="AC48" i="2"/>
  <c r="AC49" i="2"/>
  <c r="AC50" i="2"/>
  <c r="AC51" i="2"/>
  <c r="AC52" i="2"/>
  <c r="AC53" i="2"/>
  <c r="AC54" i="2"/>
  <c r="AC56" i="2"/>
  <c r="AC57" i="2"/>
  <c r="AC58" i="2"/>
  <c r="AC59" i="2"/>
  <c r="AC60" i="2"/>
  <c r="AC61" i="2"/>
  <c r="AC62" i="2"/>
  <c r="AC63" i="2"/>
  <c r="AC64" i="2"/>
  <c r="AC65" i="2"/>
  <c r="AC66" i="2"/>
  <c r="AC67" i="2"/>
  <c r="AC68" i="2"/>
  <c r="AC69" i="2"/>
  <c r="AA121" i="2"/>
  <c r="AA120" i="2"/>
  <c r="AA119" i="2"/>
  <c r="AA118" i="2"/>
  <c r="AA117" i="2"/>
  <c r="L116" i="2"/>
  <c r="AA116" i="2"/>
  <c r="AA115" i="2"/>
  <c r="AA114" i="2"/>
  <c r="AA113" i="2"/>
  <c r="L113" i="2"/>
  <c r="AA112" i="2"/>
  <c r="AA111" i="2"/>
  <c r="AA110" i="2"/>
  <c r="AA109" i="2"/>
  <c r="AA108" i="2"/>
  <c r="AA107" i="2"/>
  <c r="AA105" i="2"/>
  <c r="AA104" i="2"/>
  <c r="AA103" i="2"/>
  <c r="AA102" i="2"/>
  <c r="AA101" i="2"/>
  <c r="AA100" i="2"/>
  <c r="AA99" i="2"/>
  <c r="AA98" i="2"/>
  <c r="AA97" i="2"/>
  <c r="AA96" i="2"/>
  <c r="AA95" i="2"/>
  <c r="AA94" i="2"/>
  <c r="AA93" i="2"/>
  <c r="AA92" i="2"/>
  <c r="AA91" i="2"/>
  <c r="AA90" i="2"/>
  <c r="AA89" i="2"/>
  <c r="AA88" i="2"/>
  <c r="AA87" i="2"/>
  <c r="AA86" i="2"/>
  <c r="AA85" i="2"/>
  <c r="AA84" i="2"/>
  <c r="AA83" i="2"/>
  <c r="N77" i="2"/>
  <c r="AA82" i="2"/>
  <c r="AA81" i="2"/>
  <c r="R83" i="2"/>
  <c r="AA80" i="2"/>
  <c r="AA79" i="2"/>
  <c r="T79" i="2"/>
  <c r="T80" i="2" s="1"/>
  <c r="T81" i="2" s="1"/>
  <c r="T82" i="2" s="1"/>
  <c r="T83" i="2" s="1"/>
  <c r="T84" i="2" s="1"/>
  <c r="T85" i="2" s="1"/>
  <c r="T86" i="2" s="1"/>
  <c r="T87" i="2" s="1"/>
  <c r="T88" i="2" s="1"/>
  <c r="T89" i="2" s="1"/>
  <c r="T90" i="2" s="1"/>
  <c r="T91" i="2" s="1"/>
  <c r="T92" i="2" s="1"/>
  <c r="T93" i="2" s="1"/>
  <c r="T94" i="2" s="1"/>
  <c r="T95" i="2" s="1"/>
  <c r="T96" i="2" s="1"/>
  <c r="T97" i="2" s="1"/>
  <c r="T98" i="2" s="1"/>
  <c r="T99" i="2" s="1"/>
  <c r="T100" i="2" s="1"/>
  <c r="T101" i="2" s="1"/>
  <c r="T102" i="2" s="1"/>
  <c r="T103" i="2" s="1"/>
  <c r="T104" i="2" s="1"/>
  <c r="T105" i="2" s="1"/>
  <c r="T107" i="2" s="1"/>
  <c r="T108" i="2" s="1"/>
  <c r="T109" i="2" s="1"/>
  <c r="T110" i="2" s="1"/>
  <c r="T111" i="2" s="1"/>
  <c r="T112" i="2" s="1"/>
  <c r="T113" i="2" s="1"/>
  <c r="T114" i="2" s="1"/>
  <c r="T115" i="2" s="1"/>
  <c r="T116" i="2" s="1"/>
  <c r="T117" i="2" s="1"/>
  <c r="T118" i="2" s="1"/>
  <c r="T119" i="2" s="1"/>
  <c r="T120" i="2" s="1"/>
  <c r="T121" i="2" s="1"/>
  <c r="AB78" i="2"/>
  <c r="AA78" i="2"/>
  <c r="U74" i="2"/>
  <c r="W79" i="2" s="1"/>
  <c r="W80" i="2" s="1"/>
  <c r="AB80" i="2" s="1"/>
  <c r="V73" i="2"/>
  <c r="AA69" i="2"/>
  <c r="AA68" i="2"/>
  <c r="AA67" i="2"/>
  <c r="AA66" i="2"/>
  <c r="AA65" i="2"/>
  <c r="L65" i="2"/>
  <c r="AA64" i="2"/>
  <c r="AA63" i="2"/>
  <c r="AA62" i="2"/>
  <c r="AA61" i="2"/>
  <c r="L62" i="2"/>
  <c r="AA60" i="2"/>
  <c r="AA59" i="2"/>
  <c r="AA58" i="2"/>
  <c r="AA57" i="2"/>
  <c r="AA56" i="2"/>
  <c r="AA54" i="2"/>
  <c r="AA53" i="2"/>
  <c r="AA52" i="2"/>
  <c r="AA51" i="2"/>
  <c r="AA50" i="2"/>
  <c r="AA49" i="2"/>
  <c r="AA48" i="2"/>
  <c r="AA47" i="2"/>
  <c r="AA46" i="2"/>
  <c r="AA45" i="2"/>
  <c r="AA44" i="2"/>
  <c r="AA43" i="2"/>
  <c r="AA42" i="2"/>
  <c r="AA41" i="2"/>
  <c r="AA40" i="2"/>
  <c r="AA39" i="2"/>
  <c r="AA38" i="2"/>
  <c r="AA37" i="2"/>
  <c r="AA36" i="2"/>
  <c r="AA35" i="2"/>
  <c r="AA34" i="2"/>
  <c r="AA33" i="2"/>
  <c r="AA32" i="2"/>
  <c r="AA31" i="2"/>
  <c r="N26" i="2"/>
  <c r="AA30" i="2"/>
  <c r="AA29" i="2"/>
  <c r="AA28" i="2"/>
  <c r="AA27" i="2"/>
  <c r="T27" i="2"/>
  <c r="T28" i="2" s="1"/>
  <c r="T29" i="2" s="1"/>
  <c r="T30" i="2" s="1"/>
  <c r="T31" i="2" s="1"/>
  <c r="T32" i="2" s="1"/>
  <c r="T33" i="2" s="1"/>
  <c r="T34" i="2" s="1"/>
  <c r="T35" i="2" s="1"/>
  <c r="T36" i="2" s="1"/>
  <c r="T37" i="2" s="1"/>
  <c r="T38" i="2" s="1"/>
  <c r="T39" i="2" s="1"/>
  <c r="T40" i="2" s="1"/>
  <c r="T41" i="2" s="1"/>
  <c r="T42" i="2" s="1"/>
  <c r="T43" i="2" s="1"/>
  <c r="T44" i="2" s="1"/>
  <c r="T45" i="2" s="1"/>
  <c r="T46" i="2" s="1"/>
  <c r="T47" i="2" s="1"/>
  <c r="T48" i="2" s="1"/>
  <c r="T49" i="2" s="1"/>
  <c r="T50" i="2" s="1"/>
  <c r="T51" i="2" s="1"/>
  <c r="T52" i="2" s="1"/>
  <c r="T53" i="2" s="1"/>
  <c r="T54" i="2" s="1"/>
  <c r="T56" i="2" s="1"/>
  <c r="T57" i="2" s="1"/>
  <c r="T58" i="2" s="1"/>
  <c r="T59" i="2" s="1"/>
  <c r="T60" i="2" s="1"/>
  <c r="T61" i="2" s="1"/>
  <c r="T62" i="2" s="1"/>
  <c r="T63" i="2" s="1"/>
  <c r="T64" i="2" s="1"/>
  <c r="T65" i="2" s="1"/>
  <c r="T66" i="2" s="1"/>
  <c r="T67" i="2" s="1"/>
  <c r="T68" i="2" s="1"/>
  <c r="T69" i="2" s="1"/>
  <c r="AA26" i="2"/>
  <c r="V21" i="2"/>
  <c r="AD78" i="2" l="1"/>
  <c r="AE78" i="2" s="1"/>
  <c r="AB79" i="2"/>
  <c r="AD79" i="2" s="1"/>
  <c r="AE79" i="2" s="1"/>
  <c r="AD26" i="2"/>
  <c r="AE26" i="2" s="1"/>
  <c r="R31" i="2"/>
  <c r="AD80" i="2"/>
  <c r="AE80" i="2" s="1"/>
  <c r="W81" i="2"/>
  <c r="W82" i="2" s="1"/>
  <c r="W83" i="2" s="1"/>
  <c r="W29" i="2"/>
  <c r="I80" i="2" l="1"/>
  <c r="I29" i="2"/>
  <c r="L108" i="2"/>
  <c r="L57" i="2"/>
  <c r="AB82" i="2"/>
  <c r="AD82" i="2" s="1"/>
  <c r="AE82" i="2" s="1"/>
  <c r="AB81" i="2"/>
  <c r="AD81" i="2" s="1"/>
  <c r="AE81" i="2" s="1"/>
  <c r="AB83" i="2"/>
  <c r="W84" i="2"/>
  <c r="AD28" i="2"/>
  <c r="AE28" i="2" s="1"/>
  <c r="AB29" i="2"/>
  <c r="W30" i="2"/>
  <c r="L118" i="2" l="1"/>
  <c r="W31" i="2"/>
  <c r="AB30" i="2"/>
  <c r="AD29" i="2"/>
  <c r="AE29" i="2" s="1"/>
  <c r="AB84" i="2"/>
  <c r="W85" i="2"/>
  <c r="AD83" i="2"/>
  <c r="AE83" i="2" s="1"/>
  <c r="AB85" i="2" l="1"/>
  <c r="W86" i="2"/>
  <c r="AD84" i="2"/>
  <c r="AE84" i="2" s="1"/>
  <c r="AD30" i="2"/>
  <c r="AE30" i="2" s="1"/>
  <c r="AB31" i="2"/>
  <c r="W32" i="2"/>
  <c r="AD31" i="2" l="1"/>
  <c r="AE31" i="2" s="1"/>
  <c r="AB86" i="2"/>
  <c r="W87" i="2"/>
  <c r="AD85" i="2"/>
  <c r="AE85" i="2" s="1"/>
  <c r="W33" i="2"/>
  <c r="AB32" i="2"/>
  <c r="W88" i="2" l="1"/>
  <c r="AB87" i="2"/>
  <c r="AD32" i="2"/>
  <c r="AE32" i="2" s="1"/>
  <c r="AD86" i="2"/>
  <c r="AE86" i="2" s="1"/>
  <c r="AB33" i="2"/>
  <c r="W34" i="2"/>
  <c r="W35" i="2" l="1"/>
  <c r="AB34" i="2"/>
  <c r="AD33" i="2"/>
  <c r="AE33" i="2" s="1"/>
  <c r="AD87" i="2"/>
  <c r="AE87" i="2" s="1"/>
  <c r="W89" i="2"/>
  <c r="AB88" i="2"/>
  <c r="AB89" i="2" l="1"/>
  <c r="W90" i="2"/>
  <c r="AD34" i="2"/>
  <c r="AE34" i="2" s="1"/>
  <c r="AD88" i="2"/>
  <c r="AE88" i="2" s="1"/>
  <c r="W36" i="2"/>
  <c r="AB35" i="2"/>
  <c r="AB36" i="2" l="1"/>
  <c r="W37" i="2"/>
  <c r="AD35" i="2"/>
  <c r="AE35" i="2" s="1"/>
  <c r="W91" i="2"/>
  <c r="AB90" i="2"/>
  <c r="AD89" i="2"/>
  <c r="AE89" i="2" s="1"/>
  <c r="AD90" i="2" l="1"/>
  <c r="AE90" i="2" s="1"/>
  <c r="W38" i="2"/>
  <c r="AB37" i="2"/>
  <c r="W92" i="2"/>
  <c r="AB91" i="2"/>
  <c r="AD36" i="2"/>
  <c r="AE36" i="2" s="1"/>
  <c r="AB92" i="2" l="1"/>
  <c r="W93" i="2"/>
  <c r="AD91" i="2"/>
  <c r="AE91" i="2" s="1"/>
  <c r="AB38" i="2"/>
  <c r="W39" i="2"/>
  <c r="AD37" i="2"/>
  <c r="AE37" i="2" s="1"/>
  <c r="W40" i="2" l="1"/>
  <c r="AB39" i="2"/>
  <c r="AB93" i="2"/>
  <c r="W94" i="2"/>
  <c r="AD38" i="2"/>
  <c r="AE38" i="2" s="1"/>
  <c r="AD92" i="2"/>
  <c r="AE92" i="2" s="1"/>
  <c r="AD93" i="2" l="1"/>
  <c r="AE93" i="2" s="1"/>
  <c r="AD39" i="2"/>
  <c r="AE39" i="2" s="1"/>
  <c r="W95" i="2"/>
  <c r="AB94" i="2"/>
  <c r="AB40" i="2"/>
  <c r="W41" i="2"/>
  <c r="AB41" i="2" l="1"/>
  <c r="W42" i="2"/>
  <c r="AD40" i="2"/>
  <c r="AE40" i="2" s="1"/>
  <c r="AD94" i="2"/>
  <c r="AE94" i="2" s="1"/>
  <c r="W96" i="2"/>
  <c r="AB95" i="2"/>
  <c r="W97" i="2" l="1"/>
  <c r="AB96" i="2"/>
  <c r="AD41" i="2"/>
  <c r="AE41" i="2" s="1"/>
  <c r="AD95" i="2"/>
  <c r="AE95" i="2" s="1"/>
  <c r="W43" i="2"/>
  <c r="AB42" i="2"/>
  <c r="AD96" i="2" l="1"/>
  <c r="AE96" i="2" s="1"/>
  <c r="W98" i="2"/>
  <c r="AB97" i="2"/>
  <c r="W44" i="2"/>
  <c r="AB43" i="2"/>
  <c r="AD42" i="2"/>
  <c r="AE42" i="2" s="1"/>
  <c r="AD97" i="2" l="1"/>
  <c r="AE97" i="2" s="1"/>
  <c r="AD43" i="2"/>
  <c r="AE43" i="2" s="1"/>
  <c r="W99" i="2"/>
  <c r="AB98" i="2"/>
  <c r="AB44" i="2"/>
  <c r="W45" i="2"/>
  <c r="AB45" i="2" l="1"/>
  <c r="W46" i="2"/>
  <c r="AB99" i="2"/>
  <c r="W100" i="2"/>
  <c r="AD98" i="2"/>
  <c r="AE98" i="2" s="1"/>
  <c r="AD44" i="2"/>
  <c r="AE44" i="2" s="1"/>
  <c r="AB100" i="2" l="1"/>
  <c r="W101" i="2"/>
  <c r="W47" i="2"/>
  <c r="AB46" i="2"/>
  <c r="AD99" i="2"/>
  <c r="AE99" i="2" s="1"/>
  <c r="AD45" i="2"/>
  <c r="AE45" i="2" s="1"/>
  <c r="AD100" i="2" l="1"/>
  <c r="AE100" i="2" s="1"/>
  <c r="W102" i="2"/>
  <c r="AB101" i="2"/>
  <c r="AD46" i="2"/>
  <c r="AE46" i="2" s="1"/>
  <c r="W48" i="2"/>
  <c r="AB47" i="2"/>
  <c r="W103" i="2" l="1"/>
  <c r="AB102" i="2"/>
  <c r="AD47" i="2"/>
  <c r="AE47" i="2" s="1"/>
  <c r="AD101" i="2"/>
  <c r="AE101" i="2" s="1"/>
  <c r="W49" i="2"/>
  <c r="AB48" i="2"/>
  <c r="AB103" i="2" l="1"/>
  <c r="W104" i="2"/>
  <c r="AB49" i="2"/>
  <c r="W50" i="2"/>
  <c r="AD48" i="2"/>
  <c r="AE48" i="2" s="1"/>
  <c r="AD102" i="2"/>
  <c r="AE102" i="2" s="1"/>
  <c r="AD49" i="2" l="1"/>
  <c r="AE49" i="2" s="1"/>
  <c r="AB104" i="2"/>
  <c r="W105" i="2"/>
  <c r="AD103" i="2"/>
  <c r="AE103" i="2" s="1"/>
  <c r="W51" i="2"/>
  <c r="AB50" i="2"/>
  <c r="AD50" i="2" l="1"/>
  <c r="AE50" i="2" s="1"/>
  <c r="W52" i="2"/>
  <c r="AB51" i="2"/>
  <c r="W107" i="2"/>
  <c r="AB105" i="2"/>
  <c r="AD104" i="2"/>
  <c r="AE104" i="2" s="1"/>
  <c r="AD51" i="2" l="1"/>
  <c r="AE51" i="2" s="1"/>
  <c r="AD105" i="2"/>
  <c r="AE105" i="2" s="1"/>
  <c r="AB107" i="2"/>
  <c r="W108" i="2"/>
  <c r="W53" i="2"/>
  <c r="AB52" i="2"/>
  <c r="AD52" i="2" l="1"/>
  <c r="AE52" i="2" s="1"/>
  <c r="W54" i="2"/>
  <c r="AB53" i="2"/>
  <c r="W109" i="2"/>
  <c r="AB108" i="2"/>
  <c r="AD107" i="2"/>
  <c r="AE107" i="2" s="1"/>
  <c r="AD108" i="2" l="1"/>
  <c r="AE108" i="2" s="1"/>
  <c r="AD53" i="2"/>
  <c r="AE53" i="2" s="1"/>
  <c r="W56" i="2"/>
  <c r="AB54" i="2"/>
  <c r="W110" i="2"/>
  <c r="AB109" i="2"/>
  <c r="AD109" i="2" l="1"/>
  <c r="AE109" i="2" s="1"/>
  <c r="AD54" i="2"/>
  <c r="AE54" i="2" s="1"/>
  <c r="AB56" i="2"/>
  <c r="W57" i="2"/>
  <c r="AB110" i="2"/>
  <c r="W111" i="2"/>
  <c r="AB111" i="2" l="1"/>
  <c r="W112" i="2"/>
  <c r="AD110" i="2"/>
  <c r="AE110" i="2" s="1"/>
  <c r="W58" i="2"/>
  <c r="AB57" i="2"/>
  <c r="AD56" i="2"/>
  <c r="AE56" i="2" s="1"/>
  <c r="AD111" i="2" l="1"/>
  <c r="AE111" i="2" s="1"/>
  <c r="AD57" i="2"/>
  <c r="AE57" i="2" s="1"/>
  <c r="AB112" i="2"/>
  <c r="W113" i="2"/>
  <c r="AB58" i="2"/>
  <c r="W59" i="2"/>
  <c r="W114" i="2" l="1"/>
  <c r="AB113" i="2"/>
  <c r="W60" i="2"/>
  <c r="AB59" i="2"/>
  <c r="AD58" i="2"/>
  <c r="AE58" i="2" s="1"/>
  <c r="AD112" i="2"/>
  <c r="AE112" i="2" s="1"/>
  <c r="AD113" i="2" l="1"/>
  <c r="AE113" i="2" s="1"/>
  <c r="W115" i="2"/>
  <c r="AB114" i="2"/>
  <c r="AD59" i="2"/>
  <c r="AE59" i="2" s="1"/>
  <c r="W61" i="2"/>
  <c r="AB60" i="2"/>
  <c r="AD114" i="2" l="1"/>
  <c r="AE114" i="2" s="1"/>
  <c r="W62" i="2"/>
  <c r="AB61" i="2"/>
  <c r="AB115" i="2"/>
  <c r="W116" i="2"/>
  <c r="AD60" i="2"/>
  <c r="AE60" i="2" s="1"/>
  <c r="AD115" i="2" l="1"/>
  <c r="AE115" i="2" s="1"/>
  <c r="AB62" i="2"/>
  <c r="W63" i="2"/>
  <c r="AD61" i="2"/>
  <c r="AE61" i="2" s="1"/>
  <c r="AB116" i="2"/>
  <c r="W117" i="2"/>
  <c r="W64" i="2" l="1"/>
  <c r="AB63" i="2"/>
  <c r="AD62" i="2"/>
  <c r="AE62" i="2" s="1"/>
  <c r="AB117" i="2"/>
  <c r="W118" i="2"/>
  <c r="AD116" i="2"/>
  <c r="AE116" i="2" s="1"/>
  <c r="W119" i="2" l="1"/>
  <c r="AB118" i="2"/>
  <c r="AD117" i="2"/>
  <c r="AE117" i="2" s="1"/>
  <c r="AD63" i="2"/>
  <c r="AE63" i="2" s="1"/>
  <c r="W65" i="2"/>
  <c r="AB64" i="2"/>
  <c r="AD118" i="2" l="1"/>
  <c r="AE118" i="2" s="1"/>
  <c r="AD64" i="2"/>
  <c r="AE64" i="2" s="1"/>
  <c r="W120" i="2"/>
  <c r="AB119" i="2"/>
  <c r="W66" i="2"/>
  <c r="AB65" i="2"/>
  <c r="AD119" i="2" l="1"/>
  <c r="AE119" i="2" s="1"/>
  <c r="AD65" i="2"/>
  <c r="AE65" i="2" s="1"/>
  <c r="AB66" i="2"/>
  <c r="W67" i="2"/>
  <c r="W121" i="2"/>
  <c r="AB121" i="2" s="1"/>
  <c r="AB120" i="2"/>
  <c r="AD66" i="2" l="1"/>
  <c r="AE66" i="2" s="1"/>
  <c r="W68" i="2"/>
  <c r="AB67" i="2"/>
  <c r="AD120" i="2"/>
  <c r="AE120" i="2" s="1"/>
  <c r="AD121" i="2"/>
  <c r="AE121" i="2" s="1"/>
  <c r="AB68" i="2" l="1"/>
  <c r="W69" i="2"/>
  <c r="AB69" i="2" s="1"/>
  <c r="AD67" i="2"/>
  <c r="AE67" i="2" s="1"/>
  <c r="AE122" i="2"/>
  <c r="L120" i="2" s="1"/>
  <c r="L11" i="2" s="1"/>
  <c r="AD69" i="2" l="1"/>
  <c r="AE69" i="2" s="1"/>
  <c r="AD68" i="2"/>
  <c r="AE68" i="2" s="1"/>
  <c r="AE70" i="2" l="1"/>
  <c r="L67" i="2" l="1"/>
  <c r="L69" i="2" s="1"/>
  <c r="L10" i="2" s="1"/>
  <c r="L12" i="2" s="1"/>
  <c r="L13" i="2" s="1"/>
  <c r="E61" i="13" l="1"/>
  <c r="F69" i="13" s="1"/>
  <c r="D3" i="14"/>
  <c r="B3" i="14"/>
  <c r="G116" i="13" l="1"/>
  <c r="G114"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5" authorId="0" shapeId="0" xr:uid="{00000000-0006-0000-0100-000001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7" authorId="0" shapeId="0" xr:uid="{00000000-0006-0000-0200-000001000000}">
      <text>
        <r>
          <rPr>
            <b/>
            <sz val="8"/>
            <color indexed="81"/>
            <rFont val="Tahoma"/>
            <family val="2"/>
          </rPr>
          <t xml:space="preserve"> MAYOR INGRESO OPERACIONAL DENTRO DE LOS 5 ÚLTIMOS AÑOS</t>
        </r>
        <r>
          <rPr>
            <sz val="8"/>
            <color indexed="81"/>
            <rFont val="Tahoma"/>
            <family val="2"/>
          </rPr>
          <t xml:space="preserve">
</t>
        </r>
      </text>
    </comment>
    <comment ref="H8" authorId="0" shapeId="0" xr:uid="{00000000-0006-0000-0200-000002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7" authorId="0" shapeId="0" xr:uid="{00000000-0006-0000-0300-000001000000}">
      <text>
        <r>
          <rPr>
            <b/>
            <sz val="8"/>
            <color indexed="81"/>
            <rFont val="Tahoma"/>
            <family val="2"/>
          </rPr>
          <t xml:space="preserve"> MAYOR INGRESO OPERACIONAL DENTRO DE LOS 5 ÚLTIMOS AÑOS</t>
        </r>
        <r>
          <rPr>
            <sz val="8"/>
            <color indexed="81"/>
            <rFont val="Tahoma"/>
            <family val="2"/>
          </rPr>
          <t xml:space="preserve">
</t>
        </r>
      </text>
    </comment>
    <comment ref="H8" authorId="0" shapeId="0" xr:uid="{00000000-0006-0000-0300-000002000000}">
      <text>
        <r>
          <rPr>
            <b/>
            <sz val="8"/>
            <color indexed="81"/>
            <rFont val="Tahoma"/>
            <family val="2"/>
          </rPr>
          <t xml:space="preserve"> MAYOR INGRESO OPERACIONAL DENTRO DE LOS 5 ÚLTIMOS AÑOS</t>
        </r>
        <r>
          <rPr>
            <sz val="8"/>
            <color indexed="81"/>
            <rFont val="Tahoma"/>
            <family val="2"/>
          </rPr>
          <t xml:space="preserve">
</t>
        </r>
      </text>
    </comment>
    <comment ref="H9" authorId="0" shapeId="0" xr:uid="{00000000-0006-0000-0300-000003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7" authorId="0" shapeId="0" xr:uid="{00000000-0006-0000-0400-000001000000}">
      <text>
        <r>
          <rPr>
            <b/>
            <sz val="8"/>
            <color indexed="81"/>
            <rFont val="Tahoma"/>
            <family val="2"/>
          </rPr>
          <t xml:space="preserve"> MAYOR INGRESO OPERACIONAL DENTRO DE LOS 5 ÚLTIMOS AÑOS</t>
        </r>
        <r>
          <rPr>
            <sz val="8"/>
            <color indexed="81"/>
            <rFont val="Tahoma"/>
            <family val="2"/>
          </rPr>
          <t xml:space="preserve">
</t>
        </r>
      </text>
    </comment>
    <comment ref="H8" authorId="0" shapeId="0" xr:uid="{00000000-0006-0000-0400-000002000000}">
      <text>
        <r>
          <rPr>
            <b/>
            <sz val="8"/>
            <color indexed="81"/>
            <rFont val="Tahoma"/>
            <family val="2"/>
          </rPr>
          <t xml:space="preserve"> MAYOR INGRESO OPERACIONAL DENTRO DE LOS 5 ÚLTIMOS AÑOS</t>
        </r>
        <r>
          <rPr>
            <sz val="8"/>
            <color indexed="81"/>
            <rFont val="Tahoma"/>
            <family val="2"/>
          </rPr>
          <t xml:space="preserve">
</t>
        </r>
      </text>
    </comment>
    <comment ref="H9" authorId="0" shapeId="0" xr:uid="{00000000-0006-0000-0400-000003000000}">
      <text>
        <r>
          <rPr>
            <b/>
            <sz val="8"/>
            <color indexed="81"/>
            <rFont val="Tahoma"/>
            <family val="2"/>
          </rPr>
          <t xml:space="preserve"> MAYOR INGRESO OPERACIONAL DENTRO DE LOS 5 ÚLTIMOS AÑOS</t>
        </r>
        <r>
          <rPr>
            <sz val="8"/>
            <color indexed="81"/>
            <rFont val="Tahoma"/>
            <family val="2"/>
          </rPr>
          <t xml:space="preserve">
</t>
        </r>
      </text>
    </comment>
    <comment ref="H10" authorId="0" shapeId="0" xr:uid="{00000000-0006-0000-0400-000004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7" authorId="0" shapeId="0" xr:uid="{00000000-0006-0000-0500-000001000000}">
      <text>
        <r>
          <rPr>
            <b/>
            <sz val="8"/>
            <color indexed="81"/>
            <rFont val="Tahoma"/>
            <family val="2"/>
          </rPr>
          <t xml:space="preserve"> MAYOR INGRESO OPERACIONAL DENTRO DE LOS 5 ÚLTIMOS AÑOS</t>
        </r>
        <r>
          <rPr>
            <sz val="8"/>
            <color indexed="81"/>
            <rFont val="Tahoma"/>
            <family val="2"/>
          </rPr>
          <t xml:space="preserve">
</t>
        </r>
      </text>
    </comment>
    <comment ref="H8" authorId="0" shapeId="0" xr:uid="{00000000-0006-0000-0500-000002000000}">
      <text>
        <r>
          <rPr>
            <b/>
            <sz val="8"/>
            <color indexed="81"/>
            <rFont val="Tahoma"/>
            <family val="2"/>
          </rPr>
          <t xml:space="preserve"> MAYOR INGRESO OPERACIONAL DENTRO DE LOS 5 ÚLTIMOS AÑOS</t>
        </r>
        <r>
          <rPr>
            <sz val="8"/>
            <color indexed="81"/>
            <rFont val="Tahoma"/>
            <family val="2"/>
          </rPr>
          <t xml:space="preserve">
</t>
        </r>
      </text>
    </comment>
    <comment ref="H9" authorId="0" shapeId="0" xr:uid="{00000000-0006-0000-0500-000003000000}">
      <text>
        <r>
          <rPr>
            <b/>
            <sz val="8"/>
            <color indexed="81"/>
            <rFont val="Tahoma"/>
            <family val="2"/>
          </rPr>
          <t xml:space="preserve"> MAYOR INGRESO OPERACIONAL DENTRO DE LOS 5 ÚLTIMOS AÑOS</t>
        </r>
        <r>
          <rPr>
            <sz val="8"/>
            <color indexed="81"/>
            <rFont val="Tahoma"/>
            <family val="2"/>
          </rPr>
          <t xml:space="preserve">
</t>
        </r>
      </text>
    </comment>
    <comment ref="H10" authorId="0" shapeId="0" xr:uid="{00000000-0006-0000-0500-000004000000}">
      <text>
        <r>
          <rPr>
            <b/>
            <sz val="8"/>
            <color indexed="81"/>
            <rFont val="Tahoma"/>
            <family val="2"/>
          </rPr>
          <t xml:space="preserve"> MAYOR INGRESO OPERACIONAL DENTRO DE LOS 5 ÚLTIMOS AÑOS</t>
        </r>
        <r>
          <rPr>
            <sz val="8"/>
            <color indexed="81"/>
            <rFont val="Tahoma"/>
            <family val="2"/>
          </rPr>
          <t xml:space="preserve">
</t>
        </r>
      </text>
    </comment>
    <comment ref="H11" authorId="0" shapeId="0" xr:uid="{00000000-0006-0000-0500-000005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sharedStrings.xml><?xml version="1.0" encoding="utf-8"?>
<sst xmlns="http://schemas.openxmlformats.org/spreadsheetml/2006/main" count="2213" uniqueCount="288">
  <si>
    <t>CUMPLE</t>
  </si>
  <si>
    <t>HABILITADO</t>
  </si>
  <si>
    <t>SI</t>
  </si>
  <si>
    <t>NO CUMPLE</t>
  </si>
  <si>
    <t>NO HABILITADO</t>
  </si>
  <si>
    <t>NO</t>
  </si>
  <si>
    <t>N° DE PROPONENTE</t>
  </si>
  <si>
    <t>NOMBRE DEL PROPONENTE</t>
  </si>
  <si>
    <t>N/A</t>
  </si>
  <si>
    <t>EDIFICIO</t>
  </si>
  <si>
    <t>PPTO OFICIAL</t>
  </si>
  <si>
    <t>CRITERIOS DE EVALUACION DE EXPERIENCIA</t>
  </si>
  <si>
    <t xml:space="preserve">Cantidad de contratos para acreditar la experiencia mínima 
</t>
  </si>
  <si>
    <t>Valor de los contratos para acreditar experiencia.</t>
  </si>
  <si>
    <t>Número de contratos con los cuales el Proponente cumple la experiencia acreditada</t>
  </si>
  <si>
    <t xml:space="preserve">Valor mínimo a certificar
(como % del Presupuesto Oficial expresado en SMMLV)
</t>
  </si>
  <si>
    <t>Experiencia acreditada por proponentes plurales</t>
  </si>
  <si>
    <t>Clasificación de la experiencia en el "Clasificador de bienes, obras y servicios de las Naciones Unidas"</t>
  </si>
  <si>
    <t>Los Contratos aportados para efectos de acreditación de la experiencia requerida deben estar clasificados en alguno de los siguientes códigos: 721033 - 721029 - 721015</t>
  </si>
  <si>
    <t>1. EVALUACION DE EXPERIENCIA</t>
  </si>
  <si>
    <t>FECHA DE EVALUACIÓN</t>
  </si>
  <si>
    <t>PROPONENTE</t>
  </si>
  <si>
    <t>VERIFICACIÓN RUP</t>
  </si>
  <si>
    <t>VERIFICACION MYPINES Y MUJERES</t>
  </si>
  <si>
    <t>VERIFICACION PORCENTAJES EXPERIENCIA APORTADA CONSORCIO</t>
  </si>
  <si>
    <t xml:space="preserve">INTEGRANTE PROPONENTE PLURAL </t>
  </si>
  <si>
    <t>PARTICIPACIÓN</t>
  </si>
  <si>
    <t>MYPIMES</t>
  </si>
  <si>
    <t>MUJERES</t>
  </si>
  <si>
    <t>MYPIMES + MUJERES</t>
  </si>
  <si>
    <t>EXPERIENCIA GENERAL Y ESPECÍFICA DEL OFERENTE</t>
  </si>
  <si>
    <t>N°</t>
  </si>
  <si>
    <t>NUMERO DE CONTRATO EN EL RUP</t>
  </si>
  <si>
    <t>NOMBRE DEL CONTRATANTE</t>
  </si>
  <si>
    <t>OBJETO DEL CONTRATO</t>
  </si>
  <si>
    <t>FECHA DE INICIO</t>
  </si>
  <si>
    <t>FECHA DE FINALIZACION</t>
  </si>
  <si>
    <t>VALOR TOTAL EN PESOS</t>
  </si>
  <si>
    <r>
      <t xml:space="preserve">VALOR TOTAL EN SMMLV -RUP
</t>
    </r>
    <r>
      <rPr>
        <sz val="10"/>
        <color rgb="FF000000"/>
        <rFont val="Arial"/>
        <family val="2"/>
      </rPr>
      <t xml:space="preserve">La conversión a valor presente para toda la información presentada se debe hacer con el valor del salario mínimo mensual legal vigente (SMMLV) en la fecha de terminación </t>
    </r>
  </si>
  <si>
    <t xml:space="preserve">PORCENTAJE DE PARTICIPACION PARA CONSORCIOS O UNIONES TEMPORALES </t>
  </si>
  <si>
    <t>VALOR  CERTIFICADO EN SMMLV</t>
  </si>
  <si>
    <t>BIC
(especificar ámbito)</t>
  </si>
  <si>
    <t>CUMPLE / NO CUMPLE</t>
  </si>
  <si>
    <t>OBSERVACIONES
 (En caso de subsane, Indicar claramente lo que se debe subsanar)</t>
  </si>
  <si>
    <t>TOTAL</t>
  </si>
  <si>
    <t xml:space="preserve">PRESUPUESTO OFICIAL </t>
  </si>
  <si>
    <t>PRESUPUESTO OFICIAL EN SMMLV</t>
  </si>
  <si>
    <t>RESULTADOS VALIDACIÓN DE LA EXPERIENCIA DEL PROPONENTE</t>
  </si>
  <si>
    <t>2. CRP - CAPACIDAD RESIDUAL PROPONENTE</t>
  </si>
  <si>
    <t>CONDICIÓN DEL PROPONENTE</t>
  </si>
  <si>
    <t>OBSERVACIONES:</t>
  </si>
  <si>
    <t>*Ver evaluación CRPC en anexo 1</t>
  </si>
  <si>
    <t>RESULTADO FACTORES HABILITANTES</t>
  </si>
  <si>
    <t>PROPONENTE CUMPLE CON LA EVALUACIÓN TÉCNICA</t>
  </si>
  <si>
    <t>EXPERIENCIA</t>
  </si>
  <si>
    <t>CRP</t>
  </si>
  <si>
    <t>3. ASIGNACIÓN DE PUNTAJE ( Los puntajes aquí reflejados solo se darán al proponente si este se encuentra habilitado de acuerdo al capítulo 4. del documeto base)</t>
  </si>
  <si>
    <t>FACTOR DE CALIDAD</t>
  </si>
  <si>
    <t>FORMATO</t>
  </si>
  <si>
    <t>ACREDITA
Si/No</t>
  </si>
  <si>
    <t>PUNTAJE ASIGNADO</t>
  </si>
  <si>
    <t>OBSERVACIONES</t>
  </si>
  <si>
    <t>Presentación de un plan de calidad</t>
  </si>
  <si>
    <t>7C</t>
  </si>
  <si>
    <t>APOYO A LA INDUSTRIA NACIONAL (en ningún caso otorgará simultáneamente el puntaje por ambos aspectos)</t>
  </si>
  <si>
    <t>PRESENTA 
Si/No</t>
  </si>
  <si>
    <t>Promoción de Servicios Nacionales o con Trato Nacional</t>
  </si>
  <si>
    <t>9A</t>
  </si>
  <si>
    <t>Incorporación de componente nacional en servicios extranjeros</t>
  </si>
  <si>
    <t>EMPRENDIMIENTOS Y EMPRESAS DE MUJERES</t>
  </si>
  <si>
    <t>Acreditación de emprendimientos y empresas de mujeres y aportar la documentación requerida</t>
  </si>
  <si>
    <t>Cuando más del cincuenta por ciento (50%) de las acciones, partes de interés o cuotas de participación de la persona jurídica pertenezcan a mujeres y los derechos de propiedad hayan pertenecido a estas durante al menos el último año anterior a la fecha de cierre del Proceso de Selección. Esta circunstancia se acreditará mediante certificación expedida por el representante legal y el revisor fiscal, cuando exista de acuerdo con los requerimientos de ley, o el contador, donde conste la distribución de los derechos en la sociedad y el tiempo en el que las mujeres han mantenido su participación. </t>
  </si>
  <si>
    <t xml:space="preserve">Cuando 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 Se entenderá como empleos del nivel directivo aquellos cuyas funciones están relacionadas con la dirección de áreas misionales de la empresa y la toma de decisiones a nivel estratégico. En este sentido, serán cargos de nivel directivo los que dentro de la organización de la empresa se encuentran ubicados en un nivel de mando o los que por su jerarquía desempeñan cargos encaminados al cumplimiento de funciones orientadas a representar al empleador. Esta circunstancia se acreditará mediante certificación expedida por el representante legal y el revisor fiscal, cuando exista de acuerdo con los requerimientos de ley, o el contador, donde se señale de manera detallada todas las personas que conforman los cargos de nivel directivo del proponente, el número de mujeres y el tiempo de vinculación. La certificación deberá relacionar el nombre completo y el número de documento de identidad de cada una de las personas que conforman el nivel directivo del proponente. Como soporte, se anexará copia de los respectivos documentos de identidad, copia de los contratos de trabajo o certificación laboral con las funciones, así como el certificado de aportes a seguridad social del último año en el que se demuestren los pagos realizados por el empleador. </t>
  </si>
  <si>
    <t xml:space="preserve">CASILLAS DE VERIFICACIÓN </t>
  </si>
  <si>
    <t>Cuando la persona natural sea una mujer y haya ejercido actividades comerciales a través de un establecimiento de comercio durante al menos el último año anterior a la fecha de cierre del proceso de selección. Esta circunstancia se acreditará mediante la copia de cédula de ciudadanía, la cédula de extranjería o el pasaporte, así como la copia del registro mercantil. </t>
  </si>
  <si>
    <t>Para las asociaciones y cooperativas, cuando más del cincuenta por ciento (50%) de los asociados sean mujeres y la participación haya correspondido a estas durante al menos el último año anterior a la fecha de cierre del Proceso de Selección. Esta circunstancia se acreditará mediante certificación expedida por el representante legal.</t>
  </si>
  <si>
    <t xml:space="preserve">Nombre del Integrante del proponente plural </t>
  </si>
  <si>
    <t xml:space="preserve">Cumple con  participación igual o superior al 10 % </t>
  </si>
  <si>
    <t>4. CONSOLIDADO VERIFICACIÓN DE REQUISITOS TECNICOS HABILITANTES Y FACTORES DE CALIFICACION DIFERENTES AL ECONÓMICO</t>
  </si>
  <si>
    <t>EVALUACIÓN TÉCNICA</t>
  </si>
  <si>
    <t>1. EVALUACIÓN EXPERIENCIA</t>
  </si>
  <si>
    <t>2. EVALUACIÓN CRPC - CAPACIDAD RESIDUAL PROCESO DE CONTRATACIÓN</t>
  </si>
  <si>
    <t>3. ASIGNACIÓN DE PUNTAJE</t>
  </si>
  <si>
    <t>APOYO A LA INDUSTRIA NACIONAL</t>
  </si>
  <si>
    <t>MULTAS - REDUCIR 2 PUNTOS A LOS PROPONENTES QUE HAYAN TENIDO MULTAS O CLÁUSULAS PENALES EL ÚLTIMO AÑO*</t>
  </si>
  <si>
    <t xml:space="preserve">TOTAL PUNTAJE ASIGNADO </t>
  </si>
  <si>
    <t>Nota 1. La calificación aquí reflejada se asignará únicamente a los proponentes que resulten habilitados, de manera tal que los puntajes aquí diligenciados son a los que se haría acreedor el proponente en el evento en que se habilite.</t>
  </si>
  <si>
    <t>SMMLV</t>
  </si>
  <si>
    <t>ANEXO 1- 2. CRP - CAPACIDAD RESIDUAL PROPONENTE</t>
  </si>
  <si>
    <t>NOMBRE PROPONENTE</t>
  </si>
  <si>
    <t>% DE PARTICIPACIÓN</t>
  </si>
  <si>
    <t>INGRESO OPERACIONAL (más alto de los últimos cinco (5) años)</t>
  </si>
  <si>
    <t>ACTIVO CORRIENTE</t>
  </si>
  <si>
    <t>PASIVO CORRIENTE</t>
  </si>
  <si>
    <t>Número de socios y profesionales de la arquitectura, ingeniería y geología vinculados.</t>
  </si>
  <si>
    <t>SALDO DE LOS CONTRATOS EN EJECUCIÓN</t>
  </si>
  <si>
    <t>CAPACIDAD RESIDUAL DEL PROCESO</t>
  </si>
  <si>
    <t>Vr. Presupuesto Oficial ($)</t>
  </si>
  <si>
    <t>Vr. Anticipo</t>
  </si>
  <si>
    <t>Plazo Meses</t>
  </si>
  <si>
    <t>Vr. Capacidad Residual proceso</t>
  </si>
  <si>
    <t>CAPACIDAD RESIDUAL DEL PROCESO DE CONTRATACIÓN</t>
  </si>
  <si>
    <t>PORCENTAJE DE PARTICIPACIÓN</t>
  </si>
  <si>
    <t>Capacidad Residual Proponente</t>
  </si>
  <si>
    <t>Factor</t>
  </si>
  <si>
    <t>P. M.</t>
  </si>
  <si>
    <t>Experiencia. (- E -)</t>
  </si>
  <si>
    <t>Capacidad Financiera. (CF)</t>
  </si>
  <si>
    <t>IDENTIFICACIÓN DEL PROPONENTE:</t>
  </si>
  <si>
    <t>Capacidad Técnica. (CT)</t>
  </si>
  <si>
    <t>SMMLV 2024</t>
  </si>
  <si>
    <t>FECHA CIERRE</t>
  </si>
  <si>
    <t>CAPACIDAD DE ORGANIZACIÓN. (CO)</t>
  </si>
  <si>
    <t>ÍTEMS</t>
  </si>
  <si>
    <t>CONTRATO
No.</t>
  </si>
  <si>
    <t>FECHA INICIO
(DD/MM/AAAA)</t>
  </si>
  <si>
    <t>FECHA TERMINACIÓN
(DD/MM/AAAA)</t>
  </si>
  <si>
    <t>FECHA SUSPENSIÓN
(DD/MM/AA)
SI APLICA</t>
  </si>
  <si>
    <t>VALOR DEL CONTRATO 
( MONEDA LEGAL
 COLOMBIANA)</t>
  </si>
  <si>
    <t>PORCENTAJE (%)
DE PARTICIPACIÓN</t>
  </si>
  <si>
    <t xml:space="preserve">
VR. FINAL DEL CONTRATO
EN EJECUCIÓN
</t>
  </si>
  <si>
    <t>PLAZO EJECUCIÓN 
(Días)</t>
  </si>
  <si>
    <t>PLAZO EJECUTADO 
(Días)</t>
  </si>
  <si>
    <t>PLAZO POR EJECUTAR
 (Días)</t>
  </si>
  <si>
    <t>SALDO POR EJECUTAR</t>
  </si>
  <si>
    <t>Información Financiera. (Máximo 5 años anteriores)</t>
  </si>
  <si>
    <t>Ingresos Operacionales</t>
  </si>
  <si>
    <t>Ingreso Operacional más alto de los últimos cinco (5) años</t>
  </si>
  <si>
    <t>M1</t>
  </si>
  <si>
    <t>EXPERIENCIA DEL PROPONENTE (-E-)</t>
  </si>
  <si>
    <t>DÍAS</t>
  </si>
  <si>
    <t>MESES</t>
  </si>
  <si>
    <t>M2</t>
  </si>
  <si>
    <t>Relación de contratos RUP en SMML</t>
  </si>
  <si>
    <t>M3</t>
  </si>
  <si>
    <t>No</t>
  </si>
  <si>
    <t>Valor Contrato</t>
  </si>
  <si>
    <t>Segmento 72 "Servicios de Edificación, Construcción de Instalaciones y Mantenimiento"</t>
  </si>
  <si>
    <t>M4</t>
  </si>
  <si>
    <t>INGRESOS MIN US$</t>
  </si>
  <si>
    <t>TRM VIGENTE</t>
  </si>
  <si>
    <t>INGRESOS OP. MIN</t>
  </si>
  <si>
    <t>M5</t>
  </si>
  <si>
    <t>M6</t>
  </si>
  <si>
    <t xml:space="preserve">UMBRAL PYMES 2023 - 2024 COLOMBIA COMPRA </t>
  </si>
  <si>
    <t>M7</t>
  </si>
  <si>
    <t xml:space="preserve"> Experiencia veces</t>
  </si>
  <si>
    <t>puntaje</t>
  </si>
  <si>
    <t>M8</t>
  </si>
  <si>
    <t>M9</t>
  </si>
  <si>
    <t>M10</t>
  </si>
  <si>
    <t>M11</t>
  </si>
  <si>
    <t>M12</t>
  </si>
  <si>
    <t>Índice liquidez</t>
  </si>
  <si>
    <t>M13</t>
  </si>
  <si>
    <t>M14</t>
  </si>
  <si>
    <t>M15</t>
  </si>
  <si>
    <t>M16</t>
  </si>
  <si>
    <t>M17</t>
  </si>
  <si>
    <t>M18</t>
  </si>
  <si>
    <t>Socios y Profesionales</t>
  </si>
  <si>
    <t>M19</t>
  </si>
  <si>
    <t>M20</t>
  </si>
  <si>
    <t>M21</t>
  </si>
  <si>
    <t>M22</t>
  </si>
  <si>
    <t>M23</t>
  </si>
  <si>
    <t>M24</t>
  </si>
  <si>
    <t>Valor total Contratos RUP (SMML)</t>
  </si>
  <si>
    <t>M25</t>
  </si>
  <si>
    <t>Valor Total Contratos RUP ($)</t>
  </si>
  <si>
    <t>M26</t>
  </si>
  <si>
    <t>Valor experiencia = (Valor Contratos  RUP/Ppto Oficial)</t>
  </si>
  <si>
    <t>M27</t>
  </si>
  <si>
    <t>PUNTAJE EXPERIENCIA</t>
  </si>
  <si>
    <t>M28</t>
  </si>
  <si>
    <t>CAPACIDAD FINANCIERA (CF)</t>
  </si>
  <si>
    <t>M29</t>
  </si>
  <si>
    <t>Activo Corriente último año</t>
  </si>
  <si>
    <t>M30</t>
  </si>
  <si>
    <t>Pasivo Corriente último año</t>
  </si>
  <si>
    <t>M31</t>
  </si>
  <si>
    <t>Índice de liquidez</t>
  </si>
  <si>
    <t>M32</t>
  </si>
  <si>
    <t>PUNTAJE CAPACIDAD FINANCIERA</t>
  </si>
  <si>
    <t>M33</t>
  </si>
  <si>
    <t>CAPACIDAD TÉCNICA (CT)</t>
  </si>
  <si>
    <t>M34</t>
  </si>
  <si>
    <t>M35</t>
  </si>
  <si>
    <t>PUNTAJE CAPACIDAD TÉCNICA</t>
  </si>
  <si>
    <t>M36</t>
  </si>
  <si>
    <t>M37</t>
  </si>
  <si>
    <t>M38</t>
  </si>
  <si>
    <t>M39</t>
  </si>
  <si>
    <t>M40</t>
  </si>
  <si>
    <t>M41</t>
  </si>
  <si>
    <t>M42</t>
  </si>
  <si>
    <t>Aporta Estado de resultados integral (estado de resultado o pérdida o ganancias), del año en que hayan obtenido el mayor ingreso operacional en los últimos cinco (5) años, debidamente firmado por el representante legal y el contador bajo cuya responsabilidad se han preparado y por el revisor fiscal o, en caso de no haberlo, por no estar obligado a tenerlo, por contador público independiente, acompañados de su dictamen u opinión de conformidad con el artículo 38 de la Ley 222 de 1995</t>
  </si>
  <si>
    <t>Aporta copia de la tarjeta profesional y certificado de antecedentes disciplinarios vigentes de los contadores públicos, revisores fiscales, contadores independientes (externos), quienes suscribieron los documentos señalados en el anterior punto</t>
  </si>
  <si>
    <t>M43</t>
  </si>
  <si>
    <t>SALDO POR EJECUTAR DE LOS CONTRATOS EN EJECUCIÓN</t>
  </si>
  <si>
    <t>PLAZO</t>
  </si>
  <si>
    <t>GRUPO 1. SALUD MENTAL</t>
  </si>
  <si>
    <t>GRUPO 3. JARDÍN INFANTIL</t>
  </si>
  <si>
    <t>GRUPO 4. CUNDIFARMA</t>
  </si>
  <si>
    <t>GRUPO 5. INMUNOLÓGICO</t>
  </si>
  <si>
    <t>GRUPO 6. CAPILLA CONVENTO</t>
  </si>
  <si>
    <t>GRUPO 7. SAN JORGE</t>
  </si>
  <si>
    <t xml:space="preserve">NOMBRE DEL PROPONENTE </t>
  </si>
  <si>
    <t>INTEGRANTES</t>
  </si>
  <si>
    <t>NOMBRE INTEGRANTES</t>
  </si>
  <si>
    <t>SMMLV 2025</t>
  </si>
  <si>
    <t>Capacidad de Organización. (CO)</t>
  </si>
  <si>
    <t>Experiencia del Proponente (-E-)</t>
  </si>
  <si>
    <t>PRESUPUESTO OFICIAL</t>
  </si>
  <si>
    <t>GRUPO 2. SAN ROQUE</t>
  </si>
  <si>
    <t>Capacidad Financiera (CF)</t>
  </si>
  <si>
    <t>ANTICIPO</t>
  </si>
  <si>
    <t>ANEXO 1- 2. CRPC - CAPACIDAD RESIDUAL PROCESO DE CONTRATACIÓN</t>
  </si>
  <si>
    <t>SINGULAR</t>
  </si>
  <si>
    <t>PLURAL 2</t>
  </si>
  <si>
    <t>PLURAL 3</t>
  </si>
  <si>
    <t>PLURAL 4</t>
  </si>
  <si>
    <t>PLURAL 5</t>
  </si>
  <si>
    <t>ACREDITA % PRESUPUESTO OFICIAL</t>
  </si>
  <si>
    <t>EVALUACION TÉCNICA PRELIMINAR
EXPERIENCIA GENERAL Y ESPECÍFICA DEL OFERENTE
ASIGNACIÓN DE PUNTAJE
CRPC - CAPACIDAD RESIDUAL PROCESO DE CONTRATACIÓN
MC-SA-MC-0001-2026 - Realizar las obras de reparaciones locativas del inmueble Casa Museo Guillermo León Valencia de Popayán - Cauca, ubicado en el centro histórico declarado bien de interés cultural del ámbito nacional</t>
  </si>
  <si>
    <t>Casa Museo Guillermo León Valencia de Popayán - Cauca</t>
  </si>
  <si>
    <t>De 1 a 2</t>
  </si>
  <si>
    <t>De 2 a 4</t>
  </si>
  <si>
    <t>hasta 5</t>
  </si>
  <si>
    <t>Experiencia exigida</t>
  </si>
  <si>
    <t>EXPERIENCIA GENERAL: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</si>
  <si>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EXPERIENCIA ESPECIFICA:
1. Por lo menos uno (1) de los contratos válidos aportados como experiencia general debe corresponder mínimo al 30% del presupuesto oficial del presente proceso de selección
</t>
  </si>
  <si>
    <t>EXPERIENCIA ESPECIFICA:
2. 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t>
  </si>
  <si>
    <t>EXPERIENCIA ESPECIFICA:
3. Por lo menos uno (1) de los contratos válidos aportados como experiencia general (diferente al indicado en el numeral 1)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t>
  </si>
  <si>
    <t>EXPERIENCIA ESPECIFICA:
4.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</si>
  <si>
    <t>El Proponente podrá acreditar la experiencia solicitada con mínimo uno (1) y máximo cinco (5) Contratos, los cuales serán evaluados teniendo en cuenta la tabla del numeral 3.5.8 del Pliego de Condiciones, así como el contenido de la Matriz 1 – Experiencia. aplicable en el proyecto de infraestructura social bien sea de salud, educación, institucional, vivienda, cultura, recreación y deporte.</t>
  </si>
  <si>
    <t>El Proponente persona natural o jurídica que acredite la calidad de Mipyme o de emprendimiento y empresa de mujer con domicilio en el territorio nacional de conformidad con lo previsto en el artículo 2.2.1.13.2.2 del Decreto 1074 de 2015 y los artículos 2.2.1.2.4.2.4. y 2.2.1.2.4.2.14 del Decreto 1082 de 2015, o las normas que los modifiquen, sustituyan o complementen, podrá probar la experiencia solicitada con un (1) Contrato adicional a los cinco (5) inicialmente previstos, para un máximo de seis (6) Contratos.</t>
  </si>
  <si>
    <t>En caso de que el Proponente persona natural o jurídica acredite la calidad de Mipyme y de emprendimiento y empresa de mujer con domicilio en el territorio nacional de manera conjunta, podrá demostrar la experiencia solicitada con dos (2) Contratos adicionales a los cinco (5) inicialmente previstos, para un máximo de siete (7).</t>
  </si>
  <si>
    <t>Para el caso de Proponentes Plurales bastará con que uno de sus integrantes tenga una participación igual o superior al diez por ciento (10 %) en el Consorcio o en la Unión Temporal y acredite la calidad de Mipyme o emprendimiento y empresa de mujer de conformidad con lo previsto en el artículo 2.2.1.13.2.2 del Decreto 1074 de 2015 y los artículos 2.2.1.2.4.2.4. y 2.2.1.2.4.2.14 del Decreto 1082 de 2015, o las normas que los modifiquen, sustituyan o complementen, para probar la experiencia solicitada con un (1) Contrato adicional a los cinco (5) inicialmente contemplados, para un máximo de seis (6) Contratos.
En caso de que el mismo integrante u otro que haga parte del Proponente Plural tenga una participación igual o superior al diez por ciento (10 %) en el Consorcio o en la Unión Temporal y acredite la calidad de Mipyme y de emprendimiento y empresa de mujer con domicilio en el territorio nacional de manera conjunta o separada, podrá demostrar la experiencia solicitada con dos (2) Contratos adicionales a los cinco (5) inicialmente previstos, para un máximo de siete (7) Contratos. En todo caso no será posible aportar más de dos (2) Contratos adicionales aun cuando otros integrantes del Proponente Plural también cumplan las condiciones previamente definidas.</t>
  </si>
  <si>
    <t>E.- Los Contratos aportados como experiencia válida y que correspondan a edificaciones debieron iniciar su ejecución luego de la expedición del Reglamento Colombiano de Construcción Sismo Resistente (NSR-98), esto es, después del 9 de enero de 1998.
F.- Únicamente uno (1) de los Contratos relacionados como experiencia en edificaciones podrá haber iniciado ejecución antes del 9 de enero de 1998, fecha en la cual se expidió la NSR-98.
G.- Si el Proponente relaciona un (1) único Contrato para acreditar la experiencia solicitada, este deberá haber iniciado, ejecutado, terminado, liquidado y recibido a satisfacción luego del 15 de julio de 2010, fecha en la cual entró en vigencia la NSR-10, y haya terminado su ejecución antes de la fecha de cierre del presente procedimiento de selección.
H.- Por lo menos uno (1) de los Contratos válidos aportados como experiencia debe haber iniciado ejecución con posterioridad a la expedición de la NSR-10, el cual debió haberse ejecutado y terminado antes de la fecha de cierre del presente Proceso de Contratación.
I.- Las reglas de los literales E, F, G y H también aplicarán para los Contratos ejecutados fuera del territorio colombiano, teniendo como referente las fechas establecidas en dichos literales. En todo caso, el proyecto de infraestructura social que se pretende ejecutar deberá cumplir con los estándares y normativa establecida para Colombia.</t>
  </si>
  <si>
    <t>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cualquier requisito de experiencia solicitada en el Pliego de Condiciones, y se calcularán sobre el “valor mínimo a certificar (como % del Presupuesto Oficial de obra expresado en SMMLV)” de conformidad con el numeral 3.5.8. Independientemente de él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t>
  </si>
  <si>
    <t>EXPERIENCIA GENERAL</t>
  </si>
  <si>
    <t>EXPERIENCIA ESPECIFICA 1</t>
  </si>
  <si>
    <t>EXPERIENCIA ESPECIFICA 2</t>
  </si>
  <si>
    <t>EXPERIENCIA ESPECIFICA 3</t>
  </si>
  <si>
    <t>EXPERIENCIA ESPECIFICA 4</t>
  </si>
  <si>
    <t>VALOR SMMLV 2026</t>
  </si>
  <si>
    <t>Mipyme (0,25)</t>
  </si>
  <si>
    <t>EXPERIENCIA REQUERIDA PARA LA ACTIVIDAD PRINCIPAL</t>
  </si>
  <si>
    <t>CONTRATO 30% PO
(marcar con X)</t>
  </si>
  <si>
    <t>CONTRATO MATERIAL PREDOMINANTE
(especificar madera y/o guadua y/o bahareque y/o tapia pisada y/o adobe)</t>
  </si>
  <si>
    <t>Presentación de Criterio ambiental</t>
  </si>
  <si>
    <t>Presentación de Criterio social</t>
  </si>
  <si>
    <t>14 A</t>
  </si>
  <si>
    <t>14 B</t>
  </si>
  <si>
    <t xml:space="preserve">Formato – Acreditación de emprendimientos y empresas de mujeres, el cual deberá aportarse con la documentación requerida en el artículo 2.2.1.2.4.2.14 del Decreto 1082 de 2015, o la norma que lo modifique, complemente o sustituya. </t>
  </si>
  <si>
    <t>12-A</t>
  </si>
  <si>
    <t>SMLMV</t>
  </si>
  <si>
    <t>CONSORCIO MANTENIMIENTOS</t>
  </si>
  <si>
    <t>Juan Pablo Dorado Martínez</t>
  </si>
  <si>
    <t>Dorado Asociados SAS</t>
  </si>
  <si>
    <t>certificado del contador DIEGO OSORIO PUERTA DEL 25 DE FEBRERO DE 2026</t>
  </si>
  <si>
    <t>general y específica</t>
  </si>
  <si>
    <t>JPDM: 050</t>
  </si>
  <si>
    <t>JPDM: 060</t>
  </si>
  <si>
    <t>JPDM: 064 / DORADO: 022</t>
  </si>
  <si>
    <t>JPDM: 070</t>
  </si>
  <si>
    <t>JPDM: 054</t>
  </si>
  <si>
    <t>JPDM: 063</t>
  </si>
  <si>
    <t>Fontur</t>
  </si>
  <si>
    <t>IDPC</t>
  </si>
  <si>
    <t>Ministerio de Cultura</t>
  </si>
  <si>
    <t>Alcaldia de Envigado</t>
  </si>
  <si>
    <t>Gobernación de Caldas</t>
  </si>
  <si>
    <t>Realizar las obras para la "Restauración de lo parroquia San José en el: municipio de Aracataca en el departamento de Magdalena" de acuerdo! a los planos, presupuestos, cantidades, análisis de precios unitario ' (APU' s) y demás especificaciones técnicas</t>
  </si>
  <si>
    <t>Ejecutar la obra por precios unitarios fijos sin fórmula de reajuste para la primera etapa de la restauración integral de la basílica menor - iglesia del Sagrafdo corazón de Jesús del voto nacional. Ubicada en la cra 15 No 10-43 en la ciudad de Bogotá D,C</t>
  </si>
  <si>
    <t>Contratar la restauración de la casa de la Cultura Francisco de Paula Santander del Municipio de Villa del Rosario en el departamento de Norte de Santander</t>
  </si>
  <si>
    <t>Realizar las obras deRestauracion de la casa de laCultura miguel uribe restrepo –Etapa i en el municipio de Envigado</t>
  </si>
  <si>
    <t>Realizar la construcción de la estacion caminos de arrieria fonda arriera del paisaje cultural cafetero en el municipio de Aguadas</t>
  </si>
  <si>
    <t>Llevar a cabo por el sistema de precios unitarios Fijos sin fórmla de ajuste, las obras de restauracion integral del la iglesia San Pio X localizada en el barrio la Enea del municipio de Manizales, declarada bien de Interes cultural del ambito nacional</t>
  </si>
  <si>
    <t>X</t>
  </si>
  <si>
    <t>BIC del ámbito nacional, declarado por la Resolución 1402 del 16 de junio de 2012</t>
  </si>
  <si>
    <t>madera, tapia pisada y/o adobe</t>
  </si>
  <si>
    <t>conforme al PEMP Resolución . 1500 de 2012; estan clasificados en el nivel 1 - conservación integral</t>
  </si>
  <si>
    <r>
      <rPr>
        <b/>
        <sz val="11"/>
        <color rgb="FFFF0000"/>
        <rFont val="Arial"/>
        <family val="2"/>
      </rPr>
      <t>No cumple</t>
    </r>
    <r>
      <rPr>
        <sz val="11"/>
        <color rgb="FFFF0000"/>
        <rFont val="Arial"/>
        <family val="2"/>
      </rPr>
      <t xml:space="preserve"> toda vez que no anexa el documento por el cual se establece que corresponde a un bien de interes cultural municipal ó departamental. Lo anterior teniendo en cuenta que NO hace parte de los bienes declarados del ambito nacional.  </t>
    </r>
  </si>
  <si>
    <r>
      <rPr>
        <b/>
        <sz val="11"/>
        <color rgb="FFFF0000"/>
        <rFont val="Arial"/>
        <family val="2"/>
      </rPr>
      <t>No cumple</t>
    </r>
    <r>
      <rPr>
        <sz val="11"/>
        <color rgb="FFFF0000"/>
        <rFont val="Arial"/>
        <family val="2"/>
      </rPr>
      <t xml:space="preserve"> toda vez que no anexa el documento por el cual se establece que corresponde a un bien de interes cultural municipal ó departamental. Lo anterior teniendo en cuenta que NO hace parte de los bienes declarados del ambito nacional.  Se aclara que el documeto que presenta es de Casa Natal del escritor Gabriel García Márquez NO de la parroquia San José, esta NO hace parte de l inmueble declarado</t>
    </r>
  </si>
  <si>
    <r>
      <rPr>
        <b/>
        <sz val="11"/>
        <color rgb="FFFF0000"/>
        <rFont val="Arial"/>
        <family val="2"/>
      </rPr>
      <t>No cumple</t>
    </r>
    <r>
      <rPr>
        <sz val="11"/>
        <color rgb="FFFF0000"/>
        <rFont val="Arial"/>
        <family val="2"/>
      </rPr>
      <t xml:space="preserve"> toda vez que el inmueble no cuenta con declaratoria individual, tampovo esta clasificada en los niveles 1 o 2. </t>
    </r>
  </si>
  <si>
    <t>BIC del ámbito nacional, declarado por el Decreto 1962 del 11 de julio de 1983, Decreto 2912 del 29 de noviembre de 1984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</si>
</sst>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9">
    <numFmt numFmtId="8" formatCode="&quot;$&quot;\ #,##0.00;[Red]\-&quot;$&quot;\ #,##0.00"/>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 #,##0.00\ _€_-;\-* #,##0.00\ _€_-;_-* &quot;-&quot;??\ _€_-;_-@_-"/>
    <numFmt numFmtId="167" formatCode="_(&quot;$&quot;\ * #,##0.00_);_(&quot;$&quot;\ * \(#,##0.00\);_(&quot;$&quot;\ * &quot;-&quot;??_);_(@_)"/>
    <numFmt numFmtId="168" formatCode="d/mm/yyyy;@"/>
    <numFmt numFmtId="169" formatCode="_(* #,##0.00_);_(* \(#,##0.00\);_(* &quot;-&quot;??_);_(@_)"/>
    <numFmt numFmtId="170" formatCode="_([$USD]\ * #,##0.00_);_([$USD]\ * \(#,##0.00\);_([$USD]\ * &quot;-&quot;??_);_(@_)"/>
    <numFmt numFmtId="171" formatCode="0\ &quot;meses&quot;"/>
    <numFmt numFmtId="172" formatCode="_(&quot;$&quot;\ * #,##0_);_(&quot;$&quot;\ * \(#,##0\);_(&quot;$&quot;\ * &quot;-&quot;??_);_(@_)"/>
    <numFmt numFmtId="173" formatCode="#,##0.00\ &quot;SMMLV&quot;"/>
    <numFmt numFmtId="174" formatCode="[$-C0A]dd\-mmm\-yy;@"/>
    <numFmt numFmtId="175" formatCode="_ * #,##0_ ;_ * \-#,##0_ ;_ * &quot;-&quot;??_ ;_ @_ "/>
    <numFmt numFmtId="176" formatCode="_ * #,##0.00_ ;_ * \-#,##0.00_ ;_ * &quot;-&quot;??_ ;_ @_ "/>
    <numFmt numFmtId="177" formatCode="#,##0_ ;\-#,##0\ &quot;SMMLV&quot;"/>
    <numFmt numFmtId="178" formatCode="#,##0.00_ ;\-#,##0.00\ &quot;SMMLV&quot;"/>
    <numFmt numFmtId="179" formatCode="_-&quot;$&quot;* #,##0.00_-;\-&quot;$&quot;* #,##0.00_-;_-&quot;$&quot;* &quot;-&quot;_-;_-@_-"/>
  </numFmts>
  <fonts count="39" x14ac:knownFonts="1">
    <font>
      <sz val="11"/>
      <color theme="1"/>
      <name val="Calibri"/>
      <family val="2"/>
      <scheme val="minor"/>
    </font>
    <font>
      <b/>
      <sz val="8"/>
      <color indexed="81"/>
      <name val="Tahoma"/>
      <family val="2"/>
    </font>
    <font>
      <sz val="8"/>
      <color indexed="81"/>
      <name val="Tahoma"/>
      <family val="2"/>
    </font>
    <font>
      <sz val="11"/>
      <color theme="1"/>
      <name val="Calibri"/>
      <family val="2"/>
      <scheme val="minor"/>
    </font>
    <font>
      <sz val="10"/>
      <name val="Arial"/>
      <family val="2"/>
    </font>
    <font>
      <sz val="10"/>
      <name val="Arial"/>
      <family val="2"/>
    </font>
    <font>
      <sz val="11"/>
      <name val="Arial"/>
      <family val="2"/>
    </font>
    <font>
      <b/>
      <sz val="11"/>
      <name val="Arial"/>
      <family val="2"/>
    </font>
    <font>
      <b/>
      <sz val="11"/>
      <color rgb="FF000000"/>
      <name val="Arial"/>
      <family val="2"/>
    </font>
    <font>
      <sz val="9"/>
      <name val="Arial"/>
      <family val="2"/>
    </font>
    <font>
      <b/>
      <sz val="11"/>
      <color theme="1"/>
      <name val="Arial"/>
      <family val="2"/>
    </font>
    <font>
      <sz val="11"/>
      <color theme="1"/>
      <name val="Arial"/>
      <family val="2"/>
    </font>
    <font>
      <b/>
      <sz val="10"/>
      <name val="Arial"/>
      <family val="2"/>
    </font>
    <font>
      <sz val="11"/>
      <color rgb="FF000000"/>
      <name val="Arial"/>
      <family val="2"/>
    </font>
    <font>
      <b/>
      <sz val="10"/>
      <color rgb="FF000000"/>
      <name val="Arial"/>
      <family val="2"/>
    </font>
    <font>
      <sz val="11"/>
      <color theme="9"/>
      <name val="Arial"/>
      <family val="2"/>
    </font>
    <font>
      <sz val="10"/>
      <color rgb="FF000000"/>
      <name val="Arial"/>
      <family val="2"/>
    </font>
    <font>
      <sz val="11"/>
      <color rgb="FFFF0000"/>
      <name val="Arial"/>
      <family val="2"/>
    </font>
    <font>
      <sz val="8"/>
      <name val="Calibri"/>
      <family val="2"/>
      <scheme val="minor"/>
    </font>
    <font>
      <b/>
      <sz val="14"/>
      <name val="Arial"/>
      <family val="2"/>
    </font>
    <font>
      <sz val="10"/>
      <color theme="1"/>
      <name val="Arial"/>
      <family val="2"/>
    </font>
    <font>
      <b/>
      <sz val="13"/>
      <name val="Arial"/>
      <family val="2"/>
    </font>
    <font>
      <sz val="10"/>
      <name val="Calibri"/>
      <family val="2"/>
    </font>
    <font>
      <b/>
      <sz val="10"/>
      <color theme="1"/>
      <name val="Arial"/>
      <family val="2"/>
    </font>
    <font>
      <sz val="8"/>
      <color theme="1"/>
      <name val="Arial"/>
      <family val="2"/>
    </font>
    <font>
      <sz val="8"/>
      <color theme="0"/>
      <name val="Arial"/>
      <family val="2"/>
    </font>
    <font>
      <b/>
      <sz val="9"/>
      <color theme="1"/>
      <name val="Arial"/>
      <family val="2"/>
    </font>
    <font>
      <b/>
      <sz val="8"/>
      <color theme="1"/>
      <name val="Arial"/>
      <family val="2"/>
    </font>
    <font>
      <sz val="10"/>
      <color theme="0"/>
      <name val="Arial"/>
      <family val="2"/>
    </font>
    <font>
      <b/>
      <sz val="10"/>
      <color rgb="FFFF0000"/>
      <name val="Arial"/>
      <family val="2"/>
    </font>
    <font>
      <sz val="10"/>
      <color rgb="FFFF0000"/>
      <name val="Arial"/>
      <family val="2"/>
    </font>
    <font>
      <b/>
      <sz val="8"/>
      <name val="Arial"/>
      <family val="2"/>
    </font>
    <font>
      <sz val="9"/>
      <color theme="0"/>
      <name val="Arial"/>
      <family val="2"/>
    </font>
    <font>
      <b/>
      <sz val="9"/>
      <name val="Arial"/>
      <family val="2"/>
    </font>
    <font>
      <sz val="9"/>
      <color theme="1"/>
      <name val="Arial"/>
      <family val="2"/>
    </font>
    <font>
      <b/>
      <sz val="12"/>
      <name val="Arial"/>
      <family val="2"/>
    </font>
    <font>
      <sz val="12"/>
      <color theme="1"/>
      <name val="Arial"/>
      <family val="2"/>
    </font>
    <font>
      <sz val="12"/>
      <name val="Arial"/>
      <family val="2"/>
    </font>
    <font>
      <b/>
      <sz val="11"/>
      <color rgb="FFFF0000"/>
      <name val="Arial"/>
      <family val="2"/>
    </font>
  </fonts>
  <fills count="18">
    <fill>
      <patternFill patternType="none"/>
    </fill>
    <fill>
      <patternFill patternType="gray125"/>
    </fill>
    <fill>
      <patternFill patternType="solid">
        <fgColor theme="9" tint="0.59999389629810485"/>
        <bgColor indexed="64"/>
      </patternFill>
    </fill>
    <fill>
      <patternFill patternType="solid">
        <fgColor theme="0"/>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6" tint="0.59996337778862885"/>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rgb="FFFFFF00"/>
        <bgColor indexed="64"/>
      </patternFill>
    </fill>
    <fill>
      <patternFill patternType="solid">
        <fgColor theme="4" tint="-0.249977111117893"/>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6" tint="0.59999389629810485"/>
        <bgColor indexed="64"/>
      </patternFill>
    </fill>
    <fill>
      <patternFill patternType="solid">
        <fgColor theme="2"/>
        <bgColor indexed="64"/>
      </patternFill>
    </fill>
    <fill>
      <patternFill patternType="solid">
        <fgColor theme="8" tint="0.79998168889431442"/>
        <bgColor indexed="64"/>
      </patternFill>
    </fill>
  </fills>
  <borders count="29">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rgb="FF000000"/>
      </top>
      <bottom style="thin">
        <color rgb="FF000000"/>
      </bottom>
      <diagonal/>
    </border>
    <border>
      <left style="thin">
        <color indexed="64"/>
      </left>
      <right style="thin">
        <color indexed="64"/>
      </right>
      <top style="thin">
        <color indexed="64"/>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bottom/>
      <diagonal/>
    </border>
  </borders>
  <cellStyleXfs count="16">
    <xf numFmtId="0" fontId="0" fillId="0" borderId="0"/>
    <xf numFmtId="169" fontId="3" fillId="0" borderId="0" applyFont="0" applyFill="0" applyBorder="0" applyAlignment="0" applyProtection="0"/>
    <xf numFmtId="167" fontId="3" fillId="0" borderId="0" applyFont="0" applyFill="0" applyBorder="0" applyAlignment="0" applyProtection="0"/>
    <xf numFmtId="9" fontId="3" fillId="0" borderId="0" applyFont="0" applyFill="0" applyBorder="0" applyAlignment="0" applyProtection="0"/>
    <xf numFmtId="0" fontId="4" fillId="0" borderId="0"/>
    <xf numFmtId="166"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9" fontId="5" fillId="0" borderId="0" applyFont="0" applyFill="0" applyBorder="0" applyAlignment="0" applyProtection="0"/>
    <xf numFmtId="0" fontId="3" fillId="0" borderId="0"/>
    <xf numFmtId="9" fontId="4" fillId="0" borderId="0" applyFont="0" applyFill="0" applyBorder="0" applyAlignment="0" applyProtection="0"/>
    <xf numFmtId="165" fontId="4" fillId="0" borderId="0" applyFont="0" applyFill="0" applyBorder="0" applyAlignment="0" applyProtection="0"/>
    <xf numFmtId="164"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cellStyleXfs>
  <cellXfs count="448">
    <xf numFmtId="0" fontId="0" fillId="0" borderId="0" xfId="0"/>
    <xf numFmtId="0" fontId="6" fillId="3" borderId="0" xfId="4" applyFont="1" applyFill="1" applyProtection="1">
      <protection locked="0"/>
    </xf>
    <xf numFmtId="0" fontId="6" fillId="3" borderId="0" xfId="4" applyFont="1" applyFill="1" applyAlignment="1" applyProtection="1">
      <alignment vertical="top" wrapText="1"/>
      <protection locked="0"/>
    </xf>
    <xf numFmtId="0" fontId="7" fillId="3" borderId="0" xfId="4" applyFont="1" applyFill="1" applyAlignment="1" applyProtection="1">
      <alignment horizontal="center"/>
      <protection locked="0"/>
    </xf>
    <xf numFmtId="0" fontId="6" fillId="0" borderId="0" xfId="4" applyFont="1" applyProtection="1">
      <protection locked="0"/>
    </xf>
    <xf numFmtId="0" fontId="7" fillId="0" borderId="0" xfId="4" applyFont="1" applyAlignment="1" applyProtection="1">
      <alignment horizontal="center"/>
      <protection locked="0"/>
    </xf>
    <xf numFmtId="0" fontId="6" fillId="0" borderId="19" xfId="4" applyFont="1" applyBorder="1" applyAlignment="1" applyProtection="1">
      <alignment vertical="center" wrapText="1"/>
      <protection locked="0"/>
    </xf>
    <xf numFmtId="0" fontId="6" fillId="0" borderId="0" xfId="4" applyFont="1" applyAlignment="1" applyProtection="1">
      <alignment vertical="center" wrapText="1"/>
      <protection locked="0"/>
    </xf>
    <xf numFmtId="0" fontId="6" fillId="4" borderId="2" xfId="4" applyFont="1" applyFill="1" applyBorder="1" applyAlignment="1" applyProtection="1">
      <alignment horizontal="center" vertical="center"/>
      <protection locked="0"/>
    </xf>
    <xf numFmtId="165" fontId="6" fillId="4" borderId="2" xfId="12" applyFont="1" applyFill="1" applyBorder="1" applyAlignment="1" applyProtection="1">
      <alignment vertical="center"/>
      <protection locked="0"/>
    </xf>
    <xf numFmtId="0" fontId="6" fillId="0" borderId="0" xfId="4" applyFont="1" applyAlignment="1" applyProtection="1">
      <alignment vertical="top" wrapText="1"/>
      <protection locked="0"/>
    </xf>
    <xf numFmtId="0" fontId="6" fillId="4" borderId="8" xfId="4" applyFont="1" applyFill="1" applyBorder="1" applyAlignment="1" applyProtection="1">
      <alignment horizontal="center" vertical="center" wrapText="1"/>
      <protection locked="0"/>
    </xf>
    <xf numFmtId="0" fontId="6" fillId="4" borderId="2" xfId="4" applyFont="1" applyFill="1" applyBorder="1" applyAlignment="1" applyProtection="1">
      <alignment horizontal="center" vertical="center" wrapText="1"/>
      <protection locked="0"/>
    </xf>
    <xf numFmtId="0" fontId="6" fillId="4" borderId="2" xfId="4" applyFont="1" applyFill="1" applyBorder="1" applyAlignment="1" applyProtection="1">
      <alignment horizontal="left" vertical="center" wrapText="1"/>
      <protection locked="0"/>
    </xf>
    <xf numFmtId="15" fontId="6" fillId="4" borderId="2" xfId="4" applyNumberFormat="1" applyFont="1" applyFill="1" applyBorder="1" applyAlignment="1" applyProtection="1">
      <alignment horizontal="left" vertical="center" wrapText="1"/>
      <protection locked="0"/>
    </xf>
    <xf numFmtId="164" fontId="6" fillId="4" borderId="2" xfId="13" applyFont="1" applyFill="1" applyBorder="1" applyAlignment="1" applyProtection="1">
      <alignment horizontal="left" vertical="center" wrapText="1"/>
      <protection locked="0"/>
    </xf>
    <xf numFmtId="43" fontId="6" fillId="4" borderId="8" xfId="4" applyNumberFormat="1" applyFont="1" applyFill="1" applyBorder="1" applyAlignment="1" applyProtection="1">
      <alignment horizontal="center" vertical="center" wrapText="1"/>
      <protection locked="0"/>
    </xf>
    <xf numFmtId="9" fontId="6" fillId="4" borderId="8" xfId="11" applyFont="1" applyFill="1" applyBorder="1" applyAlignment="1" applyProtection="1">
      <alignment horizontal="center" vertical="center" wrapText="1"/>
      <protection locked="0"/>
    </xf>
    <xf numFmtId="2" fontId="6" fillId="7" borderId="8" xfId="4" applyNumberFormat="1" applyFont="1" applyFill="1" applyBorder="1" applyAlignment="1">
      <alignment horizontal="center" vertical="center" wrapText="1"/>
    </xf>
    <xf numFmtId="0" fontId="6" fillId="4" borderId="2" xfId="4" applyFont="1" applyFill="1" applyBorder="1" applyAlignment="1" applyProtection="1">
      <alignment horizontal="left" vertical="center"/>
      <protection locked="0"/>
    </xf>
    <xf numFmtId="174" fontId="7" fillId="0" borderId="2" xfId="4" applyNumberFormat="1" applyFont="1" applyBorder="1" applyAlignment="1" applyProtection="1">
      <alignment horizontal="center" vertical="center" wrapText="1"/>
      <protection locked="0"/>
    </xf>
    <xf numFmtId="176" fontId="7" fillId="13" borderId="2" xfId="14" applyNumberFormat="1" applyFont="1" applyFill="1" applyBorder="1" applyAlignment="1" applyProtection="1">
      <alignment horizontal="center" vertical="center" wrapText="1"/>
    </xf>
    <xf numFmtId="164" fontId="7" fillId="3" borderId="2" xfId="13" applyFont="1" applyFill="1" applyBorder="1" applyAlignment="1" applyProtection="1">
      <alignment horizontal="center" vertical="center" wrapText="1"/>
      <protection locked="0"/>
    </xf>
    <xf numFmtId="0" fontId="7" fillId="14" borderId="2" xfId="4" applyFont="1" applyFill="1" applyBorder="1" applyAlignment="1" applyProtection="1">
      <alignment horizontal="center"/>
      <protection locked="0"/>
    </xf>
    <xf numFmtId="0" fontId="7" fillId="0" borderId="0" xfId="4" applyFont="1" applyAlignment="1" applyProtection="1">
      <alignment horizontal="left"/>
      <protection locked="0"/>
    </xf>
    <xf numFmtId="0" fontId="7" fillId="0" borderId="19" xfId="4" applyFont="1" applyBorder="1" applyAlignment="1" applyProtection="1">
      <alignment horizontal="left"/>
      <protection locked="0"/>
    </xf>
    <xf numFmtId="0" fontId="6" fillId="16" borderId="23" xfId="4" applyFont="1" applyFill="1" applyBorder="1" applyAlignment="1" applyProtection="1">
      <alignment horizontal="center" vertical="center"/>
      <protection locked="0"/>
    </xf>
    <xf numFmtId="0" fontId="6" fillId="16" borderId="23" xfId="4" applyFont="1" applyFill="1" applyBorder="1" applyAlignment="1" applyProtection="1">
      <alignment horizontal="center" vertical="center" wrapText="1"/>
      <protection locked="0"/>
    </xf>
    <xf numFmtId="0" fontId="6" fillId="0" borderId="2" xfId="4" applyFont="1" applyBorder="1" applyAlignment="1" applyProtection="1">
      <alignment horizontal="center" vertical="center"/>
      <protection locked="0"/>
    </xf>
    <xf numFmtId="0" fontId="6" fillId="0" borderId="2" xfId="4" applyFont="1" applyBorder="1" applyAlignment="1" applyProtection="1">
      <alignment horizontal="center" vertical="center" wrapText="1"/>
      <protection locked="0"/>
    </xf>
    <xf numFmtId="0" fontId="6" fillId="3" borderId="0" xfId="4" applyFont="1" applyFill="1" applyAlignment="1" applyProtection="1">
      <alignment horizontal="left"/>
      <protection locked="0"/>
    </xf>
    <xf numFmtId="0" fontId="6" fillId="3" borderId="0" xfId="4" applyFont="1" applyFill="1" applyAlignment="1" applyProtection="1">
      <alignment horizontal="left" vertical="top" wrapText="1"/>
      <protection locked="0"/>
    </xf>
    <xf numFmtId="0" fontId="6" fillId="16" borderId="2" xfId="4" applyFont="1" applyFill="1" applyBorder="1" applyAlignment="1" applyProtection="1">
      <alignment horizontal="center" vertical="center"/>
      <protection locked="0"/>
    </xf>
    <xf numFmtId="0" fontId="6" fillId="16" borderId="2" xfId="4" applyFont="1" applyFill="1" applyBorder="1" applyAlignment="1" applyProtection="1">
      <alignment horizontal="center" vertical="center" wrapText="1"/>
      <protection locked="0"/>
    </xf>
    <xf numFmtId="0" fontId="8" fillId="3" borderId="0" xfId="4" applyFont="1" applyFill="1" applyAlignment="1" applyProtection="1">
      <alignment horizontal="left"/>
      <protection locked="0"/>
    </xf>
    <xf numFmtId="0" fontId="13" fillId="3" borderId="0" xfId="4" applyFont="1" applyFill="1" applyAlignment="1" applyProtection="1">
      <alignment horizontal="left" vertical="center" wrapText="1"/>
      <protection locked="0"/>
    </xf>
    <xf numFmtId="0" fontId="6" fillId="3" borderId="0" xfId="4" applyFont="1" applyFill="1" applyAlignment="1" applyProtection="1">
      <alignment horizontal="center" vertical="center"/>
      <protection locked="0"/>
    </xf>
    <xf numFmtId="0" fontId="6" fillId="3" borderId="0" xfId="4" applyFont="1" applyFill="1" applyAlignment="1" applyProtection="1">
      <alignment horizontal="center" vertical="center" wrapText="1"/>
      <protection locked="0"/>
    </xf>
    <xf numFmtId="0" fontId="7" fillId="0" borderId="0" xfId="4" applyFont="1" applyAlignment="1" applyProtection="1">
      <alignment horizontal="center" vertical="top" wrapText="1"/>
      <protection locked="0"/>
    </xf>
    <xf numFmtId="0" fontId="15" fillId="3" borderId="0" xfId="4" applyFont="1" applyFill="1" applyAlignment="1" applyProtection="1">
      <alignment vertical="top" wrapText="1"/>
      <protection locked="0"/>
    </xf>
    <xf numFmtId="0" fontId="15" fillId="3" borderId="0" xfId="4" applyFont="1" applyFill="1" applyProtection="1">
      <protection locked="0"/>
    </xf>
    <xf numFmtId="0" fontId="6" fillId="0" borderId="14" xfId="4" applyFont="1" applyBorder="1" applyAlignment="1" applyProtection="1">
      <alignment vertical="top" wrapText="1"/>
      <protection locked="0"/>
    </xf>
    <xf numFmtId="0" fontId="6" fillId="0" borderId="14" xfId="4" applyFont="1" applyBorder="1" applyProtection="1">
      <protection locked="0"/>
    </xf>
    <xf numFmtId="175" fontId="7" fillId="0" borderId="14" xfId="14" applyNumberFormat="1" applyFont="1" applyFill="1" applyBorder="1" applyAlignment="1" applyProtection="1">
      <alignment horizontal="center" vertical="center" wrapText="1"/>
    </xf>
    <xf numFmtId="175" fontId="7" fillId="0" borderId="15" xfId="14" applyNumberFormat="1" applyFont="1" applyFill="1" applyBorder="1" applyAlignment="1" applyProtection="1">
      <alignment horizontal="center" vertical="center" wrapText="1"/>
      <protection locked="0"/>
    </xf>
    <xf numFmtId="0" fontId="10" fillId="0" borderId="2" xfId="4" applyFont="1" applyBorder="1" applyAlignment="1">
      <alignment horizontal="center" vertical="center"/>
    </xf>
    <xf numFmtId="0" fontId="12" fillId="0" borderId="0" xfId="4" applyFont="1" applyAlignment="1" applyProtection="1">
      <alignment horizontal="center"/>
      <protection locked="0"/>
    </xf>
    <xf numFmtId="0" fontId="6" fillId="0" borderId="0" xfId="4" applyFont="1" applyAlignment="1" applyProtection="1">
      <alignment horizontal="center" vertical="center" wrapText="1"/>
      <protection locked="0"/>
    </xf>
    <xf numFmtId="0" fontId="14" fillId="3" borderId="0" xfId="4" applyFont="1" applyFill="1" applyAlignment="1" applyProtection="1">
      <alignment horizontal="center" vertical="center" wrapText="1"/>
      <protection locked="0"/>
    </xf>
    <xf numFmtId="0" fontId="16" fillId="3" borderId="0" xfId="4" applyFont="1" applyFill="1" applyAlignment="1" applyProtection="1">
      <alignment horizontal="center" vertical="center"/>
      <protection locked="0"/>
    </xf>
    <xf numFmtId="0" fontId="12" fillId="3" borderId="0" xfId="4" applyFont="1" applyFill="1" applyAlignment="1" applyProtection="1">
      <alignment vertical="center"/>
      <protection locked="0"/>
    </xf>
    <xf numFmtId="2" fontId="6" fillId="0" borderId="0" xfId="4" applyNumberFormat="1" applyFont="1" applyAlignment="1" applyProtection="1">
      <alignment vertical="center"/>
      <protection locked="0"/>
    </xf>
    <xf numFmtId="2" fontId="7" fillId="0" borderId="0" xfId="4" applyNumberFormat="1" applyFont="1" applyAlignment="1" applyProtection="1">
      <alignment vertical="center"/>
      <protection locked="0"/>
    </xf>
    <xf numFmtId="2" fontId="7" fillId="0" borderId="0" xfId="4" applyNumberFormat="1" applyFont="1" applyProtection="1">
      <protection locked="0"/>
    </xf>
    <xf numFmtId="2" fontId="17" fillId="0" borderId="0" xfId="4" applyNumberFormat="1" applyFont="1" applyAlignment="1" applyProtection="1">
      <alignment vertical="center"/>
      <protection locked="0"/>
    </xf>
    <xf numFmtId="2" fontId="6" fillId="0" borderId="2" xfId="4" applyNumberFormat="1" applyFont="1" applyBorder="1" applyAlignment="1" applyProtection="1">
      <alignment horizontal="center" vertical="center"/>
      <protection locked="0"/>
    </xf>
    <xf numFmtId="2" fontId="7" fillId="0" borderId="2" xfId="4" applyNumberFormat="1" applyFont="1" applyBorder="1" applyAlignment="1" applyProtection="1">
      <alignment horizontal="center" vertical="center"/>
      <protection locked="0"/>
    </xf>
    <xf numFmtId="2" fontId="17" fillId="2" borderId="2" xfId="4" applyNumberFormat="1" applyFont="1" applyFill="1" applyBorder="1" applyAlignment="1" applyProtection="1">
      <alignment horizontal="center" vertical="center"/>
      <protection locked="0"/>
    </xf>
    <xf numFmtId="164" fontId="6" fillId="3" borderId="2" xfId="13" applyFont="1" applyFill="1" applyBorder="1" applyAlignment="1" applyProtection="1">
      <alignment horizontal="center" vertical="center" wrapText="1"/>
      <protection locked="0"/>
    </xf>
    <xf numFmtId="0" fontId="6" fillId="0" borderId="0" xfId="0" applyFont="1" applyProtection="1">
      <protection locked="0"/>
    </xf>
    <xf numFmtId="0" fontId="11" fillId="0" borderId="0" xfId="0" applyFont="1"/>
    <xf numFmtId="0" fontId="11" fillId="0" borderId="0" xfId="0" applyFont="1" applyAlignment="1">
      <alignment horizontal="center" vertical="center"/>
    </xf>
    <xf numFmtId="9" fontId="6" fillId="4" borderId="2" xfId="4" applyNumberFormat="1" applyFont="1" applyFill="1" applyBorder="1" applyAlignment="1" applyProtection="1">
      <alignment horizontal="center" vertical="center" wrapText="1"/>
      <protection locked="0"/>
    </xf>
    <xf numFmtId="0" fontId="11" fillId="0" borderId="14" xfId="0" applyFont="1" applyBorder="1"/>
    <xf numFmtId="0" fontId="20" fillId="0" borderId="0" xfId="0" applyFont="1"/>
    <xf numFmtId="0" fontId="12" fillId="12" borderId="2" xfId="4" applyFont="1" applyFill="1" applyBorder="1" applyAlignment="1" applyProtection="1">
      <alignment horizontal="center" vertical="center" wrapText="1"/>
      <protection locked="0"/>
    </xf>
    <xf numFmtId="0" fontId="14" fillId="12" borderId="2" xfId="4" applyFont="1" applyFill="1" applyBorder="1" applyAlignment="1" applyProtection="1">
      <alignment horizontal="center" vertical="center" wrapText="1"/>
      <protection locked="0"/>
    </xf>
    <xf numFmtId="0" fontId="6" fillId="0" borderId="0" xfId="4" applyFont="1" applyAlignment="1" applyProtection="1">
      <alignment horizontal="center" vertical="center" wrapText="1"/>
      <protection hidden="1"/>
    </xf>
    <xf numFmtId="0" fontId="8" fillId="3" borderId="2" xfId="4" applyFont="1" applyFill="1" applyBorder="1" applyAlignment="1" applyProtection="1">
      <alignment horizontal="center" vertical="center" wrapText="1"/>
      <protection locked="0"/>
    </xf>
    <xf numFmtId="0" fontId="7" fillId="3" borderId="2" xfId="4" applyFont="1" applyFill="1" applyBorder="1" applyAlignment="1" applyProtection="1">
      <alignment horizontal="center" vertical="center"/>
      <protection locked="0"/>
    </xf>
    <xf numFmtId="2" fontId="7" fillId="0" borderId="0" xfId="4" applyNumberFormat="1" applyFont="1" applyAlignment="1" applyProtection="1">
      <alignment horizontal="center" vertical="center"/>
      <protection locked="0"/>
    </xf>
    <xf numFmtId="0" fontId="7" fillId="3" borderId="0" xfId="4" applyFont="1" applyFill="1" applyAlignment="1" applyProtection="1">
      <alignment horizontal="center" vertical="center"/>
      <protection locked="0"/>
    </xf>
    <xf numFmtId="0" fontId="22" fillId="0" borderId="2" xfId="0" applyFont="1" applyBorder="1"/>
    <xf numFmtId="4" fontId="22" fillId="0" borderId="9" xfId="0" applyNumberFormat="1" applyFont="1" applyBorder="1"/>
    <xf numFmtId="0" fontId="22" fillId="0" borderId="23" xfId="0" applyFont="1" applyBorder="1"/>
    <xf numFmtId="4" fontId="22" fillId="0" borderId="20" xfId="0" applyNumberFormat="1" applyFont="1" applyBorder="1"/>
    <xf numFmtId="0" fontId="22" fillId="0" borderId="23" xfId="0" applyFont="1" applyBorder="1" applyAlignment="1">
      <alignment wrapText="1"/>
    </xf>
    <xf numFmtId="4" fontId="22" fillId="0" borderId="20" xfId="0" applyNumberFormat="1" applyFont="1" applyBorder="1" applyAlignment="1">
      <alignment wrapText="1"/>
    </xf>
    <xf numFmtId="178" fontId="7" fillId="14" borderId="2" xfId="13" applyNumberFormat="1" applyFont="1" applyFill="1" applyBorder="1" applyAlignment="1" applyProtection="1">
      <alignment horizontal="right" vertical="center" wrapText="1"/>
      <protection locked="0"/>
    </xf>
    <xf numFmtId="0" fontId="20" fillId="0" borderId="2" xfId="0" applyFont="1" applyBorder="1" applyAlignment="1">
      <alignment horizontal="center" vertical="center"/>
    </xf>
    <xf numFmtId="0" fontId="24" fillId="0" borderId="0" xfId="0" applyFont="1" applyAlignment="1">
      <alignment horizontal="center" vertical="center"/>
    </xf>
    <xf numFmtId="0" fontId="20" fillId="0" borderId="0" xfId="0" applyFont="1" applyAlignment="1">
      <alignment horizontal="center" vertical="center"/>
    </xf>
    <xf numFmtId="0" fontId="16" fillId="0" borderId="2" xfId="0" applyFont="1" applyBorder="1" applyAlignment="1">
      <alignment vertical="center"/>
    </xf>
    <xf numFmtId="171" fontId="16" fillId="0" borderId="2" xfId="0" applyNumberFormat="1" applyFont="1" applyBorder="1" applyAlignment="1">
      <alignment horizontal="center" vertical="center"/>
    </xf>
    <xf numFmtId="0" fontId="16" fillId="0" borderId="0" xfId="0" applyFont="1" applyAlignment="1">
      <alignment vertical="center"/>
    </xf>
    <xf numFmtId="171" fontId="16" fillId="0" borderId="0" xfId="0" applyNumberFormat="1" applyFont="1" applyAlignment="1">
      <alignment horizontal="center" vertical="center"/>
    </xf>
    <xf numFmtId="0" fontId="25" fillId="0" borderId="0" xfId="0" applyFont="1" applyAlignment="1">
      <alignment horizontal="center" vertical="center"/>
    </xf>
    <xf numFmtId="0" fontId="26" fillId="0" borderId="2" xfId="0" applyFont="1" applyBorder="1" applyAlignment="1">
      <alignment horizontal="center" vertical="center" wrapText="1"/>
    </xf>
    <xf numFmtId="0" fontId="28" fillId="0" borderId="0" xfId="0" applyFont="1" applyAlignment="1">
      <alignment horizontal="center" vertical="center"/>
    </xf>
    <xf numFmtId="0" fontId="20" fillId="0" borderId="0" xfId="0" applyFont="1" applyAlignment="1">
      <alignment vertical="center"/>
    </xf>
    <xf numFmtId="0" fontId="12" fillId="0" borderId="0" xfId="4" applyFont="1" applyAlignment="1" applyProtection="1">
      <alignment horizontal="center" vertical="center" wrapText="1"/>
      <protection locked="0"/>
    </xf>
    <xf numFmtId="0" fontId="23" fillId="0" borderId="2" xfId="0" applyFont="1" applyBorder="1" applyAlignment="1">
      <alignment horizontal="center" vertical="center"/>
    </xf>
    <xf numFmtId="0" fontId="12" fillId="0" borderId="2" xfId="4" applyFont="1" applyBorder="1" applyAlignment="1" applyProtection="1">
      <alignment horizontal="center" vertical="center" wrapText="1"/>
      <protection locked="0"/>
    </xf>
    <xf numFmtId="9" fontId="4" fillId="4" borderId="2" xfId="4" applyNumberFormat="1" applyFill="1" applyBorder="1" applyAlignment="1" applyProtection="1">
      <alignment horizontal="center" vertical="center" wrapText="1"/>
      <protection locked="0"/>
    </xf>
    <xf numFmtId="167" fontId="4" fillId="4" borderId="2" xfId="4" applyNumberFormat="1" applyFill="1" applyBorder="1" applyAlignment="1" applyProtection="1">
      <alignment horizontal="center" vertical="center" wrapText="1"/>
      <protection locked="0"/>
    </xf>
    <xf numFmtId="0" fontId="23" fillId="0" borderId="0" xfId="0" applyFont="1" applyAlignment="1" applyProtection="1">
      <alignment vertical="center"/>
      <protection locked="0"/>
    </xf>
    <xf numFmtId="0" fontId="23" fillId="0" borderId="0" xfId="0" applyFont="1"/>
    <xf numFmtId="167" fontId="23" fillId="0" borderId="0" xfId="0" applyNumberFormat="1" applyFont="1"/>
    <xf numFmtId="167" fontId="23" fillId="0" borderId="0" xfId="2" applyFont="1" applyFill="1" applyBorder="1" applyAlignment="1" applyProtection="1">
      <alignment vertical="center"/>
    </xf>
    <xf numFmtId="0" fontId="23" fillId="0" borderId="2" xfId="0" applyFont="1" applyBorder="1" applyAlignment="1">
      <alignment horizontal="center" vertical="center" shrinkToFit="1"/>
    </xf>
    <xf numFmtId="0" fontId="20" fillId="0" borderId="2" xfId="0" applyFont="1" applyBorder="1" applyAlignment="1" applyProtection="1">
      <alignment horizontal="center" vertical="center"/>
      <protection locked="0"/>
    </xf>
    <xf numFmtId="167" fontId="23" fillId="0" borderId="10" xfId="2" applyFont="1" applyFill="1" applyBorder="1" applyAlignment="1" applyProtection="1">
      <alignment horizontal="center" vertical="center"/>
      <protection locked="0"/>
    </xf>
    <xf numFmtId="167" fontId="23" fillId="0" borderId="10" xfId="2" applyFont="1" applyFill="1" applyBorder="1" applyAlignment="1" applyProtection="1">
      <alignment horizontal="center" vertical="center"/>
    </xf>
    <xf numFmtId="0" fontId="23" fillId="5" borderId="2" xfId="0" applyFont="1" applyFill="1" applyBorder="1" applyAlignment="1">
      <alignment horizontal="center" vertical="center" shrinkToFit="1"/>
    </xf>
    <xf numFmtId="0" fontId="29" fillId="9" borderId="1" xfId="0" applyFont="1" applyFill="1" applyBorder="1" applyAlignment="1">
      <alignment horizontal="center" vertical="center" wrapText="1"/>
    </xf>
    <xf numFmtId="168" fontId="29" fillId="9" borderId="1" xfId="0" applyNumberFormat="1" applyFont="1" applyFill="1" applyBorder="1" applyAlignment="1" applyProtection="1">
      <alignment horizontal="center" vertical="center"/>
      <protection locked="0"/>
    </xf>
    <xf numFmtId="14" fontId="20" fillId="0" borderId="0" xfId="0" applyNumberFormat="1" applyFont="1" applyAlignment="1">
      <alignment horizontal="center" vertical="center"/>
    </xf>
    <xf numFmtId="167" fontId="20" fillId="0" borderId="0" xfId="2" applyFont="1" applyAlignment="1">
      <alignment horizontal="center" vertical="center"/>
    </xf>
    <xf numFmtId="167" fontId="20" fillId="0" borderId="2" xfId="2" applyFont="1" applyBorder="1" applyAlignment="1" applyProtection="1">
      <alignment horizontal="center" vertical="center" shrinkToFit="1"/>
    </xf>
    <xf numFmtId="0" fontId="23" fillId="4" borderId="0" xfId="0" applyFont="1" applyFill="1" applyAlignment="1">
      <alignment horizontal="center" vertical="center" wrapText="1"/>
    </xf>
    <xf numFmtId="168" fontId="20" fillId="4" borderId="0" xfId="0" applyNumberFormat="1" applyFont="1" applyFill="1" applyAlignment="1" applyProtection="1">
      <alignment horizontal="center" vertical="center"/>
      <protection locked="0"/>
    </xf>
    <xf numFmtId="44" fontId="20" fillId="0" borderId="0" xfId="0" applyNumberFormat="1" applyFont="1" applyAlignment="1">
      <alignment horizontal="center" vertical="center"/>
    </xf>
    <xf numFmtId="167" fontId="20" fillId="0" borderId="0" xfId="2" applyFont="1" applyBorder="1" applyAlignment="1" applyProtection="1">
      <alignment horizontal="center" vertical="center" shrinkToFit="1"/>
    </xf>
    <xf numFmtId="0" fontId="20" fillId="2" borderId="1" xfId="0" applyFont="1" applyFill="1" applyBorder="1" applyAlignment="1" applyProtection="1">
      <alignment horizontal="center" vertical="center"/>
      <protection locked="0"/>
    </xf>
    <xf numFmtId="168" fontId="20" fillId="2" borderId="1" xfId="0" applyNumberFormat="1" applyFont="1" applyFill="1" applyBorder="1" applyAlignment="1" applyProtection="1">
      <alignment horizontal="center" vertical="center"/>
      <protection locked="0"/>
    </xf>
    <xf numFmtId="167" fontId="20" fillId="2" borderId="1" xfId="2" applyFont="1" applyFill="1" applyBorder="1" applyAlignment="1" applyProtection="1">
      <alignment vertical="center"/>
      <protection locked="0"/>
    </xf>
    <xf numFmtId="10" fontId="20" fillId="2" borderId="1" xfId="3" applyNumberFormat="1" applyFont="1" applyFill="1" applyBorder="1" applyAlignment="1" applyProtection="1">
      <alignment horizontal="center" vertical="center"/>
      <protection locked="0"/>
    </xf>
    <xf numFmtId="167" fontId="20" fillId="3" borderId="1" xfId="0" applyNumberFormat="1" applyFont="1" applyFill="1" applyBorder="1" applyAlignment="1">
      <alignment horizontal="center" vertical="center"/>
    </xf>
    <xf numFmtId="0" fontId="20" fillId="3" borderId="1" xfId="0" applyFont="1" applyFill="1" applyBorder="1" applyAlignment="1">
      <alignment horizontal="center" vertical="center"/>
    </xf>
    <xf numFmtId="167" fontId="20" fillId="0" borderId="0" xfId="0" applyNumberFormat="1" applyFont="1" applyAlignment="1">
      <alignment horizontal="center" vertical="center"/>
    </xf>
    <xf numFmtId="172" fontId="20" fillId="3" borderId="1" xfId="0" applyNumberFormat="1" applyFont="1" applyFill="1" applyBorder="1" applyAlignment="1">
      <alignment horizontal="center" vertical="center"/>
    </xf>
    <xf numFmtId="170" fontId="20" fillId="0" borderId="2" xfId="0" applyNumberFormat="1" applyFont="1" applyBorder="1" applyAlignment="1">
      <alignment horizontal="center" vertical="center"/>
    </xf>
    <xf numFmtId="0" fontId="23" fillId="0" borderId="2" xfId="0" applyFont="1" applyBorder="1" applyAlignment="1">
      <alignment horizontal="center"/>
    </xf>
    <xf numFmtId="0" fontId="20" fillId="0" borderId="2" xfId="0" applyFont="1" applyBorder="1" applyAlignment="1">
      <alignment horizontal="center"/>
    </xf>
    <xf numFmtId="2" fontId="20" fillId="0" borderId="2" xfId="0" applyNumberFormat="1" applyFont="1" applyBorder="1" applyAlignment="1">
      <alignment horizontal="center" vertical="center"/>
    </xf>
    <xf numFmtId="167" fontId="20" fillId="0" borderId="0" xfId="2" applyFont="1" applyAlignment="1" applyProtection="1">
      <alignment horizontal="center" vertical="center"/>
    </xf>
    <xf numFmtId="167" fontId="23" fillId="2" borderId="1" xfId="0" applyNumberFormat="1" applyFont="1" applyFill="1" applyBorder="1" applyAlignment="1">
      <alignment horizontal="center" vertical="center"/>
    </xf>
    <xf numFmtId="0" fontId="23" fillId="0" borderId="0" xfId="0" applyFont="1" applyAlignment="1">
      <alignment horizontal="center"/>
    </xf>
    <xf numFmtId="167" fontId="23" fillId="0" borderId="0" xfId="2" applyFont="1" applyFill="1" applyBorder="1" applyAlignment="1" applyProtection="1">
      <alignment horizontal="center" vertical="center"/>
    </xf>
    <xf numFmtId="168" fontId="30" fillId="9" borderId="1" xfId="0" applyNumberFormat="1" applyFont="1" applyFill="1" applyBorder="1" applyAlignment="1" applyProtection="1">
      <alignment horizontal="center" vertical="center"/>
      <protection locked="0"/>
    </xf>
    <xf numFmtId="0" fontId="23" fillId="0" borderId="0" xfId="0" applyFont="1" applyAlignment="1">
      <alignment horizontal="center" vertical="center"/>
    </xf>
    <xf numFmtId="8" fontId="16" fillId="0" borderId="2" xfId="0" applyNumberFormat="1" applyFont="1" applyBorder="1" applyAlignment="1">
      <alignment horizontal="center" vertical="center"/>
    </xf>
    <xf numFmtId="0" fontId="23" fillId="2" borderId="0" xfId="0" applyFont="1" applyFill="1" applyAlignment="1">
      <alignment horizontal="center" vertical="center"/>
    </xf>
    <xf numFmtId="167" fontId="23" fillId="2" borderId="0" xfId="0" applyNumberFormat="1" applyFont="1" applyFill="1" applyAlignment="1">
      <alignment horizontal="center" vertical="center"/>
    </xf>
    <xf numFmtId="0" fontId="27" fillId="0" borderId="2" xfId="0" applyFont="1" applyBorder="1" applyAlignment="1">
      <alignment horizontal="center" vertical="center" wrapText="1"/>
    </xf>
    <xf numFmtId="0" fontId="24" fillId="0" borderId="0" xfId="0" applyFont="1" applyAlignment="1">
      <alignment vertical="center"/>
    </xf>
    <xf numFmtId="0" fontId="32" fillId="0" borderId="0" xfId="0" applyFont="1" applyAlignment="1">
      <alignment horizontal="center" vertical="center"/>
    </xf>
    <xf numFmtId="0" fontId="34" fillId="0" borderId="0" xfId="0" applyFont="1" applyAlignment="1">
      <alignment horizontal="center" vertical="center"/>
    </xf>
    <xf numFmtId="0" fontId="34" fillId="0" borderId="0" xfId="0" applyFont="1" applyAlignment="1">
      <alignment vertical="center"/>
    </xf>
    <xf numFmtId="165" fontId="6" fillId="4" borderId="2" xfId="12" applyFont="1" applyFill="1" applyBorder="1" applyAlignment="1" applyProtection="1">
      <alignment horizontal="center" vertical="center"/>
      <protection locked="0"/>
    </xf>
    <xf numFmtId="177" fontId="6" fillId="4" borderId="2" xfId="13" applyNumberFormat="1" applyFont="1" applyFill="1" applyBorder="1" applyAlignment="1" applyProtection="1">
      <alignment horizontal="center" vertical="center" wrapText="1"/>
      <protection locked="0"/>
    </xf>
    <xf numFmtId="0" fontId="6" fillId="3" borderId="2" xfId="4" applyFont="1" applyFill="1" applyBorder="1" applyAlignment="1" applyProtection="1">
      <alignment horizontal="center" vertical="center"/>
      <protection locked="0"/>
    </xf>
    <xf numFmtId="167" fontId="16" fillId="4" borderId="2" xfId="4" applyNumberFormat="1" applyFont="1" applyFill="1" applyBorder="1" applyAlignment="1" applyProtection="1">
      <alignment horizontal="center" vertical="center" wrapText="1"/>
      <protection locked="0"/>
    </xf>
    <xf numFmtId="2" fontId="11" fillId="0" borderId="0" xfId="0" applyNumberFormat="1" applyFont="1"/>
    <xf numFmtId="0" fontId="6" fillId="4" borderId="8" xfId="4" applyFont="1" applyFill="1" applyBorder="1" applyAlignment="1" applyProtection="1">
      <alignment horizontal="center" vertical="center"/>
      <protection locked="0"/>
    </xf>
    <xf numFmtId="0" fontId="12" fillId="12" borderId="8" xfId="4" applyFont="1" applyFill="1" applyBorder="1" applyAlignment="1" applyProtection="1">
      <alignment horizontal="center" vertical="center" wrapText="1"/>
      <protection locked="0"/>
    </xf>
    <xf numFmtId="0" fontId="11" fillId="0" borderId="0" xfId="0" applyFont="1" applyAlignment="1">
      <alignment wrapText="1"/>
    </xf>
    <xf numFmtId="4" fontId="36" fillId="0" borderId="20" xfId="0" applyNumberFormat="1" applyFont="1" applyBorder="1" applyAlignment="1">
      <alignment horizontal="center" vertical="center"/>
    </xf>
    <xf numFmtId="0" fontId="35" fillId="0" borderId="2" xfId="4" applyFont="1" applyBorder="1" applyAlignment="1" applyProtection="1">
      <alignment horizontal="center" vertical="center" wrapText="1"/>
      <protection locked="0"/>
    </xf>
    <xf numFmtId="0" fontId="36" fillId="0" borderId="0" xfId="0" applyFont="1"/>
    <xf numFmtId="0" fontId="10" fillId="0" borderId="0" xfId="0" applyFont="1" applyAlignment="1">
      <alignment vertical="center" wrapText="1"/>
    </xf>
    <xf numFmtId="9" fontId="11" fillId="0" borderId="0" xfId="0" applyNumberFormat="1" applyFont="1" applyAlignment="1">
      <alignment wrapText="1"/>
    </xf>
    <xf numFmtId="179" fontId="6" fillId="4" borderId="2" xfId="13" applyNumberFormat="1" applyFont="1" applyFill="1" applyBorder="1" applyAlignment="1" applyProtection="1">
      <alignment horizontal="left" vertical="center" wrapText="1"/>
      <protection locked="0"/>
    </xf>
    <xf numFmtId="0" fontId="6" fillId="4" borderId="2" xfId="4" applyFont="1" applyFill="1" applyBorder="1" applyAlignment="1" applyProtection="1">
      <alignment vertical="center" wrapText="1"/>
      <protection locked="0"/>
    </xf>
    <xf numFmtId="0" fontId="12" fillId="12" borderId="2" xfId="4" applyFont="1" applyFill="1" applyBorder="1" applyAlignment="1" applyProtection="1">
      <alignment horizontal="center" vertical="center"/>
      <protection locked="0"/>
    </xf>
    <xf numFmtId="0" fontId="13" fillId="0" borderId="0" xfId="4" applyFont="1" applyAlignment="1" applyProtection="1">
      <alignment horizontal="left" vertical="center" wrapText="1"/>
      <protection locked="0"/>
    </xf>
    <xf numFmtId="0" fontId="6" fillId="0" borderId="0" xfId="4" applyFont="1" applyAlignment="1" applyProtection="1">
      <alignment horizontal="center" vertical="center"/>
      <protection locked="0"/>
    </xf>
    <xf numFmtId="0" fontId="6" fillId="0" borderId="0" xfId="4" applyFont="1" applyAlignment="1" applyProtection="1">
      <alignment horizontal="left" vertical="center" wrapText="1"/>
      <protection locked="0"/>
    </xf>
    <xf numFmtId="0" fontId="20" fillId="4" borderId="2" xfId="0" applyFont="1" applyFill="1" applyBorder="1" applyProtection="1">
      <protection locked="0"/>
    </xf>
    <xf numFmtId="4" fontId="20" fillId="4" borderId="2" xfId="0" applyNumberFormat="1" applyFont="1" applyFill="1" applyBorder="1" applyProtection="1">
      <protection locked="0"/>
    </xf>
    <xf numFmtId="167" fontId="23" fillId="0" borderId="2" xfId="2" applyFont="1" applyBorder="1" applyAlignment="1" applyProtection="1"/>
    <xf numFmtId="0" fontId="23" fillId="0" borderId="2" xfId="0" applyFont="1" applyBorder="1" applyAlignment="1">
      <alignment horizontal="center"/>
    </xf>
    <xf numFmtId="167" fontId="23" fillId="0" borderId="2" xfId="0" applyNumberFormat="1" applyFont="1" applyBorder="1" applyAlignment="1">
      <alignment horizontal="center" vertical="center"/>
    </xf>
    <xf numFmtId="0" fontId="20" fillId="0" borderId="2" xfId="0" applyFont="1" applyBorder="1" applyAlignment="1">
      <alignment horizontal="left" vertical="center" wrapText="1"/>
    </xf>
    <xf numFmtId="0" fontId="20" fillId="4" borderId="2" xfId="0" applyFont="1" applyFill="1" applyBorder="1" applyAlignment="1">
      <alignment horizontal="center" vertical="center"/>
    </xf>
    <xf numFmtId="0" fontId="12" fillId="0" borderId="2" xfId="4" applyFont="1" applyBorder="1" applyAlignment="1" applyProtection="1">
      <alignment horizontal="center" vertical="center" wrapText="1"/>
      <protection locked="0"/>
    </xf>
    <xf numFmtId="167" fontId="12" fillId="0" borderId="2" xfId="4" applyNumberFormat="1" applyFont="1" applyBorder="1" applyAlignment="1" applyProtection="1">
      <alignment horizontal="center" vertical="center" wrapText="1"/>
      <protection locked="0"/>
    </xf>
    <xf numFmtId="167" fontId="23" fillId="0" borderId="2" xfId="2" applyFont="1" applyFill="1" applyBorder="1" applyAlignment="1" applyProtection="1">
      <alignment horizontal="center" vertical="center"/>
    </xf>
    <xf numFmtId="167" fontId="23" fillId="0" borderId="8" xfId="2" applyFont="1" applyFill="1" applyBorder="1" applyAlignment="1" applyProtection="1">
      <alignment horizontal="center" vertical="center"/>
    </xf>
    <xf numFmtId="167" fontId="23" fillId="0" borderId="10" xfId="2" applyFont="1" applyFill="1" applyBorder="1" applyAlignment="1" applyProtection="1">
      <alignment horizontal="center" vertical="center"/>
    </xf>
    <xf numFmtId="167" fontId="23" fillId="0" borderId="9" xfId="2" applyFont="1" applyFill="1" applyBorder="1" applyAlignment="1" applyProtection="1">
      <alignment horizontal="center" vertical="center"/>
    </xf>
    <xf numFmtId="0" fontId="23" fillId="7" borderId="8" xfId="0" applyFont="1" applyFill="1" applyBorder="1" applyAlignment="1">
      <alignment horizontal="center" vertical="center"/>
    </xf>
    <xf numFmtId="0" fontId="23" fillId="7" borderId="10" xfId="0" applyFont="1" applyFill="1" applyBorder="1" applyAlignment="1">
      <alignment horizontal="center" vertical="center"/>
    </xf>
    <xf numFmtId="0" fontId="23" fillId="7" borderId="9" xfId="0" applyFont="1" applyFill="1" applyBorder="1" applyAlignment="1">
      <alignment horizontal="center" vertical="center"/>
    </xf>
    <xf numFmtId="0" fontId="23" fillId="7" borderId="13" xfId="0" applyFont="1" applyFill="1" applyBorder="1" applyAlignment="1">
      <alignment horizontal="center" vertical="center" shrinkToFit="1"/>
    </xf>
    <xf numFmtId="0" fontId="23" fillId="7" borderId="14" xfId="0" applyFont="1" applyFill="1" applyBorder="1" applyAlignment="1">
      <alignment horizontal="center" vertical="center" shrinkToFit="1"/>
    </xf>
    <xf numFmtId="0" fontId="23" fillId="7" borderId="15" xfId="0" applyFont="1" applyFill="1" applyBorder="1" applyAlignment="1">
      <alignment horizontal="center" vertical="center" shrinkToFit="1"/>
    </xf>
    <xf numFmtId="0" fontId="29" fillId="0" borderId="18" xfId="0" applyFont="1" applyBorder="1" applyAlignment="1">
      <alignment horizontal="center" vertical="center" shrinkToFit="1"/>
    </xf>
    <xf numFmtId="0" fontId="29" fillId="0" borderId="19" xfId="0" applyFont="1" applyBorder="1" applyAlignment="1">
      <alignment horizontal="center" vertical="center" shrinkToFit="1"/>
    </xf>
    <xf numFmtId="0" fontId="29" fillId="0" borderId="20" xfId="0" applyFont="1" applyBorder="1" applyAlignment="1">
      <alignment horizontal="center" vertical="center" shrinkToFit="1"/>
    </xf>
    <xf numFmtId="0" fontId="23" fillId="11" borderId="8" xfId="2" applyNumberFormat="1" applyFont="1" applyFill="1" applyBorder="1" applyAlignment="1" applyProtection="1">
      <alignment horizontal="center" vertical="center"/>
      <protection locked="0"/>
    </xf>
    <xf numFmtId="0" fontId="23" fillId="11" borderId="10" xfId="2" applyNumberFormat="1" applyFont="1" applyFill="1" applyBorder="1" applyAlignment="1" applyProtection="1">
      <alignment horizontal="center" vertical="center"/>
      <protection locked="0"/>
    </xf>
    <xf numFmtId="0" fontId="23" fillId="11" borderId="9" xfId="2" applyNumberFormat="1" applyFont="1" applyFill="1" applyBorder="1" applyAlignment="1" applyProtection="1">
      <alignment horizontal="center" vertical="center"/>
      <protection locked="0"/>
    </xf>
    <xf numFmtId="0" fontId="23" fillId="0" borderId="8" xfId="0" applyFont="1" applyBorder="1" applyAlignment="1">
      <alignment horizontal="center" vertical="center"/>
    </xf>
    <xf numFmtId="0" fontId="23" fillId="0" borderId="10" xfId="0" applyFont="1" applyBorder="1" applyAlignment="1">
      <alignment horizontal="center" vertical="center"/>
    </xf>
    <xf numFmtId="0" fontId="23" fillId="0" borderId="9" xfId="0" applyFont="1" applyBorder="1" applyAlignment="1">
      <alignment horizontal="center" vertical="center"/>
    </xf>
    <xf numFmtId="0" fontId="20" fillId="0" borderId="13" xfId="0" applyFont="1" applyBorder="1" applyAlignment="1">
      <alignment horizontal="center" vertical="center"/>
    </xf>
    <xf numFmtId="0" fontId="20" fillId="0" borderId="14" xfId="0" applyFont="1" applyBorder="1" applyAlignment="1">
      <alignment horizontal="center" vertical="center"/>
    </xf>
    <xf numFmtId="0" fontId="20" fillId="0" borderId="15" xfId="0" applyFont="1" applyBorder="1" applyAlignment="1">
      <alignment horizontal="center" vertical="center"/>
    </xf>
    <xf numFmtId="0" fontId="20" fillId="0" borderId="16" xfId="0" applyFont="1" applyBorder="1" applyAlignment="1">
      <alignment horizontal="center" vertical="center"/>
    </xf>
    <xf numFmtId="0" fontId="20" fillId="0" borderId="0" xfId="0" applyFont="1" applyAlignment="1">
      <alignment horizontal="center" vertical="center"/>
    </xf>
    <xf numFmtId="0" fontId="20" fillId="0" borderId="17" xfId="0" applyFont="1" applyBorder="1" applyAlignment="1">
      <alignment horizontal="center" vertical="center"/>
    </xf>
    <xf numFmtId="0" fontId="20" fillId="0" borderId="18" xfId="0" applyFont="1" applyBorder="1" applyAlignment="1">
      <alignment horizontal="center" vertical="center"/>
    </xf>
    <xf numFmtId="0" fontId="20" fillId="0" borderId="19" xfId="0" applyFont="1" applyBorder="1" applyAlignment="1">
      <alignment horizontal="center" vertical="center"/>
    </xf>
    <xf numFmtId="0" fontId="20" fillId="0" borderId="20" xfId="0" applyFont="1" applyBorder="1" applyAlignment="1">
      <alignment horizontal="center" vertical="center"/>
    </xf>
    <xf numFmtId="0" fontId="23" fillId="0" borderId="21" xfId="0" applyFont="1" applyBorder="1" applyAlignment="1">
      <alignment horizontal="center" vertical="center" textRotation="90" wrapText="1"/>
    </xf>
    <xf numFmtId="0" fontId="23" fillId="0" borderId="22" xfId="0" applyFont="1" applyBorder="1" applyAlignment="1">
      <alignment horizontal="center" vertical="center" textRotation="90" wrapText="1"/>
    </xf>
    <xf numFmtId="0" fontId="23" fillId="0" borderId="23" xfId="0" applyFont="1" applyBorder="1" applyAlignment="1">
      <alignment horizontal="center" vertical="center" textRotation="90" wrapText="1"/>
    </xf>
    <xf numFmtId="173" fontId="23" fillId="0" borderId="2" xfId="1" applyNumberFormat="1" applyFont="1" applyFill="1" applyBorder="1" applyAlignment="1" applyProtection="1">
      <alignment horizontal="center" vertical="center"/>
    </xf>
    <xf numFmtId="0" fontId="33" fillId="0" borderId="2" xfId="4" applyFont="1" applyBorder="1" applyAlignment="1" applyProtection="1">
      <alignment horizontal="center" vertical="center" wrapText="1"/>
      <protection locked="0"/>
    </xf>
    <xf numFmtId="0" fontId="26" fillId="0" borderId="2" xfId="0" applyFont="1" applyBorder="1" applyAlignment="1">
      <alignment horizontal="center" vertical="center" wrapText="1"/>
    </xf>
    <xf numFmtId="0" fontId="12" fillId="4" borderId="8" xfId="4" applyFont="1" applyFill="1" applyBorder="1" applyAlignment="1" applyProtection="1">
      <alignment horizontal="center" vertical="center" wrapText="1"/>
      <protection locked="0"/>
    </xf>
    <xf numFmtId="0" fontId="12" fillId="4" borderId="10" xfId="4" applyFont="1" applyFill="1" applyBorder="1" applyAlignment="1" applyProtection="1">
      <alignment horizontal="center" vertical="center" wrapText="1"/>
      <protection locked="0"/>
    </xf>
    <xf numFmtId="0" fontId="12" fillId="4" borderId="9" xfId="4" applyFont="1" applyFill="1" applyBorder="1" applyAlignment="1" applyProtection="1">
      <alignment horizontal="center" vertical="center" wrapText="1"/>
      <protection locked="0"/>
    </xf>
    <xf numFmtId="0" fontId="20" fillId="4" borderId="8" xfId="0" applyFont="1" applyFill="1" applyBorder="1" applyAlignment="1">
      <alignment horizontal="center" vertical="center"/>
    </xf>
    <xf numFmtId="0" fontId="20" fillId="4" borderId="9" xfId="0" applyFont="1" applyFill="1" applyBorder="1" applyAlignment="1">
      <alignment horizontal="center" vertical="center"/>
    </xf>
    <xf numFmtId="167" fontId="4" fillId="4" borderId="8" xfId="4" applyNumberFormat="1" applyFill="1" applyBorder="1" applyAlignment="1" applyProtection="1">
      <alignment horizontal="center" vertical="center" wrapText="1"/>
      <protection locked="0"/>
    </xf>
    <xf numFmtId="167" fontId="4" fillId="4" borderId="9" xfId="4" applyNumberFormat="1" applyFill="1" applyBorder="1" applyAlignment="1" applyProtection="1">
      <alignment horizontal="center" vertical="center" wrapText="1"/>
      <protection locked="0"/>
    </xf>
    <xf numFmtId="0" fontId="4" fillId="4" borderId="8" xfId="4" applyFill="1" applyBorder="1" applyAlignment="1" applyProtection="1">
      <alignment horizontal="center" vertical="center" wrapText="1"/>
      <protection locked="0"/>
    </xf>
    <xf numFmtId="0" fontId="4" fillId="4" borderId="9" xfId="4" applyFill="1" applyBorder="1" applyAlignment="1" applyProtection="1">
      <alignment horizontal="center" vertical="center" wrapText="1"/>
      <protection locked="0"/>
    </xf>
    <xf numFmtId="2" fontId="23" fillId="0" borderId="2" xfId="2" applyNumberFormat="1" applyFont="1" applyFill="1" applyBorder="1" applyAlignment="1" applyProtection="1">
      <alignment horizontal="center" vertical="center"/>
    </xf>
    <xf numFmtId="1" fontId="23" fillId="0" borderId="2" xfId="1" applyNumberFormat="1" applyFont="1" applyFill="1" applyBorder="1" applyAlignment="1" applyProtection="1">
      <alignment horizontal="center" vertical="center"/>
    </xf>
    <xf numFmtId="0" fontId="23" fillId="0" borderId="2" xfId="0" applyFont="1" applyBorder="1" applyAlignment="1">
      <alignment horizontal="center" vertical="center"/>
    </xf>
    <xf numFmtId="0" fontId="23"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0" fillId="0" borderId="2" xfId="0" applyFont="1" applyBorder="1" applyAlignment="1">
      <alignment horizontal="center" vertical="center"/>
    </xf>
    <xf numFmtId="0" fontId="23" fillId="0" borderId="2" xfId="0" applyFont="1" applyBorder="1" applyAlignment="1">
      <alignment horizontal="center" vertical="center" shrinkToFit="1"/>
    </xf>
    <xf numFmtId="0" fontId="20" fillId="0" borderId="2" xfId="0" applyFont="1" applyBorder="1" applyAlignment="1">
      <alignment horizontal="left" vertical="center"/>
    </xf>
    <xf numFmtId="0" fontId="23" fillId="11" borderId="2" xfId="0" applyFont="1" applyFill="1" applyBorder="1" applyAlignment="1">
      <alignment horizontal="center" vertical="center"/>
    </xf>
    <xf numFmtId="0" fontId="23" fillId="8" borderId="2" xfId="0" applyFont="1" applyFill="1" applyBorder="1" applyAlignment="1">
      <alignment horizontal="center" vertical="center"/>
    </xf>
    <xf numFmtId="0" fontId="23" fillId="0" borderId="2" xfId="0" applyFont="1" applyBorder="1" applyAlignment="1">
      <alignment horizontal="center" vertical="center" wrapText="1"/>
    </xf>
    <xf numFmtId="0" fontId="20" fillId="0" borderId="2" xfId="0" applyFont="1" applyBorder="1" applyAlignment="1" applyProtection="1">
      <alignment horizontal="center" vertical="center"/>
      <protection locked="0"/>
    </xf>
    <xf numFmtId="167" fontId="23" fillId="0" borderId="2" xfId="2" applyFont="1" applyFill="1" applyBorder="1" applyAlignment="1" applyProtection="1">
      <alignment horizontal="center" vertical="center"/>
      <protection locked="0"/>
    </xf>
    <xf numFmtId="0" fontId="20" fillId="0" borderId="2" xfId="0" applyFont="1" applyBorder="1" applyAlignment="1">
      <alignment horizontal="center"/>
    </xf>
    <xf numFmtId="167" fontId="20" fillId="0" borderId="2" xfId="2" applyFont="1" applyFill="1" applyBorder="1" applyAlignment="1" applyProtection="1">
      <alignment horizontal="center" vertical="center"/>
      <protection locked="0"/>
    </xf>
    <xf numFmtId="0" fontId="23" fillId="6" borderId="3" xfId="0" applyFont="1" applyFill="1" applyBorder="1" applyAlignment="1">
      <alignment horizontal="center" vertical="center" wrapText="1"/>
    </xf>
    <xf numFmtId="0" fontId="23" fillId="6" borderId="4" xfId="0" applyFont="1" applyFill="1" applyBorder="1" applyAlignment="1">
      <alignment horizontal="center" vertical="center" wrapText="1"/>
    </xf>
    <xf numFmtId="167" fontId="23" fillId="0" borderId="2" xfId="2" applyFont="1" applyBorder="1" applyAlignment="1" applyProtection="1">
      <alignment horizontal="center" vertical="center"/>
    </xf>
    <xf numFmtId="10" fontId="23" fillId="0" borderId="2" xfId="3" applyNumberFormat="1" applyFont="1" applyFill="1" applyBorder="1" applyAlignment="1" applyProtection="1">
      <alignment horizontal="center" vertical="center"/>
      <protection locked="0"/>
    </xf>
    <xf numFmtId="0" fontId="23" fillId="6" borderId="3" xfId="0" applyFont="1" applyFill="1" applyBorder="1" applyAlignment="1">
      <alignment horizontal="center" vertical="center"/>
    </xf>
    <xf numFmtId="0" fontId="23" fillId="6" borderId="4" xfId="0" applyFont="1" applyFill="1" applyBorder="1" applyAlignment="1">
      <alignment horizontal="center" vertical="center"/>
    </xf>
    <xf numFmtId="0" fontId="23" fillId="0" borderId="1" xfId="0" applyFont="1" applyBorder="1" applyAlignment="1">
      <alignment horizontal="center" vertical="center"/>
    </xf>
    <xf numFmtId="167" fontId="23" fillId="0" borderId="5" xfId="0" applyNumberFormat="1" applyFont="1" applyBorder="1" applyAlignment="1">
      <alignment horizontal="center" vertical="center" shrinkToFit="1"/>
    </xf>
    <xf numFmtId="0" fontId="23" fillId="0" borderId="6" xfId="0" applyFont="1" applyBorder="1" applyAlignment="1">
      <alignment horizontal="center" vertical="center" shrinkToFit="1"/>
    </xf>
    <xf numFmtId="0" fontId="23" fillId="0" borderId="7" xfId="0" applyFont="1" applyBorder="1" applyAlignment="1">
      <alignment horizontal="center" vertical="center" shrinkToFit="1"/>
    </xf>
    <xf numFmtId="0" fontId="23" fillId="2" borderId="1" xfId="0" applyFont="1" applyFill="1" applyBorder="1" applyAlignment="1">
      <alignment horizontal="center" vertical="center"/>
    </xf>
    <xf numFmtId="0" fontId="29" fillId="0" borderId="8" xfId="0" applyFont="1" applyBorder="1" applyAlignment="1">
      <alignment horizontal="center" vertical="center" shrinkToFit="1"/>
    </xf>
    <xf numFmtId="0" fontId="29" fillId="0" borderId="10" xfId="0" applyFont="1" applyBorder="1" applyAlignment="1">
      <alignment horizontal="center" vertical="center" shrinkToFit="1"/>
    </xf>
    <xf numFmtId="0" fontId="29" fillId="0" borderId="9" xfId="0" applyFont="1" applyBorder="1" applyAlignment="1">
      <alignment horizontal="center" vertical="center" shrinkToFit="1"/>
    </xf>
    <xf numFmtId="0" fontId="23" fillId="0" borderId="8" xfId="0" applyFont="1" applyBorder="1" applyAlignment="1">
      <alignment horizontal="center" vertical="center" shrinkToFit="1"/>
    </xf>
    <xf numFmtId="0" fontId="23" fillId="0" borderId="10" xfId="0" applyFont="1" applyBorder="1" applyAlignment="1">
      <alignment horizontal="center" vertical="center" shrinkToFit="1"/>
    </xf>
    <xf numFmtId="0" fontId="23" fillId="0" borderId="9" xfId="0" applyFont="1" applyBorder="1" applyAlignment="1">
      <alignment horizontal="center" vertical="center" shrinkToFit="1"/>
    </xf>
    <xf numFmtId="0" fontId="16" fillId="0" borderId="8" xfId="0" applyFont="1" applyBorder="1" applyAlignment="1">
      <alignment horizontal="left" vertical="center" wrapText="1"/>
    </xf>
    <xf numFmtId="0" fontId="16" fillId="0" borderId="10" xfId="0" applyFont="1" applyBorder="1" applyAlignment="1">
      <alignment horizontal="left" vertical="center" wrapText="1"/>
    </xf>
    <xf numFmtId="0" fontId="16" fillId="0" borderId="9" xfId="0" applyFont="1" applyBorder="1" applyAlignment="1">
      <alignment horizontal="left" vertical="center" wrapText="1"/>
    </xf>
    <xf numFmtId="0" fontId="12" fillId="10" borderId="8" xfId="4" applyFont="1" applyFill="1" applyBorder="1" applyAlignment="1" applyProtection="1">
      <alignment horizontal="center" vertical="center" wrapText="1"/>
      <protection locked="0"/>
    </xf>
    <xf numFmtId="0" fontId="12" fillId="10" borderId="10" xfId="4" applyFont="1" applyFill="1" applyBorder="1" applyAlignment="1" applyProtection="1">
      <alignment horizontal="center" vertical="center" wrapText="1"/>
      <protection locked="0"/>
    </xf>
    <xf numFmtId="0" fontId="12" fillId="10" borderId="9" xfId="4" applyFont="1" applyFill="1" applyBorder="1" applyAlignment="1" applyProtection="1">
      <alignment horizontal="center" vertical="center" wrapText="1"/>
      <protection locked="0"/>
    </xf>
    <xf numFmtId="0" fontId="23" fillId="0" borderId="2" xfId="0" applyFont="1" applyBorder="1" applyAlignment="1">
      <alignment horizontal="left" vertical="center"/>
    </xf>
    <xf numFmtId="0" fontId="23" fillId="4" borderId="2" xfId="0" applyFont="1" applyFill="1" applyBorder="1" applyAlignment="1" applyProtection="1">
      <alignment horizontal="center" vertical="center"/>
      <protection locked="0"/>
    </xf>
    <xf numFmtId="167" fontId="20" fillId="0" borderId="2" xfId="2" applyFont="1" applyFill="1" applyBorder="1" applyAlignment="1" applyProtection="1">
      <alignment horizontal="center" vertical="center"/>
    </xf>
    <xf numFmtId="0" fontId="9" fillId="4" borderId="2" xfId="4" applyFont="1" applyFill="1" applyBorder="1" applyAlignment="1" applyProtection="1">
      <alignment horizontal="center" vertical="center" wrapText="1"/>
      <protection locked="0"/>
    </xf>
    <xf numFmtId="0" fontId="6" fillId="4" borderId="2" xfId="4" applyFont="1" applyFill="1" applyBorder="1" applyAlignment="1" applyProtection="1">
      <alignment horizontal="center" vertical="center"/>
      <protection locked="0"/>
    </xf>
    <xf numFmtId="0" fontId="6" fillId="0" borderId="0" xfId="4" applyFont="1" applyAlignment="1" applyProtection="1">
      <alignment horizontal="center"/>
      <protection locked="0"/>
    </xf>
    <xf numFmtId="0" fontId="7" fillId="0" borderId="8" xfId="4" applyFont="1" applyBorder="1" applyAlignment="1" applyProtection="1">
      <alignment horizontal="center" vertical="center"/>
      <protection locked="0"/>
    </xf>
    <xf numFmtId="0" fontId="7" fillId="0" borderId="10" xfId="4" applyFont="1" applyBorder="1" applyAlignment="1" applyProtection="1">
      <alignment horizontal="center" vertical="center"/>
      <protection locked="0"/>
    </xf>
    <xf numFmtId="0" fontId="7" fillId="0" borderId="9" xfId="4" applyFont="1" applyBorder="1" applyAlignment="1" applyProtection="1">
      <alignment horizontal="center" vertical="center"/>
      <protection locked="0"/>
    </xf>
    <xf numFmtId="0" fontId="7" fillId="3" borderId="2" xfId="4" applyFont="1" applyFill="1" applyBorder="1" applyAlignment="1" applyProtection="1">
      <alignment horizontal="center" vertical="center" wrapText="1"/>
      <protection locked="0"/>
    </xf>
    <xf numFmtId="0" fontId="10" fillId="0" borderId="13" xfId="4" applyFont="1" applyBorder="1" applyAlignment="1">
      <alignment horizontal="center" vertical="center"/>
    </xf>
    <xf numFmtId="0" fontId="10" fillId="0" borderId="14" xfId="4" applyFont="1" applyBorder="1" applyAlignment="1">
      <alignment horizontal="center" vertical="center"/>
    </xf>
    <xf numFmtId="0" fontId="10" fillId="0" borderId="15" xfId="4" applyFont="1" applyBorder="1" applyAlignment="1">
      <alignment horizontal="center" vertical="center"/>
    </xf>
    <xf numFmtId="0" fontId="10" fillId="0" borderId="16" xfId="4" applyFont="1" applyBorder="1" applyAlignment="1">
      <alignment horizontal="center" vertical="center"/>
    </xf>
    <xf numFmtId="0" fontId="10" fillId="0" borderId="0" xfId="4" applyFont="1" applyAlignment="1">
      <alignment horizontal="center" vertical="center"/>
    </xf>
    <xf numFmtId="0" fontId="10" fillId="0" borderId="17" xfId="4" applyFont="1" applyBorder="1" applyAlignment="1">
      <alignment horizontal="center" vertical="center"/>
    </xf>
    <xf numFmtId="0" fontId="10" fillId="0" borderId="18" xfId="4" applyFont="1" applyBorder="1" applyAlignment="1">
      <alignment horizontal="center" vertical="center"/>
    </xf>
    <xf numFmtId="0" fontId="10" fillId="0" borderId="19" xfId="4" applyFont="1" applyBorder="1" applyAlignment="1">
      <alignment horizontal="center" vertical="center"/>
    </xf>
    <xf numFmtId="0" fontId="10" fillId="0" borderId="20" xfId="4" applyFont="1" applyBorder="1" applyAlignment="1">
      <alignment horizontal="center" vertical="center"/>
    </xf>
    <xf numFmtId="0" fontId="19" fillId="17" borderId="8" xfId="4" applyFont="1" applyFill="1" applyBorder="1" applyAlignment="1" applyProtection="1">
      <alignment horizontal="center" vertical="center" wrapText="1"/>
      <protection locked="0"/>
    </xf>
    <xf numFmtId="0" fontId="19" fillId="17" borderId="10" xfId="4" applyFont="1" applyFill="1" applyBorder="1" applyAlignment="1" applyProtection="1">
      <alignment horizontal="center" vertical="center" wrapText="1"/>
      <protection locked="0"/>
    </xf>
    <xf numFmtId="0" fontId="19" fillId="17" borderId="9" xfId="4" applyFont="1" applyFill="1" applyBorder="1" applyAlignment="1" applyProtection="1">
      <alignment horizontal="center" vertical="center" wrapText="1"/>
      <protection locked="0"/>
    </xf>
    <xf numFmtId="0" fontId="35" fillId="0" borderId="2" xfId="4" applyFont="1" applyBorder="1" applyAlignment="1">
      <alignment horizontal="center" vertical="center"/>
    </xf>
    <xf numFmtId="0" fontId="35" fillId="0" borderId="25" xfId="4" applyFont="1" applyBorder="1" applyAlignment="1">
      <alignment horizontal="center" vertical="center"/>
    </xf>
    <xf numFmtId="0" fontId="10" fillId="12" borderId="2" xfId="4" applyFont="1" applyFill="1" applyBorder="1" applyAlignment="1">
      <alignment horizontal="center" vertical="center"/>
    </xf>
    <xf numFmtId="0" fontId="11" fillId="0" borderId="2" xfId="4" applyFont="1" applyBorder="1" applyAlignment="1">
      <alignment horizontal="left" vertical="center" wrapText="1"/>
    </xf>
    <xf numFmtId="0" fontId="11" fillId="0" borderId="19" xfId="0" applyFont="1" applyBorder="1" applyAlignment="1">
      <alignment horizontal="center"/>
    </xf>
    <xf numFmtId="0" fontId="35" fillId="4" borderId="2" xfId="4" applyFont="1" applyFill="1" applyBorder="1" applyAlignment="1" applyProtection="1">
      <alignment horizontal="center" vertical="center"/>
      <protection locked="0"/>
    </xf>
    <xf numFmtId="0" fontId="35" fillId="4" borderId="21" xfId="4" applyFont="1" applyFill="1" applyBorder="1" applyAlignment="1" applyProtection="1">
      <alignment horizontal="center" vertical="center"/>
      <protection locked="0"/>
    </xf>
    <xf numFmtId="0" fontId="12" fillId="12" borderId="8" xfId="4" applyFont="1" applyFill="1" applyBorder="1" applyAlignment="1" applyProtection="1">
      <alignment horizontal="center" vertical="center"/>
      <protection locked="0"/>
    </xf>
    <xf numFmtId="0" fontId="12" fillId="12" borderId="9" xfId="4" applyFont="1" applyFill="1" applyBorder="1" applyAlignment="1" applyProtection="1">
      <alignment horizontal="center" vertical="center"/>
      <protection locked="0"/>
    </xf>
    <xf numFmtId="0" fontId="12" fillId="12" borderId="10" xfId="4" applyFont="1" applyFill="1" applyBorder="1" applyAlignment="1" applyProtection="1">
      <alignment horizontal="center" vertical="center"/>
      <protection locked="0"/>
    </xf>
    <xf numFmtId="0" fontId="7" fillId="15" borderId="13" xfId="4" applyFont="1" applyFill="1" applyBorder="1" applyAlignment="1" applyProtection="1">
      <alignment horizontal="center" vertical="center" wrapText="1"/>
      <protection locked="0"/>
    </xf>
    <xf numFmtId="0" fontId="7" fillId="15" borderId="15" xfId="4" applyFont="1" applyFill="1" applyBorder="1" applyAlignment="1" applyProtection="1">
      <alignment horizontal="center" vertical="center" wrapText="1"/>
      <protection locked="0"/>
    </xf>
    <xf numFmtId="0" fontId="7" fillId="15" borderId="18" xfId="4" applyFont="1" applyFill="1" applyBorder="1" applyAlignment="1" applyProtection="1">
      <alignment horizontal="center" vertical="center" wrapText="1"/>
      <protection locked="0"/>
    </xf>
    <xf numFmtId="0" fontId="7" fillId="15" borderId="20" xfId="4" applyFont="1" applyFill="1" applyBorder="1" applyAlignment="1" applyProtection="1">
      <alignment horizontal="center" vertical="center" wrapText="1"/>
      <protection locked="0"/>
    </xf>
    <xf numFmtId="0" fontId="7" fillId="12" borderId="8" xfId="4" applyFont="1" applyFill="1" applyBorder="1" applyAlignment="1" applyProtection="1">
      <alignment horizontal="center" vertical="center"/>
      <protection locked="0"/>
    </xf>
    <xf numFmtId="0" fontId="7" fillId="12" borderId="10" xfId="4" applyFont="1" applyFill="1" applyBorder="1" applyAlignment="1" applyProtection="1">
      <alignment horizontal="center" vertical="center"/>
      <protection locked="0"/>
    </xf>
    <xf numFmtId="0" fontId="7" fillId="12" borderId="9" xfId="4" applyFont="1" applyFill="1" applyBorder="1" applyAlignment="1" applyProtection="1">
      <alignment horizontal="center" vertical="center"/>
      <protection locked="0"/>
    </xf>
    <xf numFmtId="0" fontId="6" fillId="4" borderId="8" xfId="4" applyFont="1" applyFill="1" applyBorder="1" applyAlignment="1" applyProtection="1">
      <alignment horizontal="center" vertical="center"/>
      <protection locked="0"/>
    </xf>
    <xf numFmtId="0" fontId="6" fillId="4" borderId="10" xfId="4" applyFont="1" applyFill="1" applyBorder="1" applyAlignment="1" applyProtection="1">
      <alignment horizontal="center" vertical="center"/>
      <protection locked="0"/>
    </xf>
    <xf numFmtId="0" fontId="6" fillId="4" borderId="9" xfId="4" applyFont="1" applyFill="1" applyBorder="1" applyAlignment="1" applyProtection="1">
      <alignment horizontal="center" vertical="center"/>
      <protection locked="0"/>
    </xf>
    <xf numFmtId="14" fontId="6" fillId="4" borderId="8" xfId="4" applyNumberFormat="1" applyFont="1" applyFill="1" applyBorder="1" applyAlignment="1" applyProtection="1">
      <alignment horizontal="center" vertical="center" wrapText="1"/>
      <protection locked="0"/>
    </xf>
    <xf numFmtId="0" fontId="6" fillId="4" borderId="10" xfId="4" applyFont="1" applyFill="1" applyBorder="1" applyAlignment="1" applyProtection="1">
      <alignment horizontal="center" vertical="center" wrapText="1"/>
      <protection locked="0"/>
    </xf>
    <xf numFmtId="0" fontId="6" fillId="4" borderId="9" xfId="4" applyFont="1" applyFill="1" applyBorder="1" applyAlignment="1" applyProtection="1">
      <alignment horizontal="center" vertical="center" wrapText="1"/>
      <protection locked="0"/>
    </xf>
    <xf numFmtId="0" fontId="6" fillId="14" borderId="8" xfId="0" applyFont="1" applyFill="1" applyBorder="1" applyAlignment="1" applyProtection="1">
      <alignment horizontal="left" vertical="center" wrapText="1"/>
      <protection locked="0"/>
    </xf>
    <xf numFmtId="0" fontId="6" fillId="14" borderId="10" xfId="0" applyFont="1" applyFill="1" applyBorder="1" applyAlignment="1" applyProtection="1">
      <alignment horizontal="left" vertical="center" wrapText="1"/>
      <protection locked="0"/>
    </xf>
    <xf numFmtId="0" fontId="6" fillId="14" borderId="9" xfId="0" applyFont="1" applyFill="1" applyBorder="1" applyAlignment="1" applyProtection="1">
      <alignment horizontal="left" vertical="center" wrapText="1"/>
      <protection locked="0"/>
    </xf>
    <xf numFmtId="0" fontId="7" fillId="14" borderId="2" xfId="0" applyFont="1" applyFill="1" applyBorder="1" applyAlignment="1" applyProtection="1">
      <alignment horizontal="center" vertical="center" wrapText="1"/>
      <protection locked="0"/>
    </xf>
    <xf numFmtId="0" fontId="6" fillId="14" borderId="2" xfId="0" applyFont="1" applyFill="1" applyBorder="1" applyAlignment="1" applyProtection="1">
      <alignment horizontal="center" vertical="center" wrapText="1"/>
      <protection locked="0"/>
    </xf>
    <xf numFmtId="0" fontId="6" fillId="14" borderId="8" xfId="0" applyFont="1" applyFill="1" applyBorder="1" applyAlignment="1" applyProtection="1">
      <alignment horizontal="center" vertical="center" wrapText="1"/>
      <protection locked="0"/>
    </xf>
    <xf numFmtId="0" fontId="6" fillId="14" borderId="10" xfId="0" applyFont="1" applyFill="1" applyBorder="1" applyAlignment="1" applyProtection="1">
      <alignment horizontal="center" vertical="center" wrapText="1"/>
      <protection locked="0"/>
    </xf>
    <xf numFmtId="0" fontId="6" fillId="14" borderId="9" xfId="0" applyFont="1" applyFill="1" applyBorder="1" applyAlignment="1" applyProtection="1">
      <alignment horizontal="center" vertical="center" wrapText="1"/>
      <protection locked="0"/>
    </xf>
    <xf numFmtId="0" fontId="7" fillId="14" borderId="13" xfId="4" applyFont="1" applyFill="1" applyBorder="1" applyAlignment="1" applyProtection="1">
      <alignment horizontal="center" vertical="center" wrapText="1"/>
      <protection locked="0"/>
    </xf>
    <xf numFmtId="0" fontId="7" fillId="14" borderId="14" xfId="4" applyFont="1" applyFill="1" applyBorder="1" applyAlignment="1" applyProtection="1">
      <alignment horizontal="center" vertical="center" wrapText="1"/>
      <protection locked="0"/>
    </xf>
    <xf numFmtId="0" fontId="7" fillId="14" borderId="15" xfId="4" applyFont="1" applyFill="1" applyBorder="1" applyAlignment="1" applyProtection="1">
      <alignment horizontal="center" vertical="center" wrapText="1"/>
      <protection locked="0"/>
    </xf>
    <xf numFmtId="0" fontId="7" fillId="14" borderId="16" xfId="4" applyFont="1" applyFill="1" applyBorder="1" applyAlignment="1" applyProtection="1">
      <alignment horizontal="center" vertical="center" wrapText="1"/>
      <protection locked="0"/>
    </xf>
    <xf numFmtId="0" fontId="7" fillId="14" borderId="0" xfId="4" applyFont="1" applyFill="1" applyAlignment="1" applyProtection="1">
      <alignment horizontal="center" vertical="center" wrapText="1"/>
      <protection locked="0"/>
    </xf>
    <xf numFmtId="0" fontId="7" fillId="14" borderId="17" xfId="4" applyFont="1" applyFill="1" applyBorder="1" applyAlignment="1" applyProtection="1">
      <alignment horizontal="center" vertical="center" wrapText="1"/>
      <protection locked="0"/>
    </xf>
    <xf numFmtId="0" fontId="7" fillId="14" borderId="18" xfId="4" applyFont="1" applyFill="1" applyBorder="1" applyAlignment="1" applyProtection="1">
      <alignment horizontal="center" vertical="center" wrapText="1"/>
      <protection locked="0"/>
    </xf>
    <xf numFmtId="0" fontId="7" fillId="14" borderId="19" xfId="4" applyFont="1" applyFill="1" applyBorder="1" applyAlignment="1" applyProtection="1">
      <alignment horizontal="center" vertical="center" wrapText="1"/>
      <protection locked="0"/>
    </xf>
    <xf numFmtId="0" fontId="7" fillId="14" borderId="20" xfId="4" applyFont="1" applyFill="1" applyBorder="1" applyAlignment="1" applyProtection="1">
      <alignment horizontal="center" vertical="center" wrapText="1"/>
      <protection locked="0"/>
    </xf>
    <xf numFmtId="0" fontId="6" fillId="14" borderId="8" xfId="4" applyFont="1" applyFill="1" applyBorder="1" applyAlignment="1" applyProtection="1">
      <alignment horizontal="left" vertical="center" wrapText="1"/>
      <protection locked="0"/>
    </xf>
    <xf numFmtId="0" fontId="6" fillId="14" borderId="10" xfId="4" applyFont="1" applyFill="1" applyBorder="1" applyAlignment="1" applyProtection="1">
      <alignment horizontal="left" vertical="center" wrapText="1"/>
      <protection locked="0"/>
    </xf>
    <xf numFmtId="0" fontId="6" fillId="14" borderId="9" xfId="4" applyFont="1" applyFill="1" applyBorder="1" applyAlignment="1" applyProtection="1">
      <alignment horizontal="left" vertical="center" wrapText="1"/>
      <protection locked="0"/>
    </xf>
    <xf numFmtId="0" fontId="21" fillId="12" borderId="8" xfId="4" applyFont="1" applyFill="1" applyBorder="1" applyAlignment="1" applyProtection="1">
      <alignment horizontal="center" vertical="center" wrapText="1"/>
      <protection locked="0"/>
    </xf>
    <xf numFmtId="0" fontId="21" fillId="12" borderId="10" xfId="4" applyFont="1" applyFill="1" applyBorder="1" applyAlignment="1" applyProtection="1">
      <alignment horizontal="center" vertical="center" wrapText="1"/>
      <protection locked="0"/>
    </xf>
    <xf numFmtId="0" fontId="21" fillId="12" borderId="9" xfId="4" applyFont="1" applyFill="1" applyBorder="1" applyAlignment="1" applyProtection="1">
      <alignment horizontal="center" vertical="center" wrapText="1"/>
      <protection locked="0"/>
    </xf>
    <xf numFmtId="0" fontId="35" fillId="0" borderId="2" xfId="4" applyFont="1" applyBorder="1" applyAlignment="1" applyProtection="1">
      <alignment horizontal="center" vertical="center"/>
      <protection locked="0"/>
    </xf>
    <xf numFmtId="0" fontId="35" fillId="0" borderId="8" xfId="4" applyFont="1" applyBorder="1" applyAlignment="1" applyProtection="1">
      <alignment horizontal="center" vertical="center"/>
      <protection locked="0"/>
    </xf>
    <xf numFmtId="0" fontId="7" fillId="13" borderId="8" xfId="4" applyFont="1" applyFill="1" applyBorder="1" applyAlignment="1" applyProtection="1">
      <alignment horizontal="center" vertical="center" wrapText="1"/>
      <protection locked="0"/>
    </xf>
    <xf numFmtId="0" fontId="7" fillId="13" borderId="10" xfId="4" applyFont="1" applyFill="1" applyBorder="1" applyAlignment="1" applyProtection="1">
      <alignment horizontal="center" vertical="center" wrapText="1"/>
      <protection locked="0"/>
    </xf>
    <xf numFmtId="0" fontId="7" fillId="13" borderId="19" xfId="4" applyFont="1" applyFill="1" applyBorder="1" applyAlignment="1" applyProtection="1">
      <alignment horizontal="center" vertical="center" wrapText="1"/>
      <protection locked="0"/>
    </xf>
    <xf numFmtId="0" fontId="7" fillId="13" borderId="20" xfId="4" applyFont="1" applyFill="1" applyBorder="1" applyAlignment="1" applyProtection="1">
      <alignment horizontal="center" vertical="center" wrapText="1"/>
      <protection locked="0"/>
    </xf>
    <xf numFmtId="165" fontId="6" fillId="4" borderId="8" xfId="12" applyFont="1" applyFill="1" applyBorder="1" applyAlignment="1" applyProtection="1">
      <alignment horizontal="center" vertical="center"/>
      <protection locked="0"/>
    </xf>
    <xf numFmtId="0" fontId="7" fillId="4" borderId="2" xfId="4" applyFont="1" applyFill="1" applyBorder="1" applyAlignment="1" applyProtection="1">
      <alignment horizontal="center" vertical="center"/>
      <protection locked="0"/>
    </xf>
    <xf numFmtId="0" fontId="7" fillId="4" borderId="8" xfId="4" applyFont="1" applyFill="1" applyBorder="1" applyAlignment="1" applyProtection="1">
      <alignment horizontal="left" vertical="center"/>
      <protection locked="0"/>
    </xf>
    <xf numFmtId="0" fontId="7" fillId="4" borderId="10" xfId="4" applyFont="1" applyFill="1" applyBorder="1" applyAlignment="1" applyProtection="1">
      <alignment horizontal="left" vertical="center"/>
      <protection locked="0"/>
    </xf>
    <xf numFmtId="0" fontId="7" fillId="4" borderId="9" xfId="4" applyFont="1" applyFill="1" applyBorder="1" applyAlignment="1" applyProtection="1">
      <alignment horizontal="left" vertical="center"/>
      <protection locked="0"/>
    </xf>
    <xf numFmtId="9" fontId="6" fillId="14" borderId="8" xfId="11" applyFont="1" applyFill="1" applyBorder="1" applyAlignment="1" applyProtection="1">
      <alignment horizontal="center" vertical="center" wrapText="1"/>
      <protection locked="0"/>
    </xf>
    <xf numFmtId="9" fontId="6" fillId="14" borderId="10" xfId="11" applyFont="1" applyFill="1" applyBorder="1" applyAlignment="1" applyProtection="1">
      <alignment horizontal="center" vertical="center" wrapText="1"/>
      <protection locked="0"/>
    </xf>
    <xf numFmtId="9" fontId="6" fillId="14" borderId="9" xfId="11" applyFont="1" applyFill="1" applyBorder="1" applyAlignment="1" applyProtection="1">
      <alignment horizontal="center" vertical="center" wrapText="1"/>
      <protection locked="0"/>
    </xf>
    <xf numFmtId="0" fontId="7" fillId="14" borderId="23" xfId="0" applyFont="1" applyFill="1" applyBorder="1" applyAlignment="1" applyProtection="1">
      <alignment horizontal="center" vertical="center" wrapText="1"/>
      <protection locked="0"/>
    </xf>
    <xf numFmtId="165" fontId="6" fillId="4" borderId="9" xfId="12" applyFont="1" applyFill="1" applyBorder="1" applyAlignment="1" applyProtection="1">
      <alignment horizontal="center" vertical="center"/>
      <protection locked="0"/>
    </xf>
    <xf numFmtId="0" fontId="7" fillId="4" borderId="8" xfId="4" applyFont="1" applyFill="1" applyBorder="1" applyAlignment="1" applyProtection="1">
      <alignment horizontal="center" vertical="center"/>
      <protection locked="0"/>
    </xf>
    <xf numFmtId="0" fontId="7" fillId="4" borderId="9" xfId="4" applyFont="1" applyFill="1" applyBorder="1" applyAlignment="1" applyProtection="1">
      <alignment horizontal="center" vertical="center"/>
      <protection locked="0"/>
    </xf>
    <xf numFmtId="0" fontId="35" fillId="0" borderId="27" xfId="4" applyFont="1" applyBorder="1" applyAlignment="1" applyProtection="1">
      <alignment horizontal="center" vertical="center"/>
      <protection locked="0"/>
    </xf>
    <xf numFmtId="0" fontId="35" fillId="0" borderId="26" xfId="4" applyFont="1" applyBorder="1" applyAlignment="1" applyProtection="1">
      <alignment horizontal="center" vertical="center"/>
      <protection locked="0"/>
    </xf>
    <xf numFmtId="0" fontId="11" fillId="0" borderId="0" xfId="0" applyFont="1" applyAlignment="1">
      <alignment horizontal="center"/>
    </xf>
    <xf numFmtId="0" fontId="11" fillId="0" borderId="28" xfId="0" applyFont="1" applyBorder="1" applyAlignment="1">
      <alignment horizontal="center"/>
    </xf>
    <xf numFmtId="4" fontId="35" fillId="0" borderId="26" xfId="4" applyNumberFormat="1" applyFont="1" applyBorder="1" applyAlignment="1" applyProtection="1">
      <alignment horizontal="center"/>
      <protection locked="0"/>
    </xf>
    <xf numFmtId="0" fontId="7" fillId="0" borderId="13" xfId="4" applyFont="1" applyBorder="1" applyAlignment="1" applyProtection="1">
      <alignment horizontal="center" vertical="center" wrapText="1"/>
      <protection locked="0"/>
    </xf>
    <xf numFmtId="0" fontId="7" fillId="0" borderId="14" xfId="4" applyFont="1" applyBorder="1" applyAlignment="1" applyProtection="1">
      <alignment horizontal="center" vertical="center" wrapText="1"/>
      <protection locked="0"/>
    </xf>
    <xf numFmtId="0" fontId="7" fillId="0" borderId="15" xfId="4" applyFont="1" applyBorder="1" applyAlignment="1" applyProtection="1">
      <alignment horizontal="center" vertical="center" wrapText="1"/>
      <protection locked="0"/>
    </xf>
    <xf numFmtId="0" fontId="7" fillId="0" borderId="18" xfId="4" applyFont="1" applyBorder="1" applyAlignment="1" applyProtection="1">
      <alignment horizontal="center" vertical="center" wrapText="1"/>
      <protection locked="0"/>
    </xf>
    <xf numFmtId="0" fontId="7" fillId="0" borderId="19" xfId="4" applyFont="1" applyBorder="1" applyAlignment="1" applyProtection="1">
      <alignment horizontal="center" vertical="center" wrapText="1"/>
      <protection locked="0"/>
    </xf>
    <xf numFmtId="0" fontId="7" fillId="0" borderId="20" xfId="4" applyFont="1" applyBorder="1" applyAlignment="1" applyProtection="1">
      <alignment horizontal="center" vertical="center" wrapText="1"/>
      <protection locked="0"/>
    </xf>
    <xf numFmtId="0" fontId="11" fillId="0" borderId="8" xfId="4" applyFont="1" applyBorder="1" applyAlignment="1">
      <alignment horizontal="center" vertical="center"/>
    </xf>
    <xf numFmtId="0" fontId="11" fillId="0" borderId="10" xfId="4" applyFont="1" applyBorder="1" applyAlignment="1">
      <alignment horizontal="center" vertical="center"/>
    </xf>
    <xf numFmtId="0" fontId="11" fillId="0" borderId="20" xfId="4" applyFont="1" applyBorder="1" applyAlignment="1">
      <alignment horizontal="center" vertical="center"/>
    </xf>
    <xf numFmtId="0" fontId="13" fillId="0" borderId="2" xfId="4" applyFont="1" applyBorder="1" applyAlignment="1" applyProtection="1">
      <alignment horizontal="left" vertical="center" wrapText="1"/>
      <protection locked="0"/>
    </xf>
    <xf numFmtId="0" fontId="6" fillId="0" borderId="2" xfId="4" applyFont="1" applyBorder="1" applyAlignment="1" applyProtection="1">
      <alignment horizontal="center" vertical="top" wrapText="1"/>
      <protection locked="0"/>
    </xf>
    <xf numFmtId="0" fontId="7" fillId="14" borderId="13" xfId="0" applyFont="1" applyFill="1" applyBorder="1" applyAlignment="1" applyProtection="1">
      <alignment horizontal="center" vertical="center" wrapText="1"/>
      <protection locked="0"/>
    </xf>
    <xf numFmtId="0" fontId="7" fillId="14" borderId="14" xfId="0" applyFont="1" applyFill="1" applyBorder="1" applyAlignment="1" applyProtection="1">
      <alignment horizontal="center" vertical="center" wrapText="1"/>
      <protection locked="0"/>
    </xf>
    <xf numFmtId="0" fontId="7" fillId="14" borderId="15" xfId="0" applyFont="1" applyFill="1" applyBorder="1" applyAlignment="1" applyProtection="1">
      <alignment horizontal="center" vertical="center" wrapText="1"/>
      <protection locked="0"/>
    </xf>
    <xf numFmtId="0" fontId="7" fillId="14" borderId="16" xfId="0" applyFont="1" applyFill="1" applyBorder="1" applyAlignment="1" applyProtection="1">
      <alignment horizontal="center" vertical="center" wrapText="1"/>
      <protection locked="0"/>
    </xf>
    <xf numFmtId="0" fontId="7" fillId="14" borderId="0" xfId="0" applyFont="1" applyFill="1" applyAlignment="1" applyProtection="1">
      <alignment horizontal="center" vertical="center" wrapText="1"/>
      <protection locked="0"/>
    </xf>
    <xf numFmtId="0" fontId="7" fillId="14" borderId="17" xfId="0" applyFont="1" applyFill="1" applyBorder="1" applyAlignment="1" applyProtection="1">
      <alignment horizontal="center" vertical="center" wrapText="1"/>
      <protection locked="0"/>
    </xf>
    <xf numFmtId="0" fontId="13" fillId="4" borderId="2" xfId="4" applyFont="1" applyFill="1" applyBorder="1" applyAlignment="1" applyProtection="1">
      <alignment horizontal="center" vertical="center" wrapText="1"/>
      <protection locked="0"/>
    </xf>
    <xf numFmtId="3" fontId="35" fillId="0" borderId="8" xfId="4" applyNumberFormat="1" applyFont="1" applyBorder="1" applyAlignment="1" applyProtection="1">
      <alignment horizontal="center"/>
      <protection locked="0"/>
    </xf>
    <xf numFmtId="3" fontId="35" fillId="0" borderId="10" xfId="4" applyNumberFormat="1" applyFont="1" applyBorder="1" applyAlignment="1" applyProtection="1">
      <alignment horizontal="center"/>
      <protection locked="0"/>
    </xf>
    <xf numFmtId="0" fontId="7" fillId="3" borderId="2" xfId="4" applyFont="1" applyFill="1" applyBorder="1" applyAlignment="1" applyProtection="1">
      <alignment horizontal="left" vertical="center"/>
      <protection locked="0"/>
    </xf>
    <xf numFmtId="0" fontId="6" fillId="0" borderId="8" xfId="4" applyFont="1" applyBorder="1" applyAlignment="1" applyProtection="1">
      <alignment horizontal="left" vertical="center" wrapText="1" indent="2"/>
      <protection locked="0"/>
    </xf>
    <xf numFmtId="0" fontId="6" fillId="0" borderId="10" xfId="4" applyFont="1" applyBorder="1" applyAlignment="1" applyProtection="1">
      <alignment horizontal="left" vertical="center" wrapText="1" indent="2"/>
      <protection locked="0"/>
    </xf>
    <xf numFmtId="0" fontId="6" fillId="0" borderId="9" xfId="4" applyFont="1" applyBorder="1" applyAlignment="1" applyProtection="1">
      <alignment horizontal="left" vertical="center" wrapText="1" indent="2"/>
      <protection locked="0"/>
    </xf>
    <xf numFmtId="0" fontId="7" fillId="14" borderId="2" xfId="4" applyFont="1" applyFill="1" applyBorder="1" applyAlignment="1" applyProtection="1">
      <alignment horizontal="left"/>
      <protection locked="0"/>
    </xf>
    <xf numFmtId="0" fontId="6" fillId="16" borderId="2" xfId="4" applyFont="1" applyFill="1" applyBorder="1" applyAlignment="1" applyProtection="1">
      <alignment horizontal="center" vertical="center" wrapText="1"/>
      <protection locked="0"/>
    </xf>
    <xf numFmtId="0" fontId="6" fillId="0" borderId="2" xfId="4" applyFont="1" applyBorder="1" applyAlignment="1" applyProtection="1">
      <alignment horizontal="left" vertical="center" wrapText="1"/>
      <protection locked="0"/>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6" fillId="3" borderId="2" xfId="4" applyFont="1" applyFill="1" applyBorder="1" applyAlignment="1" applyProtection="1">
      <alignment horizontal="left" vertical="center"/>
      <protection locked="0"/>
    </xf>
    <xf numFmtId="0" fontId="6" fillId="3" borderId="0" xfId="4" applyFont="1" applyFill="1" applyAlignment="1" applyProtection="1">
      <alignment horizontal="left" vertical="center" wrapText="1"/>
      <protection locked="0"/>
    </xf>
    <xf numFmtId="0" fontId="6" fillId="3" borderId="2" xfId="4" applyFont="1" applyFill="1" applyBorder="1" applyAlignment="1" applyProtection="1">
      <alignment horizontal="left" wrapText="1"/>
      <protection locked="0"/>
    </xf>
    <xf numFmtId="0" fontId="6" fillId="0" borderId="8" xfId="4" applyFont="1" applyBorder="1" applyAlignment="1" applyProtection="1">
      <alignment horizontal="left" vertical="center" wrapText="1"/>
      <protection locked="0"/>
    </xf>
    <xf numFmtId="0" fontId="6" fillId="0" borderId="10" xfId="4" applyFont="1" applyBorder="1" applyAlignment="1" applyProtection="1">
      <alignment horizontal="left" vertical="center" wrapText="1"/>
      <protection locked="0"/>
    </xf>
    <xf numFmtId="0" fontId="6" fillId="0" borderId="9" xfId="4" applyFont="1" applyBorder="1" applyAlignment="1" applyProtection="1">
      <alignment horizontal="left" vertical="center" wrapText="1"/>
      <protection locked="0"/>
    </xf>
    <xf numFmtId="0" fontId="7" fillId="14" borderId="2" xfId="4" applyFont="1" applyFill="1" applyBorder="1" applyAlignment="1" applyProtection="1">
      <alignment horizontal="left" vertical="center"/>
      <protection locked="0"/>
    </xf>
    <xf numFmtId="0" fontId="6" fillId="3" borderId="2" xfId="4" applyFont="1" applyFill="1" applyBorder="1" applyAlignment="1" applyProtection="1">
      <alignment horizontal="left" vertical="center" wrapText="1"/>
      <protection locked="0"/>
    </xf>
    <xf numFmtId="0" fontId="7" fillId="3" borderId="2" xfId="4" applyFont="1" applyFill="1" applyBorder="1" applyAlignment="1" applyProtection="1">
      <alignment horizontal="center" vertical="center"/>
      <protection locked="0"/>
    </xf>
    <xf numFmtId="0" fontId="37" fillId="0" borderId="8" xfId="4" applyFont="1" applyBorder="1" applyAlignment="1" applyProtection="1">
      <alignment horizontal="center" vertical="center"/>
      <protection locked="0"/>
    </xf>
    <xf numFmtId="0" fontId="37" fillId="0" borderId="10" xfId="4" applyFont="1" applyBorder="1" applyAlignment="1" applyProtection="1">
      <alignment horizontal="center" vertical="center"/>
      <protection locked="0"/>
    </xf>
    <xf numFmtId="0" fontId="37" fillId="0" borderId="9" xfId="4" applyFont="1" applyBorder="1" applyAlignment="1" applyProtection="1">
      <alignment horizontal="center" vertical="center"/>
      <protection locked="0"/>
    </xf>
    <xf numFmtId="0" fontId="35" fillId="0" borderId="10" xfId="4" applyFont="1" applyBorder="1" applyAlignment="1" applyProtection="1">
      <alignment horizontal="center" vertical="center"/>
      <protection locked="0"/>
    </xf>
    <xf numFmtId="0" fontId="35" fillId="0" borderId="9" xfId="4" applyFont="1" applyBorder="1" applyAlignment="1" applyProtection="1">
      <alignment horizontal="center" vertical="center"/>
      <protection locked="0"/>
    </xf>
    <xf numFmtId="0" fontId="36" fillId="0" borderId="8" xfId="0" applyFont="1" applyBorder="1" applyAlignment="1">
      <alignment horizontal="center" wrapText="1"/>
    </xf>
    <xf numFmtId="0" fontId="36" fillId="0" borderId="10" xfId="0" applyFont="1" applyBorder="1" applyAlignment="1">
      <alignment horizontal="center" wrapText="1"/>
    </xf>
    <xf numFmtId="0" fontId="36" fillId="0" borderId="9" xfId="0" applyFont="1" applyBorder="1" applyAlignment="1">
      <alignment horizontal="center" wrapText="1"/>
    </xf>
    <xf numFmtId="0" fontId="6" fillId="3" borderId="17" xfId="4" applyFont="1" applyFill="1" applyBorder="1" applyAlignment="1" applyProtection="1">
      <alignment horizontal="center" vertical="center" wrapText="1"/>
      <protection locked="0"/>
    </xf>
    <xf numFmtId="0" fontId="6" fillId="0" borderId="13" xfId="4" applyFont="1" applyBorder="1" applyAlignment="1" applyProtection="1">
      <alignment horizontal="center" vertical="center" wrapText="1"/>
      <protection locked="0"/>
    </xf>
    <xf numFmtId="0" fontId="6" fillId="0" borderId="15" xfId="4" applyFont="1" applyBorder="1" applyAlignment="1" applyProtection="1">
      <alignment horizontal="center" vertical="center" wrapText="1"/>
      <protection locked="0"/>
    </xf>
    <xf numFmtId="0" fontId="6" fillId="0" borderId="16" xfId="4" applyFont="1" applyBorder="1" applyAlignment="1" applyProtection="1">
      <alignment horizontal="center" vertical="center" wrapText="1"/>
      <protection locked="0"/>
    </xf>
    <xf numFmtId="0" fontId="6" fillId="0" borderId="17" xfId="4" applyFont="1" applyBorder="1" applyAlignment="1" applyProtection="1">
      <alignment horizontal="center" vertical="center" wrapText="1"/>
      <protection locked="0"/>
    </xf>
    <xf numFmtId="0" fontId="6" fillId="0" borderId="18" xfId="4" applyFont="1" applyBorder="1" applyAlignment="1" applyProtection="1">
      <alignment horizontal="center" vertical="center" wrapText="1"/>
      <protection locked="0"/>
    </xf>
    <xf numFmtId="0" fontId="6" fillId="0" borderId="20" xfId="4" applyFont="1" applyBorder="1" applyAlignment="1" applyProtection="1">
      <alignment horizontal="center" vertical="center" wrapText="1"/>
      <protection locked="0"/>
    </xf>
    <xf numFmtId="0" fontId="6" fillId="0" borderId="21" xfId="4" applyFont="1" applyBorder="1" applyAlignment="1" applyProtection="1">
      <alignment horizontal="center" vertical="center" wrapText="1"/>
      <protection hidden="1"/>
    </xf>
    <xf numFmtId="0" fontId="6" fillId="0" borderId="22" xfId="4" applyFont="1" applyBorder="1" applyAlignment="1" applyProtection="1">
      <alignment horizontal="center" vertical="center" wrapText="1"/>
      <protection hidden="1"/>
    </xf>
    <xf numFmtId="0" fontId="6" fillId="0" borderId="23" xfId="4" applyFont="1" applyBorder="1" applyAlignment="1" applyProtection="1">
      <alignment horizontal="center" vertical="center" wrapText="1"/>
      <protection hidden="1"/>
    </xf>
    <xf numFmtId="0" fontId="6" fillId="3" borderId="8" xfId="4" applyFont="1" applyFill="1" applyBorder="1" applyAlignment="1" applyProtection="1">
      <alignment horizontal="left" vertical="center"/>
      <protection locked="0"/>
    </xf>
    <xf numFmtId="0" fontId="6" fillId="0" borderId="8" xfId="4" applyFont="1" applyBorder="1" applyAlignment="1" applyProtection="1">
      <alignment horizontal="left" vertical="center"/>
      <protection locked="0"/>
    </xf>
    <xf numFmtId="0" fontId="7" fillId="12" borderId="2" xfId="4" applyFont="1" applyFill="1" applyBorder="1" applyAlignment="1" applyProtection="1">
      <alignment horizontal="center" vertical="center"/>
      <protection locked="0"/>
    </xf>
    <xf numFmtId="0" fontId="12" fillId="12" borderId="2" xfId="4" applyFont="1" applyFill="1" applyBorder="1" applyAlignment="1" applyProtection="1">
      <alignment horizontal="center" vertical="center" wrapText="1"/>
      <protection locked="0"/>
    </xf>
    <xf numFmtId="0" fontId="29" fillId="0" borderId="2" xfId="0" applyFont="1" applyBorder="1" applyAlignment="1">
      <alignment horizontal="center" vertical="center" shrinkToFit="1"/>
    </xf>
    <xf numFmtId="0" fontId="23" fillId="0" borderId="13" xfId="0" applyFont="1" applyBorder="1" applyAlignment="1">
      <alignment horizontal="center" vertical="center" shrinkToFit="1"/>
    </xf>
    <xf numFmtId="0" fontId="23" fillId="0" borderId="14" xfId="0" applyFont="1" applyBorder="1" applyAlignment="1">
      <alignment horizontal="center" vertical="center" shrinkToFit="1"/>
    </xf>
    <xf numFmtId="0" fontId="23" fillId="0" borderId="15" xfId="0" applyFont="1" applyBorder="1" applyAlignment="1">
      <alignment horizontal="center" vertical="center" shrinkToFit="1"/>
    </xf>
    <xf numFmtId="0" fontId="31" fillId="0" borderId="2" xfId="4" applyFont="1" applyBorder="1" applyAlignment="1" applyProtection="1">
      <alignment horizontal="center" vertical="center" wrapText="1"/>
      <protection locked="0"/>
    </xf>
    <xf numFmtId="0" fontId="27" fillId="0" borderId="2" xfId="0" applyFont="1" applyBorder="1" applyAlignment="1">
      <alignment horizontal="center" vertical="center" wrapText="1"/>
    </xf>
    <xf numFmtId="167" fontId="12" fillId="0" borderId="10" xfId="4" applyNumberFormat="1" applyFont="1" applyBorder="1" applyAlignment="1" applyProtection="1">
      <alignment horizontal="center" vertical="center" wrapText="1"/>
      <protection locked="0"/>
    </xf>
    <xf numFmtId="0" fontId="12" fillId="0" borderId="10" xfId="4" applyFont="1" applyBorder="1" applyAlignment="1" applyProtection="1">
      <alignment horizontal="center" vertical="center" wrapText="1"/>
      <protection locked="0"/>
    </xf>
    <xf numFmtId="0" fontId="23" fillId="0" borderId="24" xfId="0" applyFont="1" applyBorder="1" applyAlignment="1">
      <alignment horizontal="center" vertical="center" wrapText="1"/>
    </xf>
    <xf numFmtId="0" fontId="23" fillId="0" borderId="8" xfId="0" applyFont="1" applyBorder="1" applyAlignment="1">
      <alignment horizontal="left" vertical="center"/>
    </xf>
    <xf numFmtId="0" fontId="23" fillId="0" borderId="10" xfId="0" applyFont="1" applyBorder="1" applyAlignment="1">
      <alignment horizontal="left" vertical="center"/>
    </xf>
    <xf numFmtId="0" fontId="23" fillId="0" borderId="9" xfId="0" applyFont="1" applyBorder="1" applyAlignment="1">
      <alignment horizontal="left" vertical="center"/>
    </xf>
    <xf numFmtId="0" fontId="23" fillId="0" borderId="8" xfId="0" applyFont="1" applyBorder="1" applyAlignment="1">
      <alignment horizontal="center"/>
    </xf>
    <xf numFmtId="0" fontId="23" fillId="0" borderId="10" xfId="0" applyFont="1" applyBorder="1" applyAlignment="1">
      <alignment horizontal="center"/>
    </xf>
    <xf numFmtId="0" fontId="23" fillId="0" borderId="9" xfId="0" applyFont="1" applyBorder="1" applyAlignment="1">
      <alignment horizontal="center"/>
    </xf>
    <xf numFmtId="1" fontId="23" fillId="0" borderId="8" xfId="1" applyNumberFormat="1" applyFont="1" applyFill="1" applyBorder="1" applyAlignment="1" applyProtection="1">
      <alignment horizontal="center" vertical="center"/>
    </xf>
    <xf numFmtId="1" fontId="23" fillId="0" borderId="10" xfId="1" applyNumberFormat="1" applyFont="1" applyFill="1" applyBorder="1" applyAlignment="1" applyProtection="1">
      <alignment horizontal="center" vertical="center"/>
    </xf>
    <xf numFmtId="1" fontId="23" fillId="0" borderId="9" xfId="1" applyNumberFormat="1" applyFont="1" applyFill="1" applyBorder="1" applyAlignment="1" applyProtection="1">
      <alignment horizontal="center" vertical="center"/>
    </xf>
    <xf numFmtId="0" fontId="23" fillId="2" borderId="5" xfId="0" applyFont="1" applyFill="1" applyBorder="1" applyAlignment="1">
      <alignment horizontal="center" vertical="center"/>
    </xf>
    <xf numFmtId="0" fontId="23" fillId="2" borderId="6" xfId="0" applyFont="1" applyFill="1" applyBorder="1" applyAlignment="1">
      <alignment horizontal="center" vertical="center"/>
    </xf>
    <xf numFmtId="0" fontId="23" fillId="2" borderId="7" xfId="0" applyFont="1" applyFill="1" applyBorder="1" applyAlignment="1">
      <alignment horizontal="center" vertical="center"/>
    </xf>
    <xf numFmtId="2" fontId="23" fillId="0" borderId="8" xfId="2" applyNumberFormat="1" applyFont="1" applyFill="1" applyBorder="1" applyAlignment="1" applyProtection="1">
      <alignment horizontal="center" vertical="center"/>
    </xf>
    <xf numFmtId="2" fontId="23" fillId="0" borderId="10" xfId="2" applyNumberFormat="1" applyFont="1" applyFill="1" applyBorder="1" applyAlignment="1" applyProtection="1">
      <alignment horizontal="center" vertical="center"/>
    </xf>
    <xf numFmtId="2" fontId="23" fillId="0" borderId="9" xfId="2" applyNumberFormat="1" applyFont="1" applyFill="1" applyBorder="1" applyAlignment="1" applyProtection="1">
      <alignment horizontal="center" vertical="center"/>
    </xf>
    <xf numFmtId="0" fontId="23" fillId="0" borderId="8"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9" xfId="0" applyFont="1" applyBorder="1" applyAlignment="1">
      <alignment horizontal="center" vertical="center" wrapText="1"/>
    </xf>
    <xf numFmtId="0" fontId="20" fillId="0" borderId="8" xfId="0" applyFont="1" applyBorder="1" applyAlignment="1" applyProtection="1">
      <alignment horizontal="center" vertical="center"/>
      <protection locked="0"/>
    </xf>
    <xf numFmtId="0" fontId="20" fillId="0" borderId="9" xfId="0" applyFont="1" applyBorder="1" applyAlignment="1" applyProtection="1">
      <alignment horizontal="center" vertical="center"/>
      <protection locked="0"/>
    </xf>
    <xf numFmtId="0" fontId="20" fillId="0" borderId="8" xfId="0" applyFont="1" applyBorder="1" applyAlignment="1">
      <alignment horizontal="center"/>
    </xf>
    <xf numFmtId="0" fontId="20" fillId="0" borderId="10" xfId="0" applyFont="1" applyBorder="1" applyAlignment="1">
      <alignment horizontal="center"/>
    </xf>
    <xf numFmtId="0" fontId="20" fillId="0" borderId="9" xfId="0" applyFont="1" applyBorder="1" applyAlignment="1">
      <alignment horizontal="center"/>
    </xf>
    <xf numFmtId="167" fontId="20" fillId="0" borderId="8" xfId="2" applyFont="1" applyFill="1" applyBorder="1" applyAlignment="1" applyProtection="1">
      <alignment horizontal="center" vertical="center"/>
      <protection locked="0"/>
    </xf>
    <xf numFmtId="167" fontId="20" fillId="0" borderId="10" xfId="2" applyFont="1" applyFill="1" applyBorder="1" applyAlignment="1" applyProtection="1">
      <alignment horizontal="center" vertical="center"/>
      <protection locked="0"/>
    </xf>
    <xf numFmtId="167" fontId="20" fillId="0" borderId="9" xfId="2" applyFont="1" applyFill="1" applyBorder="1" applyAlignment="1" applyProtection="1">
      <alignment horizontal="center" vertical="center"/>
      <protection locked="0"/>
    </xf>
    <xf numFmtId="0" fontId="20" fillId="0" borderId="8" xfId="0" applyFont="1" applyBorder="1" applyAlignment="1">
      <alignment horizontal="left" vertical="center"/>
    </xf>
    <xf numFmtId="0" fontId="20" fillId="0" borderId="10" xfId="0" applyFont="1" applyBorder="1" applyAlignment="1">
      <alignment horizontal="left" vertical="center"/>
    </xf>
    <xf numFmtId="0" fontId="20" fillId="0" borderId="9" xfId="0" applyFont="1" applyBorder="1" applyAlignment="1">
      <alignment horizontal="left" vertical="center"/>
    </xf>
    <xf numFmtId="0" fontId="20" fillId="4" borderId="10" xfId="0" applyFont="1" applyFill="1" applyBorder="1" applyAlignment="1">
      <alignment horizontal="center" vertical="center"/>
    </xf>
    <xf numFmtId="10" fontId="23" fillId="0" borderId="8" xfId="3" applyNumberFormat="1" applyFont="1" applyFill="1" applyBorder="1" applyAlignment="1" applyProtection="1">
      <alignment horizontal="center" vertical="center"/>
      <protection locked="0"/>
    </xf>
    <xf numFmtId="10" fontId="23" fillId="0" borderId="10" xfId="3" applyNumberFormat="1" applyFont="1" applyFill="1" applyBorder="1" applyAlignment="1" applyProtection="1">
      <alignment horizontal="center" vertical="center"/>
      <protection locked="0"/>
    </xf>
    <xf numFmtId="10" fontId="23" fillId="0" borderId="9" xfId="3" applyNumberFormat="1" applyFont="1" applyFill="1" applyBorder="1" applyAlignment="1" applyProtection="1">
      <alignment horizontal="center" vertical="center"/>
      <protection locked="0"/>
    </xf>
    <xf numFmtId="0" fontId="23" fillId="0" borderId="8" xfId="0" applyFont="1" applyBorder="1" applyAlignment="1">
      <alignment horizontal="left" vertical="top"/>
    </xf>
    <xf numFmtId="0" fontId="23" fillId="0" borderId="10" xfId="0" applyFont="1" applyBorder="1" applyAlignment="1">
      <alignment horizontal="left" vertical="top"/>
    </xf>
    <xf numFmtId="0" fontId="23" fillId="0" borderId="9" xfId="0" applyFont="1" applyBorder="1" applyAlignment="1">
      <alignment horizontal="left" vertical="top"/>
    </xf>
    <xf numFmtId="0" fontId="17" fillId="4" borderId="2" xfId="4" applyFont="1" applyFill="1" applyBorder="1" applyAlignment="1" applyProtection="1">
      <alignment horizontal="center" vertical="center" wrapText="1"/>
      <protection locked="0"/>
    </xf>
    <xf numFmtId="0" fontId="17" fillId="4" borderId="2" xfId="4" applyFont="1" applyFill="1" applyBorder="1" applyAlignment="1" applyProtection="1">
      <alignment horizontal="left" vertical="center" wrapText="1"/>
      <protection locked="0"/>
    </xf>
    <xf numFmtId="9" fontId="11" fillId="0" borderId="2" xfId="0" applyNumberFormat="1" applyFont="1" applyBorder="1"/>
    <xf numFmtId="0" fontId="11" fillId="0" borderId="2" xfId="0" applyFont="1" applyBorder="1" applyAlignment="1">
      <alignment horizontal="right"/>
    </xf>
  </cellXfs>
  <cellStyles count="16">
    <cellStyle name="Millares" xfId="1" builtinId="3"/>
    <cellStyle name="Millares 2" xfId="6" xr:uid="{00000000-0005-0000-0000-000001000000}"/>
    <cellStyle name="Millares 3" xfId="5" xr:uid="{00000000-0005-0000-0000-000002000000}"/>
    <cellStyle name="Millares 3 2" xfId="14" xr:uid="{00000000-0005-0000-0000-000003000000}"/>
    <cellStyle name="Millares 4" xfId="15" xr:uid="{00000000-0005-0000-0000-000004000000}"/>
    <cellStyle name="Moneda" xfId="2" builtinId="4"/>
    <cellStyle name="Moneda [0] 2" xfId="8" xr:uid="{00000000-0005-0000-0000-000006000000}"/>
    <cellStyle name="Moneda [0] 3" xfId="13" xr:uid="{00000000-0005-0000-0000-000007000000}"/>
    <cellStyle name="Moneda 2" xfId="7" xr:uid="{00000000-0005-0000-0000-000008000000}"/>
    <cellStyle name="Moneda 3" xfId="12" xr:uid="{00000000-0005-0000-0000-000009000000}"/>
    <cellStyle name="Normal" xfId="0" builtinId="0"/>
    <cellStyle name="Normal 2" xfId="10" xr:uid="{00000000-0005-0000-0000-00000B000000}"/>
    <cellStyle name="Normal 3" xfId="4" xr:uid="{00000000-0005-0000-0000-00000C000000}"/>
    <cellStyle name="Porcentaje" xfId="3" builtinId="5"/>
    <cellStyle name="Porcentaje 2" xfId="9" xr:uid="{00000000-0005-0000-0000-00000E000000}"/>
    <cellStyle name="Porcentaje 3" xfId="11" xr:uid="{00000000-0005-0000-0000-00000F000000}"/>
  </cellStyles>
  <dxfs count="29">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color theme="0"/>
      </font>
    </dxf>
    <dxf>
      <font>
        <color theme="0"/>
      </font>
      <fill>
        <patternFill>
          <bgColor theme="0"/>
        </patternFill>
      </fill>
    </dxf>
    <dxf>
      <font>
        <color theme="0"/>
      </font>
      <fill>
        <patternFill>
          <bgColor theme="0"/>
        </patternFill>
      </fill>
    </dxf>
    <dxf>
      <font>
        <color theme="0"/>
      </font>
      <fill>
        <patternFill>
          <bgColor theme="0"/>
        </patternFill>
      </fill>
    </dxf>
    <dxf>
      <fill>
        <patternFill>
          <bgColor theme="5" tint="0.59996337778862885"/>
        </patternFill>
      </fill>
    </dxf>
    <dxf>
      <fill>
        <patternFill>
          <bgColor theme="9" tint="0.79998168889431442"/>
        </patternFill>
      </fill>
    </dxf>
    <dxf>
      <font>
        <b/>
        <i val="0"/>
        <color rgb="FFFF0000"/>
      </font>
      <fill>
        <patternFill>
          <bgColor theme="0"/>
        </patternFill>
      </fill>
    </dxf>
    <dxf>
      <font>
        <b/>
        <i val="0"/>
        <color rgb="FFFF0000"/>
      </font>
    </dxf>
    <dxf>
      <font>
        <b val="0"/>
        <i val="0"/>
      </font>
    </dxf>
  </dxfs>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cid:f6ed3872-b65b-489d-a086-43eb7ae87284" TargetMode="External"/><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4.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5.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8</xdr:col>
      <xdr:colOff>4881</xdr:colOff>
      <xdr:row>0</xdr:row>
      <xdr:rowOff>76200</xdr:rowOff>
    </xdr:from>
    <xdr:to>
      <xdr:col>9</xdr:col>
      <xdr:colOff>198263</xdr:colOff>
      <xdr:row>0</xdr:row>
      <xdr:rowOff>1368698</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10653831" y="76200"/>
          <a:ext cx="2212683" cy="1292498"/>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17</xdr:row>
          <xdr:rowOff>171450</xdr:rowOff>
        </xdr:from>
        <xdr:to>
          <xdr:col>5</xdr:col>
          <xdr:colOff>133350</xdr:colOff>
          <xdr:row>19</xdr:row>
          <xdr:rowOff>152400</xdr:rowOff>
        </xdr:to>
        <xdr:sp macro="" textlink="">
          <xdr:nvSpPr>
            <xdr:cNvPr id="7169" name="Object 1" hidden="1">
              <a:extLst>
                <a:ext uri="{63B3BB69-23CF-44E3-9099-C40C66FF867C}">
                  <a14:compatExt spid="_x0000_s7169"/>
                </a:ext>
                <a:ext uri="{FF2B5EF4-FFF2-40B4-BE49-F238E27FC236}">
                  <a16:creationId xmlns:a16="http://schemas.microsoft.com/office/drawing/2014/main" id="{00000000-0008-0000-0100-0000011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53</xdr:row>
          <xdr:rowOff>85725</xdr:rowOff>
        </xdr:from>
        <xdr:to>
          <xdr:col>5</xdr:col>
          <xdr:colOff>0</xdr:colOff>
          <xdr:row>55</xdr:row>
          <xdr:rowOff>123825</xdr:rowOff>
        </xdr:to>
        <xdr:sp macro="" textlink="">
          <xdr:nvSpPr>
            <xdr:cNvPr id="7170" name="Object 2" hidden="1">
              <a:extLst>
                <a:ext uri="{63B3BB69-23CF-44E3-9099-C40C66FF867C}">
                  <a14:compatExt spid="_x0000_s7170"/>
                </a:ext>
                <a:ext uri="{FF2B5EF4-FFF2-40B4-BE49-F238E27FC236}">
                  <a16:creationId xmlns:a16="http://schemas.microsoft.com/office/drawing/2014/main" id="{00000000-0008-0000-0100-0000021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22</xdr:row>
          <xdr:rowOff>171450</xdr:rowOff>
        </xdr:from>
        <xdr:to>
          <xdr:col>4</xdr:col>
          <xdr:colOff>1000125</xdr:colOff>
          <xdr:row>25</xdr:row>
          <xdr:rowOff>47625</xdr:rowOff>
        </xdr:to>
        <xdr:sp macro="" textlink="">
          <xdr:nvSpPr>
            <xdr:cNvPr id="2049" name="Object 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58</xdr:row>
          <xdr:rowOff>85725</xdr:rowOff>
        </xdr:from>
        <xdr:to>
          <xdr:col>4</xdr:col>
          <xdr:colOff>866775</xdr:colOff>
          <xdr:row>60</xdr:row>
          <xdr:rowOff>123825</xdr:rowOff>
        </xdr:to>
        <xdr:sp macro="" textlink="">
          <xdr:nvSpPr>
            <xdr:cNvPr id="2050" name="Object 2" hidden="1">
              <a:extLst>
                <a:ext uri="{63B3BB69-23CF-44E3-9099-C40C66FF867C}">
                  <a14:compatExt spid="_x0000_s2050"/>
                </a:ext>
                <a:ext uri="{FF2B5EF4-FFF2-40B4-BE49-F238E27FC236}">
                  <a16:creationId xmlns:a16="http://schemas.microsoft.com/office/drawing/2014/main" id="{00000000-0008-0000-0200-000002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74</xdr:row>
          <xdr:rowOff>9525</xdr:rowOff>
        </xdr:from>
        <xdr:to>
          <xdr:col>5</xdr:col>
          <xdr:colOff>19050</xdr:colOff>
          <xdr:row>75</xdr:row>
          <xdr:rowOff>190500</xdr:rowOff>
        </xdr:to>
        <xdr:sp macro="" textlink="">
          <xdr:nvSpPr>
            <xdr:cNvPr id="2051" name="Object 3" hidden="1">
              <a:extLst>
                <a:ext uri="{63B3BB69-23CF-44E3-9099-C40C66FF867C}">
                  <a14:compatExt spid="_x0000_s2051"/>
                </a:ext>
                <a:ext uri="{FF2B5EF4-FFF2-40B4-BE49-F238E27FC236}">
                  <a16:creationId xmlns:a16="http://schemas.microsoft.com/office/drawing/2014/main" id="{00000000-0008-0000-0200-000003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109</xdr:row>
          <xdr:rowOff>85725</xdr:rowOff>
        </xdr:from>
        <xdr:to>
          <xdr:col>4</xdr:col>
          <xdr:colOff>552450</xdr:colOff>
          <xdr:row>111</xdr:row>
          <xdr:rowOff>123825</xdr:rowOff>
        </xdr:to>
        <xdr:sp macro="" textlink="">
          <xdr:nvSpPr>
            <xdr:cNvPr id="2052" name="Object 4" hidden="1">
              <a:extLst>
                <a:ext uri="{63B3BB69-23CF-44E3-9099-C40C66FF867C}">
                  <a14:compatExt spid="_x0000_s2052"/>
                </a:ext>
                <a:ext uri="{FF2B5EF4-FFF2-40B4-BE49-F238E27FC236}">
                  <a16:creationId xmlns:a16="http://schemas.microsoft.com/office/drawing/2014/main" id="{00000000-0008-0000-0200-000004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24</xdr:row>
          <xdr:rowOff>171450</xdr:rowOff>
        </xdr:from>
        <xdr:to>
          <xdr:col>6</xdr:col>
          <xdr:colOff>361950</xdr:colOff>
          <xdr:row>26</xdr:row>
          <xdr:rowOff>180975</xdr:rowOff>
        </xdr:to>
        <xdr:sp macro="" textlink="">
          <xdr:nvSpPr>
            <xdr:cNvPr id="8193" name="Object 1" hidden="1">
              <a:extLst>
                <a:ext uri="{63B3BB69-23CF-44E3-9099-C40C66FF867C}">
                  <a14:compatExt spid="_x0000_s8193"/>
                </a:ext>
                <a:ext uri="{FF2B5EF4-FFF2-40B4-BE49-F238E27FC236}">
                  <a16:creationId xmlns:a16="http://schemas.microsoft.com/office/drawing/2014/main" id="{00000000-0008-0000-0300-000001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59</xdr:row>
          <xdr:rowOff>85725</xdr:rowOff>
        </xdr:from>
        <xdr:to>
          <xdr:col>6</xdr:col>
          <xdr:colOff>228600</xdr:colOff>
          <xdr:row>61</xdr:row>
          <xdr:rowOff>123825</xdr:rowOff>
        </xdr:to>
        <xdr:sp macro="" textlink="">
          <xdr:nvSpPr>
            <xdr:cNvPr id="8194" name="Object 2" hidden="1">
              <a:extLst>
                <a:ext uri="{63B3BB69-23CF-44E3-9099-C40C66FF867C}">
                  <a14:compatExt spid="_x0000_s8194"/>
                </a:ext>
                <a:ext uri="{FF2B5EF4-FFF2-40B4-BE49-F238E27FC236}">
                  <a16:creationId xmlns:a16="http://schemas.microsoft.com/office/drawing/2014/main" id="{00000000-0008-0000-0300-000002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75</xdr:row>
          <xdr:rowOff>9525</xdr:rowOff>
        </xdr:from>
        <xdr:to>
          <xdr:col>6</xdr:col>
          <xdr:colOff>447675</xdr:colOff>
          <xdr:row>76</xdr:row>
          <xdr:rowOff>190500</xdr:rowOff>
        </xdr:to>
        <xdr:sp macro="" textlink="">
          <xdr:nvSpPr>
            <xdr:cNvPr id="8195" name="Object 3" hidden="1">
              <a:extLst>
                <a:ext uri="{63B3BB69-23CF-44E3-9099-C40C66FF867C}">
                  <a14:compatExt spid="_x0000_s8195"/>
                </a:ext>
                <a:ext uri="{FF2B5EF4-FFF2-40B4-BE49-F238E27FC236}">
                  <a16:creationId xmlns:a16="http://schemas.microsoft.com/office/drawing/2014/main" id="{00000000-0008-0000-0300-000003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109</xdr:row>
          <xdr:rowOff>85725</xdr:rowOff>
        </xdr:from>
        <xdr:to>
          <xdr:col>5</xdr:col>
          <xdr:colOff>371475</xdr:colOff>
          <xdr:row>111</xdr:row>
          <xdr:rowOff>123825</xdr:rowOff>
        </xdr:to>
        <xdr:sp macro="" textlink="">
          <xdr:nvSpPr>
            <xdr:cNvPr id="8196" name="Object 4" hidden="1">
              <a:extLst>
                <a:ext uri="{63B3BB69-23CF-44E3-9099-C40C66FF867C}">
                  <a14:compatExt spid="_x0000_s8196"/>
                </a:ext>
                <a:ext uri="{FF2B5EF4-FFF2-40B4-BE49-F238E27FC236}">
                  <a16:creationId xmlns:a16="http://schemas.microsoft.com/office/drawing/2014/main" id="{00000000-0008-0000-0300-000004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125</xdr:row>
          <xdr:rowOff>9525</xdr:rowOff>
        </xdr:from>
        <xdr:to>
          <xdr:col>6</xdr:col>
          <xdr:colOff>447675</xdr:colOff>
          <xdr:row>126</xdr:row>
          <xdr:rowOff>190500</xdr:rowOff>
        </xdr:to>
        <xdr:sp macro="" textlink="">
          <xdr:nvSpPr>
            <xdr:cNvPr id="8204" name="Object 12" hidden="1">
              <a:extLst>
                <a:ext uri="{63B3BB69-23CF-44E3-9099-C40C66FF867C}">
                  <a14:compatExt spid="_x0000_s8204"/>
                </a:ext>
                <a:ext uri="{FF2B5EF4-FFF2-40B4-BE49-F238E27FC236}">
                  <a16:creationId xmlns:a16="http://schemas.microsoft.com/office/drawing/2014/main" id="{00000000-0008-0000-0300-00000C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159</xdr:row>
          <xdr:rowOff>85725</xdr:rowOff>
        </xdr:from>
        <xdr:to>
          <xdr:col>5</xdr:col>
          <xdr:colOff>371475</xdr:colOff>
          <xdr:row>161</xdr:row>
          <xdr:rowOff>123825</xdr:rowOff>
        </xdr:to>
        <xdr:sp macro="" textlink="">
          <xdr:nvSpPr>
            <xdr:cNvPr id="8205" name="Object 13" hidden="1">
              <a:extLst>
                <a:ext uri="{63B3BB69-23CF-44E3-9099-C40C66FF867C}">
                  <a14:compatExt spid="_x0000_s8205"/>
                </a:ext>
                <a:ext uri="{FF2B5EF4-FFF2-40B4-BE49-F238E27FC236}">
                  <a16:creationId xmlns:a16="http://schemas.microsoft.com/office/drawing/2014/main" id="{00000000-0008-0000-0300-00000D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26</xdr:row>
          <xdr:rowOff>171450</xdr:rowOff>
        </xdr:from>
        <xdr:to>
          <xdr:col>6</xdr:col>
          <xdr:colOff>361950</xdr:colOff>
          <xdr:row>28</xdr:row>
          <xdr:rowOff>180975</xdr:rowOff>
        </xdr:to>
        <xdr:sp macro="" textlink="">
          <xdr:nvSpPr>
            <xdr:cNvPr id="9217" name="Object 1" hidden="1">
              <a:extLst>
                <a:ext uri="{63B3BB69-23CF-44E3-9099-C40C66FF867C}">
                  <a14:compatExt spid="_x0000_s9217"/>
                </a:ext>
                <a:ext uri="{FF2B5EF4-FFF2-40B4-BE49-F238E27FC236}">
                  <a16:creationId xmlns:a16="http://schemas.microsoft.com/office/drawing/2014/main" id="{00000000-0008-0000-0400-000001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61</xdr:row>
          <xdr:rowOff>85725</xdr:rowOff>
        </xdr:from>
        <xdr:to>
          <xdr:col>6</xdr:col>
          <xdr:colOff>228600</xdr:colOff>
          <xdr:row>63</xdr:row>
          <xdr:rowOff>123825</xdr:rowOff>
        </xdr:to>
        <xdr:sp macro="" textlink="">
          <xdr:nvSpPr>
            <xdr:cNvPr id="9218" name="Object 2" hidden="1">
              <a:extLst>
                <a:ext uri="{63B3BB69-23CF-44E3-9099-C40C66FF867C}">
                  <a14:compatExt spid="_x0000_s9218"/>
                </a:ext>
                <a:ext uri="{FF2B5EF4-FFF2-40B4-BE49-F238E27FC236}">
                  <a16:creationId xmlns:a16="http://schemas.microsoft.com/office/drawing/2014/main" id="{00000000-0008-0000-0400-000002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77</xdr:row>
          <xdr:rowOff>9525</xdr:rowOff>
        </xdr:from>
        <xdr:to>
          <xdr:col>6</xdr:col>
          <xdr:colOff>447675</xdr:colOff>
          <xdr:row>78</xdr:row>
          <xdr:rowOff>190500</xdr:rowOff>
        </xdr:to>
        <xdr:sp macro="" textlink="">
          <xdr:nvSpPr>
            <xdr:cNvPr id="9219" name="Object 3" hidden="1">
              <a:extLst>
                <a:ext uri="{63B3BB69-23CF-44E3-9099-C40C66FF867C}">
                  <a14:compatExt spid="_x0000_s9219"/>
                </a:ext>
                <a:ext uri="{FF2B5EF4-FFF2-40B4-BE49-F238E27FC236}">
                  <a16:creationId xmlns:a16="http://schemas.microsoft.com/office/drawing/2014/main" id="{00000000-0008-0000-0400-000003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111</xdr:row>
          <xdr:rowOff>85725</xdr:rowOff>
        </xdr:from>
        <xdr:to>
          <xdr:col>5</xdr:col>
          <xdr:colOff>371475</xdr:colOff>
          <xdr:row>113</xdr:row>
          <xdr:rowOff>123825</xdr:rowOff>
        </xdr:to>
        <xdr:sp macro="" textlink="">
          <xdr:nvSpPr>
            <xdr:cNvPr id="9220" name="Object 4" hidden="1">
              <a:extLst>
                <a:ext uri="{63B3BB69-23CF-44E3-9099-C40C66FF867C}">
                  <a14:compatExt spid="_x0000_s9220"/>
                </a:ext>
                <a:ext uri="{FF2B5EF4-FFF2-40B4-BE49-F238E27FC236}">
                  <a16:creationId xmlns:a16="http://schemas.microsoft.com/office/drawing/2014/main" id="{00000000-0008-0000-0400-000004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127</xdr:row>
          <xdr:rowOff>9525</xdr:rowOff>
        </xdr:from>
        <xdr:to>
          <xdr:col>6</xdr:col>
          <xdr:colOff>447675</xdr:colOff>
          <xdr:row>128</xdr:row>
          <xdr:rowOff>190500</xdr:rowOff>
        </xdr:to>
        <xdr:sp macro="" textlink="">
          <xdr:nvSpPr>
            <xdr:cNvPr id="9221" name="Object 5" hidden="1">
              <a:extLst>
                <a:ext uri="{63B3BB69-23CF-44E3-9099-C40C66FF867C}">
                  <a14:compatExt spid="_x0000_s9221"/>
                </a:ext>
                <a:ext uri="{FF2B5EF4-FFF2-40B4-BE49-F238E27FC236}">
                  <a16:creationId xmlns:a16="http://schemas.microsoft.com/office/drawing/2014/main" id="{00000000-0008-0000-0400-000005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161</xdr:row>
          <xdr:rowOff>85725</xdr:rowOff>
        </xdr:from>
        <xdr:to>
          <xdr:col>5</xdr:col>
          <xdr:colOff>371475</xdr:colOff>
          <xdr:row>163</xdr:row>
          <xdr:rowOff>123825</xdr:rowOff>
        </xdr:to>
        <xdr:sp macro="" textlink="">
          <xdr:nvSpPr>
            <xdr:cNvPr id="9222" name="Object 6" hidden="1">
              <a:extLst>
                <a:ext uri="{63B3BB69-23CF-44E3-9099-C40C66FF867C}">
                  <a14:compatExt spid="_x0000_s9222"/>
                </a:ext>
                <a:ext uri="{FF2B5EF4-FFF2-40B4-BE49-F238E27FC236}">
                  <a16:creationId xmlns:a16="http://schemas.microsoft.com/office/drawing/2014/main" id="{00000000-0008-0000-0400-000006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177</xdr:row>
          <xdr:rowOff>9525</xdr:rowOff>
        </xdr:from>
        <xdr:to>
          <xdr:col>6</xdr:col>
          <xdr:colOff>447675</xdr:colOff>
          <xdr:row>178</xdr:row>
          <xdr:rowOff>190500</xdr:rowOff>
        </xdr:to>
        <xdr:sp macro="" textlink="">
          <xdr:nvSpPr>
            <xdr:cNvPr id="9227" name="Object 11" hidden="1">
              <a:extLst>
                <a:ext uri="{63B3BB69-23CF-44E3-9099-C40C66FF867C}">
                  <a14:compatExt spid="_x0000_s9227"/>
                </a:ext>
                <a:ext uri="{FF2B5EF4-FFF2-40B4-BE49-F238E27FC236}">
                  <a16:creationId xmlns:a16="http://schemas.microsoft.com/office/drawing/2014/main" id="{00000000-0008-0000-0400-00000B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211</xdr:row>
          <xdr:rowOff>85725</xdr:rowOff>
        </xdr:from>
        <xdr:to>
          <xdr:col>5</xdr:col>
          <xdr:colOff>371475</xdr:colOff>
          <xdr:row>213</xdr:row>
          <xdr:rowOff>123825</xdr:rowOff>
        </xdr:to>
        <xdr:sp macro="" textlink="">
          <xdr:nvSpPr>
            <xdr:cNvPr id="9228" name="Object 12" hidden="1">
              <a:extLst>
                <a:ext uri="{63B3BB69-23CF-44E3-9099-C40C66FF867C}">
                  <a14:compatExt spid="_x0000_s9228"/>
                </a:ext>
                <a:ext uri="{FF2B5EF4-FFF2-40B4-BE49-F238E27FC236}">
                  <a16:creationId xmlns:a16="http://schemas.microsoft.com/office/drawing/2014/main" id="{00000000-0008-0000-0400-00000C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28</xdr:row>
          <xdr:rowOff>171450</xdr:rowOff>
        </xdr:from>
        <xdr:to>
          <xdr:col>6</xdr:col>
          <xdr:colOff>361950</xdr:colOff>
          <xdr:row>30</xdr:row>
          <xdr:rowOff>152400</xdr:rowOff>
        </xdr:to>
        <xdr:sp macro="" textlink="">
          <xdr:nvSpPr>
            <xdr:cNvPr id="10241" name="Object 1" hidden="1">
              <a:extLst>
                <a:ext uri="{63B3BB69-23CF-44E3-9099-C40C66FF867C}">
                  <a14:compatExt spid="_x0000_s10241"/>
                </a:ext>
                <a:ext uri="{FF2B5EF4-FFF2-40B4-BE49-F238E27FC236}">
                  <a16:creationId xmlns:a16="http://schemas.microsoft.com/office/drawing/2014/main" id="{00000000-0008-0000-0500-000001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63</xdr:row>
          <xdr:rowOff>85725</xdr:rowOff>
        </xdr:from>
        <xdr:to>
          <xdr:col>6</xdr:col>
          <xdr:colOff>228600</xdr:colOff>
          <xdr:row>65</xdr:row>
          <xdr:rowOff>123825</xdr:rowOff>
        </xdr:to>
        <xdr:sp macro="" textlink="">
          <xdr:nvSpPr>
            <xdr:cNvPr id="10242" name="Object 2" hidden="1">
              <a:extLst>
                <a:ext uri="{63B3BB69-23CF-44E3-9099-C40C66FF867C}">
                  <a14:compatExt spid="_x0000_s10242"/>
                </a:ext>
                <a:ext uri="{FF2B5EF4-FFF2-40B4-BE49-F238E27FC236}">
                  <a16:creationId xmlns:a16="http://schemas.microsoft.com/office/drawing/2014/main" id="{00000000-0008-0000-0500-000002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79</xdr:row>
          <xdr:rowOff>9525</xdr:rowOff>
        </xdr:from>
        <xdr:to>
          <xdr:col>6</xdr:col>
          <xdr:colOff>447675</xdr:colOff>
          <xdr:row>80</xdr:row>
          <xdr:rowOff>190500</xdr:rowOff>
        </xdr:to>
        <xdr:sp macro="" textlink="">
          <xdr:nvSpPr>
            <xdr:cNvPr id="10243" name="Object 3" hidden="1">
              <a:extLst>
                <a:ext uri="{63B3BB69-23CF-44E3-9099-C40C66FF867C}">
                  <a14:compatExt spid="_x0000_s10243"/>
                </a:ext>
                <a:ext uri="{FF2B5EF4-FFF2-40B4-BE49-F238E27FC236}">
                  <a16:creationId xmlns:a16="http://schemas.microsoft.com/office/drawing/2014/main" id="{00000000-0008-0000-0500-000003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113</xdr:row>
          <xdr:rowOff>85725</xdr:rowOff>
        </xdr:from>
        <xdr:to>
          <xdr:col>5</xdr:col>
          <xdr:colOff>371475</xdr:colOff>
          <xdr:row>115</xdr:row>
          <xdr:rowOff>123825</xdr:rowOff>
        </xdr:to>
        <xdr:sp macro="" textlink="">
          <xdr:nvSpPr>
            <xdr:cNvPr id="10244" name="Object 4" hidden="1">
              <a:extLst>
                <a:ext uri="{63B3BB69-23CF-44E3-9099-C40C66FF867C}">
                  <a14:compatExt spid="_x0000_s10244"/>
                </a:ext>
                <a:ext uri="{FF2B5EF4-FFF2-40B4-BE49-F238E27FC236}">
                  <a16:creationId xmlns:a16="http://schemas.microsoft.com/office/drawing/2014/main" id="{00000000-0008-0000-0500-000004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129</xdr:row>
          <xdr:rowOff>9525</xdr:rowOff>
        </xdr:from>
        <xdr:to>
          <xdr:col>6</xdr:col>
          <xdr:colOff>447675</xdr:colOff>
          <xdr:row>130</xdr:row>
          <xdr:rowOff>190500</xdr:rowOff>
        </xdr:to>
        <xdr:sp macro="" textlink="">
          <xdr:nvSpPr>
            <xdr:cNvPr id="10245" name="Object 5" hidden="1">
              <a:extLst>
                <a:ext uri="{63B3BB69-23CF-44E3-9099-C40C66FF867C}">
                  <a14:compatExt spid="_x0000_s10245"/>
                </a:ext>
                <a:ext uri="{FF2B5EF4-FFF2-40B4-BE49-F238E27FC236}">
                  <a16:creationId xmlns:a16="http://schemas.microsoft.com/office/drawing/2014/main" id="{00000000-0008-0000-0500-000005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163</xdr:row>
          <xdr:rowOff>85725</xdr:rowOff>
        </xdr:from>
        <xdr:to>
          <xdr:col>5</xdr:col>
          <xdr:colOff>371475</xdr:colOff>
          <xdr:row>165</xdr:row>
          <xdr:rowOff>123825</xdr:rowOff>
        </xdr:to>
        <xdr:sp macro="" textlink="">
          <xdr:nvSpPr>
            <xdr:cNvPr id="10246" name="Object 6" hidden="1">
              <a:extLst>
                <a:ext uri="{63B3BB69-23CF-44E3-9099-C40C66FF867C}">
                  <a14:compatExt spid="_x0000_s10246"/>
                </a:ext>
                <a:ext uri="{FF2B5EF4-FFF2-40B4-BE49-F238E27FC236}">
                  <a16:creationId xmlns:a16="http://schemas.microsoft.com/office/drawing/2014/main" id="{00000000-0008-0000-0500-000006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179</xdr:row>
          <xdr:rowOff>9525</xdr:rowOff>
        </xdr:from>
        <xdr:to>
          <xdr:col>6</xdr:col>
          <xdr:colOff>447675</xdr:colOff>
          <xdr:row>180</xdr:row>
          <xdr:rowOff>190500</xdr:rowOff>
        </xdr:to>
        <xdr:sp macro="" textlink="">
          <xdr:nvSpPr>
            <xdr:cNvPr id="10247" name="Object 7" hidden="1">
              <a:extLst>
                <a:ext uri="{63B3BB69-23CF-44E3-9099-C40C66FF867C}">
                  <a14:compatExt spid="_x0000_s10247"/>
                </a:ext>
                <a:ext uri="{FF2B5EF4-FFF2-40B4-BE49-F238E27FC236}">
                  <a16:creationId xmlns:a16="http://schemas.microsoft.com/office/drawing/2014/main" id="{00000000-0008-0000-0500-000007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213</xdr:row>
          <xdr:rowOff>85725</xdr:rowOff>
        </xdr:from>
        <xdr:to>
          <xdr:col>5</xdr:col>
          <xdr:colOff>371475</xdr:colOff>
          <xdr:row>215</xdr:row>
          <xdr:rowOff>123825</xdr:rowOff>
        </xdr:to>
        <xdr:sp macro="" textlink="">
          <xdr:nvSpPr>
            <xdr:cNvPr id="10248" name="Object 8" hidden="1">
              <a:extLst>
                <a:ext uri="{63B3BB69-23CF-44E3-9099-C40C66FF867C}">
                  <a14:compatExt spid="_x0000_s10248"/>
                </a:ext>
                <a:ext uri="{FF2B5EF4-FFF2-40B4-BE49-F238E27FC236}">
                  <a16:creationId xmlns:a16="http://schemas.microsoft.com/office/drawing/2014/main" id="{00000000-0008-0000-0500-000008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229</xdr:row>
          <xdr:rowOff>9525</xdr:rowOff>
        </xdr:from>
        <xdr:to>
          <xdr:col>6</xdr:col>
          <xdr:colOff>447675</xdr:colOff>
          <xdr:row>230</xdr:row>
          <xdr:rowOff>190500</xdr:rowOff>
        </xdr:to>
        <xdr:sp macro="" textlink="">
          <xdr:nvSpPr>
            <xdr:cNvPr id="10254" name="Object 14" hidden="1">
              <a:extLst>
                <a:ext uri="{63B3BB69-23CF-44E3-9099-C40C66FF867C}">
                  <a14:compatExt spid="_x0000_s10254"/>
                </a:ext>
                <a:ext uri="{FF2B5EF4-FFF2-40B4-BE49-F238E27FC236}">
                  <a16:creationId xmlns:a16="http://schemas.microsoft.com/office/drawing/2014/main" id="{00000000-0008-0000-0500-00000E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263</xdr:row>
          <xdr:rowOff>85725</xdr:rowOff>
        </xdr:from>
        <xdr:to>
          <xdr:col>5</xdr:col>
          <xdr:colOff>371475</xdr:colOff>
          <xdr:row>265</xdr:row>
          <xdr:rowOff>123825</xdr:rowOff>
        </xdr:to>
        <xdr:sp macro="" textlink="">
          <xdr:nvSpPr>
            <xdr:cNvPr id="10255" name="Object 15" hidden="1">
              <a:extLst>
                <a:ext uri="{63B3BB69-23CF-44E3-9099-C40C66FF867C}">
                  <a14:compatExt spid="_x0000_s10255"/>
                </a:ext>
                <a:ext uri="{FF2B5EF4-FFF2-40B4-BE49-F238E27FC236}">
                  <a16:creationId xmlns:a16="http://schemas.microsoft.com/office/drawing/2014/main" id="{00000000-0008-0000-0500-00000F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vmlDrawing" Target="../drawings/vmlDrawing1.vml"/><Relationship Id="rId7" Type="http://schemas.openxmlformats.org/officeDocument/2006/relationships/image" Target="../media/image3.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oleObject" Target="../embeddings/oleObject2.bin"/><Relationship Id="rId5" Type="http://schemas.openxmlformats.org/officeDocument/2006/relationships/image" Target="../media/image2.emf"/><Relationship Id="rId4" Type="http://schemas.openxmlformats.org/officeDocument/2006/relationships/oleObject" Target="../embeddings/oleObject1.bin"/></Relationships>
</file>

<file path=xl/worksheets/_rels/sheet3.xml.rels><?xml version="1.0" encoding="UTF-8" standalone="yes"?>
<Relationships xmlns="http://schemas.openxmlformats.org/package/2006/relationships"><Relationship Id="rId8" Type="http://schemas.openxmlformats.org/officeDocument/2006/relationships/oleObject" Target="../embeddings/oleObject5.bin"/><Relationship Id="rId3" Type="http://schemas.openxmlformats.org/officeDocument/2006/relationships/vmlDrawing" Target="../drawings/vmlDrawing2.vml"/><Relationship Id="rId7" Type="http://schemas.openxmlformats.org/officeDocument/2006/relationships/image" Target="../media/image3.emf"/><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oleObject" Target="../embeddings/oleObject4.bin"/><Relationship Id="rId5" Type="http://schemas.openxmlformats.org/officeDocument/2006/relationships/image" Target="../media/image2.emf"/><Relationship Id="rId10" Type="http://schemas.openxmlformats.org/officeDocument/2006/relationships/comments" Target="../comments2.xml"/><Relationship Id="rId4" Type="http://schemas.openxmlformats.org/officeDocument/2006/relationships/oleObject" Target="../embeddings/oleObject3.bin"/><Relationship Id="rId9" Type="http://schemas.openxmlformats.org/officeDocument/2006/relationships/oleObject" Target="../embeddings/oleObject6.bin"/></Relationships>
</file>

<file path=xl/worksheets/_rels/sheet4.xml.rels><?xml version="1.0" encoding="UTF-8" standalone="yes"?>
<Relationships xmlns="http://schemas.openxmlformats.org/package/2006/relationships"><Relationship Id="rId8" Type="http://schemas.openxmlformats.org/officeDocument/2006/relationships/oleObject" Target="../embeddings/oleObject9.bin"/><Relationship Id="rId3" Type="http://schemas.openxmlformats.org/officeDocument/2006/relationships/vmlDrawing" Target="../drawings/vmlDrawing3.vml"/><Relationship Id="rId7" Type="http://schemas.openxmlformats.org/officeDocument/2006/relationships/image" Target="../media/image3.emf"/><Relationship Id="rId12" Type="http://schemas.openxmlformats.org/officeDocument/2006/relationships/comments" Target="../comments3.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oleObject" Target="../embeddings/oleObject8.bin"/><Relationship Id="rId11" Type="http://schemas.openxmlformats.org/officeDocument/2006/relationships/oleObject" Target="../embeddings/oleObject12.bin"/><Relationship Id="rId5" Type="http://schemas.openxmlformats.org/officeDocument/2006/relationships/image" Target="../media/image2.emf"/><Relationship Id="rId10" Type="http://schemas.openxmlformats.org/officeDocument/2006/relationships/oleObject" Target="../embeddings/oleObject11.bin"/><Relationship Id="rId4" Type="http://schemas.openxmlformats.org/officeDocument/2006/relationships/oleObject" Target="../embeddings/oleObject7.bin"/><Relationship Id="rId9" Type="http://schemas.openxmlformats.org/officeDocument/2006/relationships/oleObject" Target="../embeddings/oleObject10.bin"/></Relationships>
</file>

<file path=xl/worksheets/_rels/sheet5.xml.rels><?xml version="1.0" encoding="UTF-8" standalone="yes"?>
<Relationships xmlns="http://schemas.openxmlformats.org/package/2006/relationships"><Relationship Id="rId8" Type="http://schemas.openxmlformats.org/officeDocument/2006/relationships/oleObject" Target="../embeddings/oleObject15.bin"/><Relationship Id="rId13" Type="http://schemas.openxmlformats.org/officeDocument/2006/relationships/oleObject" Target="../embeddings/oleObject20.bin"/><Relationship Id="rId3" Type="http://schemas.openxmlformats.org/officeDocument/2006/relationships/vmlDrawing" Target="../drawings/vmlDrawing4.vml"/><Relationship Id="rId7" Type="http://schemas.openxmlformats.org/officeDocument/2006/relationships/image" Target="../media/image3.emf"/><Relationship Id="rId12" Type="http://schemas.openxmlformats.org/officeDocument/2006/relationships/oleObject" Target="../embeddings/oleObject19.bin"/><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oleObject" Target="../embeddings/oleObject14.bin"/><Relationship Id="rId11" Type="http://schemas.openxmlformats.org/officeDocument/2006/relationships/oleObject" Target="../embeddings/oleObject18.bin"/><Relationship Id="rId5" Type="http://schemas.openxmlformats.org/officeDocument/2006/relationships/image" Target="../media/image2.emf"/><Relationship Id="rId10" Type="http://schemas.openxmlformats.org/officeDocument/2006/relationships/oleObject" Target="../embeddings/oleObject17.bin"/><Relationship Id="rId4" Type="http://schemas.openxmlformats.org/officeDocument/2006/relationships/oleObject" Target="../embeddings/oleObject13.bin"/><Relationship Id="rId9" Type="http://schemas.openxmlformats.org/officeDocument/2006/relationships/oleObject" Target="../embeddings/oleObject16.bin"/><Relationship Id="rId1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8" Type="http://schemas.openxmlformats.org/officeDocument/2006/relationships/oleObject" Target="../embeddings/oleObject23.bin"/><Relationship Id="rId13" Type="http://schemas.openxmlformats.org/officeDocument/2006/relationships/oleObject" Target="../embeddings/oleObject28.bin"/><Relationship Id="rId3" Type="http://schemas.openxmlformats.org/officeDocument/2006/relationships/vmlDrawing" Target="../drawings/vmlDrawing5.vml"/><Relationship Id="rId7" Type="http://schemas.openxmlformats.org/officeDocument/2006/relationships/image" Target="../media/image3.emf"/><Relationship Id="rId12" Type="http://schemas.openxmlformats.org/officeDocument/2006/relationships/oleObject" Target="../embeddings/oleObject27.bin"/><Relationship Id="rId2" Type="http://schemas.openxmlformats.org/officeDocument/2006/relationships/drawing" Target="../drawings/drawing6.xml"/><Relationship Id="rId16" Type="http://schemas.openxmlformats.org/officeDocument/2006/relationships/comments" Target="../comments5.xml"/><Relationship Id="rId1" Type="http://schemas.openxmlformats.org/officeDocument/2006/relationships/printerSettings" Target="../printerSettings/printerSettings6.bin"/><Relationship Id="rId6" Type="http://schemas.openxmlformats.org/officeDocument/2006/relationships/oleObject" Target="../embeddings/oleObject22.bin"/><Relationship Id="rId11" Type="http://schemas.openxmlformats.org/officeDocument/2006/relationships/oleObject" Target="../embeddings/oleObject26.bin"/><Relationship Id="rId5" Type="http://schemas.openxmlformats.org/officeDocument/2006/relationships/image" Target="../media/image2.emf"/><Relationship Id="rId15" Type="http://schemas.openxmlformats.org/officeDocument/2006/relationships/oleObject" Target="../embeddings/oleObject30.bin"/><Relationship Id="rId10" Type="http://schemas.openxmlformats.org/officeDocument/2006/relationships/oleObject" Target="../embeddings/oleObject25.bin"/><Relationship Id="rId4" Type="http://schemas.openxmlformats.org/officeDocument/2006/relationships/oleObject" Target="../embeddings/oleObject21.bin"/><Relationship Id="rId9" Type="http://schemas.openxmlformats.org/officeDocument/2006/relationships/oleObject" Target="../embeddings/oleObject24.bin"/><Relationship Id="rId14" Type="http://schemas.openxmlformats.org/officeDocument/2006/relationships/oleObject" Target="../embeddings/oleObject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67"/>
  <sheetViews>
    <sheetView showGridLines="0" tabSelected="1" view="pageBreakPreview" topLeftCell="D26" zoomScale="60" zoomScaleNormal="85" workbookViewId="0">
      <selection activeCell="N30" sqref="N30:O30"/>
    </sheetView>
  </sheetViews>
  <sheetFormatPr baseColWidth="10" defaultColWidth="11.42578125" defaultRowHeight="14.25" x14ac:dyDescent="0.2"/>
  <cols>
    <col min="1" max="3" width="21.140625" style="60" customWidth="1"/>
    <col min="4" max="4" width="20" style="60" customWidth="1"/>
    <col min="5" max="5" width="47.28515625" style="60" customWidth="1"/>
    <col min="6" max="6" width="22.85546875" style="60" customWidth="1"/>
    <col min="7" max="7" width="20.42578125" style="60" customWidth="1"/>
    <col min="8" max="8" width="22.85546875" style="60" customWidth="1"/>
    <col min="9" max="9" width="30.28515625" style="60" customWidth="1"/>
    <col min="10" max="10" width="22.140625" style="60" customWidth="1"/>
    <col min="11" max="11" width="16.42578125" style="60" customWidth="1"/>
    <col min="12" max="12" width="34.5703125" style="60" customWidth="1"/>
    <col min="13" max="13" width="18.7109375" style="60" customWidth="1"/>
    <col min="14" max="14" width="22.42578125" style="60" customWidth="1"/>
    <col min="15" max="15" width="18" style="60" customWidth="1"/>
    <col min="16" max="16" width="15.5703125" style="60" customWidth="1"/>
    <col min="17" max="17" width="24.28515625" style="60" customWidth="1"/>
    <col min="18" max="31" width="0" style="60" hidden="1" customWidth="1"/>
    <col min="32" max="16384" width="11.42578125" style="60"/>
  </cols>
  <sheetData>
    <row r="1" spans="1:22" ht="112.5" customHeight="1" x14ac:dyDescent="0.2">
      <c r="A1" s="274"/>
      <c r="B1" s="274"/>
      <c r="C1" s="274"/>
      <c r="D1" s="274"/>
      <c r="E1" s="274"/>
      <c r="F1" s="274"/>
      <c r="G1" s="274"/>
      <c r="H1" s="274"/>
      <c r="I1" s="274"/>
      <c r="J1" s="274"/>
      <c r="K1" s="274"/>
      <c r="L1" s="274"/>
      <c r="M1" s="274"/>
      <c r="N1" s="274"/>
      <c r="O1" s="274"/>
      <c r="P1" s="274"/>
      <c r="Q1" s="274"/>
      <c r="T1" s="61" t="s">
        <v>0</v>
      </c>
      <c r="U1" s="61" t="s">
        <v>1</v>
      </c>
      <c r="V1" s="60" t="s">
        <v>2</v>
      </c>
    </row>
    <row r="2" spans="1:22" ht="125.25" customHeight="1" x14ac:dyDescent="0.2">
      <c r="A2" s="313" t="s">
        <v>224</v>
      </c>
      <c r="B2" s="314"/>
      <c r="C2" s="314"/>
      <c r="D2" s="314"/>
      <c r="E2" s="314"/>
      <c r="F2" s="314"/>
      <c r="G2" s="314"/>
      <c r="H2" s="314"/>
      <c r="I2" s="314"/>
      <c r="J2" s="314"/>
      <c r="K2" s="314"/>
      <c r="L2" s="314"/>
      <c r="M2" s="314"/>
      <c r="N2" s="314"/>
      <c r="O2" s="314"/>
      <c r="P2" s="314"/>
      <c r="Q2" s="315"/>
      <c r="T2" s="61" t="s">
        <v>3</v>
      </c>
      <c r="U2" s="61" t="s">
        <v>4</v>
      </c>
      <c r="V2" s="60" t="s">
        <v>5</v>
      </c>
    </row>
    <row r="3" spans="1:22" s="149" customFormat="1" ht="35.25" customHeight="1" x14ac:dyDescent="0.2">
      <c r="A3" s="377" t="s">
        <v>6</v>
      </c>
      <c r="B3" s="378"/>
      <c r="C3" s="379"/>
      <c r="D3" s="275">
        <v>1</v>
      </c>
      <c r="E3" s="275"/>
      <c r="F3" s="148" t="s">
        <v>7</v>
      </c>
      <c r="G3" s="275" t="s">
        <v>258</v>
      </c>
      <c r="H3" s="275"/>
      <c r="I3" s="275"/>
      <c r="J3" s="275"/>
      <c r="K3" s="275"/>
      <c r="L3" s="275"/>
      <c r="M3" s="276"/>
      <c r="N3" s="276"/>
      <c r="O3" s="276"/>
      <c r="P3" s="276"/>
      <c r="Q3" s="276"/>
      <c r="V3" s="149" t="s">
        <v>8</v>
      </c>
    </row>
    <row r="4" spans="1:22" s="149" customFormat="1" ht="43.5" customHeight="1" x14ac:dyDescent="0.2">
      <c r="A4" s="317" t="s">
        <v>9</v>
      </c>
      <c r="B4" s="380"/>
      <c r="C4" s="381"/>
      <c r="D4" s="316" t="s">
        <v>10</v>
      </c>
      <c r="E4" s="316"/>
      <c r="F4" s="316"/>
      <c r="G4" s="316"/>
      <c r="H4" s="316"/>
      <c r="I4" s="316"/>
      <c r="J4" s="316"/>
      <c r="K4" s="316"/>
      <c r="L4" s="317"/>
      <c r="M4" s="334" t="s">
        <v>257</v>
      </c>
      <c r="N4" s="334"/>
      <c r="O4" s="334"/>
      <c r="P4" s="334"/>
      <c r="Q4" s="334"/>
      <c r="R4" s="335"/>
    </row>
    <row r="5" spans="1:22" s="149" customFormat="1" ht="32.25" customHeight="1" x14ac:dyDescent="0.25">
      <c r="A5" s="382" t="s">
        <v>225</v>
      </c>
      <c r="B5" s="383"/>
      <c r="C5" s="384"/>
      <c r="D5" s="357">
        <v>724761029</v>
      </c>
      <c r="E5" s="358"/>
      <c r="F5" s="358"/>
      <c r="G5" s="358"/>
      <c r="H5" s="358"/>
      <c r="I5" s="358"/>
      <c r="J5" s="358"/>
      <c r="K5" s="358"/>
      <c r="L5" s="358"/>
      <c r="M5" s="338">
        <f>+D5/F167</f>
        <v>413.93509585043165</v>
      </c>
      <c r="N5" s="338"/>
      <c r="O5" s="338"/>
      <c r="P5" s="338"/>
      <c r="Q5" s="338"/>
      <c r="R5" s="147"/>
    </row>
    <row r="6" spans="1:22" x14ac:dyDescent="0.2">
      <c r="A6" s="336"/>
      <c r="B6" s="336"/>
      <c r="C6" s="336"/>
      <c r="D6" s="336"/>
      <c r="E6" s="336"/>
      <c r="F6" s="336"/>
      <c r="G6" s="336"/>
      <c r="H6" s="336"/>
      <c r="I6" s="336"/>
      <c r="J6" s="336"/>
      <c r="K6" s="336"/>
      <c r="L6" s="336"/>
      <c r="M6" s="336"/>
      <c r="N6" s="336"/>
      <c r="O6" s="336"/>
      <c r="P6" s="336"/>
      <c r="Q6" s="337"/>
    </row>
    <row r="7" spans="1:22" ht="21.75" customHeight="1" x14ac:dyDescent="0.2">
      <c r="A7" s="318" t="s">
        <v>11</v>
      </c>
      <c r="B7" s="319"/>
      <c r="C7" s="319"/>
      <c r="D7" s="319"/>
      <c r="E7" s="319"/>
      <c r="F7" s="319"/>
      <c r="G7" s="319"/>
      <c r="H7" s="319"/>
      <c r="I7" s="319"/>
      <c r="J7" s="319"/>
      <c r="K7" s="319"/>
      <c r="L7" s="319"/>
      <c r="M7" s="320"/>
      <c r="N7" s="320"/>
      <c r="O7" s="320"/>
      <c r="P7" s="320"/>
      <c r="Q7" s="321"/>
    </row>
    <row r="8" spans="1:22" ht="60" customHeight="1" x14ac:dyDescent="0.2">
      <c r="A8" s="301" t="s">
        <v>229</v>
      </c>
      <c r="B8" s="302"/>
      <c r="C8" s="302"/>
      <c r="D8" s="302"/>
      <c r="E8" s="303"/>
      <c r="F8" s="310" t="s">
        <v>230</v>
      </c>
      <c r="G8" s="311"/>
      <c r="H8" s="311"/>
      <c r="I8" s="311"/>
      <c r="J8" s="311"/>
      <c r="K8" s="311"/>
      <c r="L8" s="311"/>
      <c r="M8" s="311"/>
      <c r="N8" s="311"/>
      <c r="O8" s="311"/>
      <c r="P8" s="311"/>
      <c r="Q8" s="312"/>
    </row>
    <row r="9" spans="1:22" ht="60" customHeight="1" x14ac:dyDescent="0.2">
      <c r="A9" s="304"/>
      <c r="B9" s="305"/>
      <c r="C9" s="305"/>
      <c r="D9" s="305"/>
      <c r="E9" s="306"/>
      <c r="F9" s="310" t="s">
        <v>231</v>
      </c>
      <c r="G9" s="311"/>
      <c r="H9" s="311"/>
      <c r="I9" s="311"/>
      <c r="J9" s="311"/>
      <c r="K9" s="311"/>
      <c r="L9" s="311"/>
      <c r="M9" s="311"/>
      <c r="N9" s="311"/>
      <c r="O9" s="311"/>
      <c r="P9" s="311"/>
      <c r="Q9" s="312"/>
    </row>
    <row r="10" spans="1:22" ht="60" customHeight="1" x14ac:dyDescent="0.2">
      <c r="A10" s="304"/>
      <c r="B10" s="305"/>
      <c r="C10" s="305"/>
      <c r="D10" s="305"/>
      <c r="E10" s="306"/>
      <c r="F10" s="310" t="s">
        <v>232</v>
      </c>
      <c r="G10" s="311"/>
      <c r="H10" s="311"/>
      <c r="I10" s="311"/>
      <c r="J10" s="311"/>
      <c r="K10" s="311"/>
      <c r="L10" s="311"/>
      <c r="M10" s="311"/>
      <c r="N10" s="311"/>
      <c r="O10" s="311"/>
      <c r="P10" s="311"/>
      <c r="Q10" s="312"/>
    </row>
    <row r="11" spans="1:22" ht="60" customHeight="1" x14ac:dyDescent="0.2">
      <c r="A11" s="304"/>
      <c r="B11" s="305"/>
      <c r="C11" s="305"/>
      <c r="D11" s="305"/>
      <c r="E11" s="306"/>
      <c r="F11" s="310" t="s">
        <v>233</v>
      </c>
      <c r="G11" s="311"/>
      <c r="H11" s="311"/>
      <c r="I11" s="311"/>
      <c r="J11" s="311"/>
      <c r="K11" s="311"/>
      <c r="L11" s="311"/>
      <c r="M11" s="311"/>
      <c r="N11" s="311"/>
      <c r="O11" s="311"/>
      <c r="P11" s="311"/>
      <c r="Q11" s="312"/>
    </row>
    <row r="12" spans="1:22" ht="60" customHeight="1" x14ac:dyDescent="0.2">
      <c r="A12" s="307"/>
      <c r="B12" s="308"/>
      <c r="C12" s="308"/>
      <c r="D12" s="308"/>
      <c r="E12" s="309"/>
      <c r="F12" s="310" t="s">
        <v>234</v>
      </c>
      <c r="G12" s="311"/>
      <c r="H12" s="311"/>
      <c r="I12" s="311"/>
      <c r="J12" s="311"/>
      <c r="K12" s="311"/>
      <c r="L12" s="311"/>
      <c r="M12" s="311"/>
      <c r="N12" s="311"/>
      <c r="O12" s="311"/>
      <c r="P12" s="311"/>
      <c r="Q12" s="312"/>
    </row>
    <row r="13" spans="1:22" s="59" customFormat="1" ht="60" customHeight="1" x14ac:dyDescent="0.2">
      <c r="A13" s="350" t="s">
        <v>12</v>
      </c>
      <c r="B13" s="351"/>
      <c r="C13" s="351"/>
      <c r="D13" s="351"/>
      <c r="E13" s="352"/>
      <c r="F13" s="293" t="s">
        <v>235</v>
      </c>
      <c r="G13" s="294"/>
      <c r="H13" s="294"/>
      <c r="I13" s="294"/>
      <c r="J13" s="294"/>
      <c r="K13" s="294"/>
      <c r="L13" s="294"/>
      <c r="M13" s="294"/>
      <c r="N13" s="294"/>
      <c r="O13" s="294"/>
      <c r="P13" s="294"/>
      <c r="Q13" s="295"/>
    </row>
    <row r="14" spans="1:22" s="59" customFormat="1" ht="60" customHeight="1" x14ac:dyDescent="0.2">
      <c r="A14" s="353"/>
      <c r="B14" s="354"/>
      <c r="C14" s="354"/>
      <c r="D14" s="354"/>
      <c r="E14" s="355"/>
      <c r="F14" s="293" t="s">
        <v>236</v>
      </c>
      <c r="G14" s="294"/>
      <c r="H14" s="294"/>
      <c r="I14" s="294"/>
      <c r="J14" s="294"/>
      <c r="K14" s="294"/>
      <c r="L14" s="294"/>
      <c r="M14" s="294"/>
      <c r="N14" s="294"/>
      <c r="O14" s="294"/>
      <c r="P14" s="294"/>
      <c r="Q14" s="295"/>
    </row>
    <row r="15" spans="1:22" s="59" customFormat="1" ht="60" customHeight="1" x14ac:dyDescent="0.2">
      <c r="A15" s="353"/>
      <c r="B15" s="354"/>
      <c r="C15" s="354"/>
      <c r="D15" s="354"/>
      <c r="E15" s="355"/>
      <c r="F15" s="293" t="s">
        <v>237</v>
      </c>
      <c r="G15" s="294"/>
      <c r="H15" s="294"/>
      <c r="I15" s="294"/>
      <c r="J15" s="294"/>
      <c r="K15" s="294"/>
      <c r="L15" s="294"/>
      <c r="M15" s="294"/>
      <c r="N15" s="294"/>
      <c r="O15" s="294"/>
      <c r="P15" s="294"/>
      <c r="Q15" s="295"/>
    </row>
    <row r="16" spans="1:22" s="59" customFormat="1" ht="120" customHeight="1" x14ac:dyDescent="0.2">
      <c r="A16" s="353"/>
      <c r="B16" s="354"/>
      <c r="C16" s="354"/>
      <c r="D16" s="354"/>
      <c r="E16" s="355"/>
      <c r="F16" s="293" t="s">
        <v>238</v>
      </c>
      <c r="G16" s="294"/>
      <c r="H16" s="294"/>
      <c r="I16" s="294"/>
      <c r="J16" s="294"/>
      <c r="K16" s="294"/>
      <c r="L16" s="294"/>
      <c r="M16" s="294"/>
      <c r="N16" s="294"/>
      <c r="O16" s="294"/>
      <c r="P16" s="294"/>
      <c r="Q16" s="295"/>
    </row>
    <row r="17" spans="1:17" s="59" customFormat="1" ht="120" customHeight="1" x14ac:dyDescent="0.2">
      <c r="A17" s="353"/>
      <c r="B17" s="354"/>
      <c r="C17" s="354"/>
      <c r="D17" s="354"/>
      <c r="E17" s="355"/>
      <c r="F17" s="293" t="s">
        <v>239</v>
      </c>
      <c r="G17" s="294"/>
      <c r="H17" s="294"/>
      <c r="I17" s="294"/>
      <c r="J17" s="294"/>
      <c r="K17" s="294"/>
      <c r="L17" s="294"/>
      <c r="M17" s="294"/>
      <c r="N17" s="294"/>
      <c r="O17" s="294"/>
      <c r="P17" s="294"/>
      <c r="Q17" s="295"/>
    </row>
    <row r="18" spans="1:17" s="59" customFormat="1" ht="42.75" customHeight="1" x14ac:dyDescent="0.2">
      <c r="A18" s="296" t="s">
        <v>13</v>
      </c>
      <c r="B18" s="296"/>
      <c r="C18" s="296"/>
      <c r="D18" s="296"/>
      <c r="E18" s="296"/>
      <c r="F18" s="297" t="s">
        <v>14</v>
      </c>
      <c r="G18" s="297"/>
      <c r="H18" s="297"/>
      <c r="I18" s="297"/>
      <c r="J18" s="297"/>
      <c r="K18" s="297"/>
      <c r="L18" s="298" t="s">
        <v>15</v>
      </c>
      <c r="M18" s="299"/>
      <c r="N18" s="299"/>
      <c r="O18" s="299"/>
      <c r="P18" s="299"/>
      <c r="Q18" s="300"/>
    </row>
    <row r="19" spans="1:17" s="59" customFormat="1" ht="26.25" customHeight="1" x14ac:dyDescent="0.2">
      <c r="A19" s="296"/>
      <c r="B19" s="296"/>
      <c r="C19" s="296"/>
      <c r="D19" s="296"/>
      <c r="E19" s="296"/>
      <c r="F19" s="297" t="s">
        <v>226</v>
      </c>
      <c r="G19" s="297"/>
      <c r="H19" s="297"/>
      <c r="I19" s="297"/>
      <c r="J19" s="297"/>
      <c r="K19" s="297"/>
      <c r="L19" s="327">
        <v>0.75</v>
      </c>
      <c r="M19" s="328"/>
      <c r="N19" s="328"/>
      <c r="O19" s="328"/>
      <c r="P19" s="328"/>
      <c r="Q19" s="329"/>
    </row>
    <row r="20" spans="1:17" s="59" customFormat="1" ht="26.25" customHeight="1" x14ac:dyDescent="0.2">
      <c r="A20" s="296"/>
      <c r="B20" s="296"/>
      <c r="C20" s="296"/>
      <c r="D20" s="296"/>
      <c r="E20" s="296"/>
      <c r="F20" s="297" t="s">
        <v>227</v>
      </c>
      <c r="G20" s="297"/>
      <c r="H20" s="297"/>
      <c r="I20" s="297"/>
      <c r="J20" s="297"/>
      <c r="K20" s="297"/>
      <c r="L20" s="327">
        <v>1</v>
      </c>
      <c r="M20" s="328"/>
      <c r="N20" s="328"/>
      <c r="O20" s="328"/>
      <c r="P20" s="328"/>
      <c r="Q20" s="329"/>
    </row>
    <row r="21" spans="1:17" s="59" customFormat="1" ht="26.25" customHeight="1" x14ac:dyDescent="0.2">
      <c r="A21" s="296"/>
      <c r="B21" s="296"/>
      <c r="C21" s="296"/>
      <c r="D21" s="296"/>
      <c r="E21" s="296"/>
      <c r="F21" s="297" t="s">
        <v>228</v>
      </c>
      <c r="G21" s="297"/>
      <c r="H21" s="297"/>
      <c r="I21" s="297"/>
      <c r="J21" s="297"/>
      <c r="K21" s="297"/>
      <c r="L21" s="327">
        <v>1.5</v>
      </c>
      <c r="M21" s="328"/>
      <c r="N21" s="328"/>
      <c r="O21" s="328"/>
      <c r="P21" s="328"/>
      <c r="Q21" s="329"/>
    </row>
    <row r="22" spans="1:17" s="59" customFormat="1" ht="117.75" customHeight="1" x14ac:dyDescent="0.2">
      <c r="A22" s="330" t="s">
        <v>16</v>
      </c>
      <c r="B22" s="330"/>
      <c r="C22" s="330"/>
      <c r="D22" s="330"/>
      <c r="E22" s="330"/>
      <c r="F22" s="293" t="s">
        <v>240</v>
      </c>
      <c r="G22" s="294"/>
      <c r="H22" s="294"/>
      <c r="I22" s="294"/>
      <c r="J22" s="294"/>
      <c r="K22" s="294"/>
      <c r="L22" s="294"/>
      <c r="M22" s="294"/>
      <c r="N22" s="294"/>
      <c r="O22" s="294"/>
      <c r="P22" s="294"/>
      <c r="Q22" s="295"/>
    </row>
    <row r="23" spans="1:17" s="59" customFormat="1" ht="44.25" customHeight="1" x14ac:dyDescent="0.2">
      <c r="A23" s="330" t="s">
        <v>17</v>
      </c>
      <c r="B23" s="330"/>
      <c r="C23" s="330"/>
      <c r="D23" s="330"/>
      <c r="E23" s="330"/>
      <c r="F23" s="298" t="s">
        <v>18</v>
      </c>
      <c r="G23" s="299"/>
      <c r="H23" s="299"/>
      <c r="I23" s="299"/>
      <c r="J23" s="299"/>
      <c r="K23" s="299"/>
      <c r="L23" s="299"/>
      <c r="M23" s="299"/>
      <c r="N23" s="299"/>
      <c r="O23" s="299"/>
      <c r="P23" s="299"/>
      <c r="Q23" s="300"/>
    </row>
    <row r="25" spans="1:17" ht="18.75" customHeight="1" x14ac:dyDescent="0.2">
      <c r="A25" s="267" t="s">
        <v>19</v>
      </c>
      <c r="B25" s="268"/>
      <c r="C25" s="268"/>
      <c r="D25" s="268"/>
      <c r="E25" s="268"/>
      <c r="F25" s="268"/>
      <c r="G25" s="268"/>
      <c r="H25" s="268"/>
      <c r="I25" s="268"/>
      <c r="J25" s="268"/>
      <c r="K25" s="268"/>
      <c r="L25" s="268"/>
      <c r="M25" s="268"/>
      <c r="N25" s="268"/>
      <c r="O25" s="268"/>
      <c r="P25" s="268"/>
      <c r="Q25" s="269"/>
    </row>
    <row r="26" spans="1:17" ht="15" x14ac:dyDescent="0.2">
      <c r="A26" s="284" t="s">
        <v>20</v>
      </c>
      <c r="B26" s="285"/>
      <c r="C26" s="285"/>
      <c r="D26" s="285"/>
      <c r="E26" s="286"/>
      <c r="F26" s="290">
        <v>46133</v>
      </c>
      <c r="G26" s="291"/>
      <c r="H26" s="292"/>
      <c r="I26" s="6"/>
      <c r="J26" s="6"/>
      <c r="K26" s="6"/>
      <c r="L26" s="7"/>
      <c r="M26" s="7"/>
      <c r="N26" s="4"/>
      <c r="O26" s="4"/>
      <c r="P26" s="4"/>
      <c r="Q26" s="4"/>
    </row>
    <row r="27" spans="1:17" ht="15" customHeight="1" x14ac:dyDescent="0.2">
      <c r="A27" s="284" t="s">
        <v>21</v>
      </c>
      <c r="B27" s="285"/>
      <c r="C27" s="285"/>
      <c r="D27" s="285"/>
      <c r="E27" s="286"/>
      <c r="F27" s="287" t="str">
        <f>+G3</f>
        <v>CONSORCIO MANTENIMIENTOS</v>
      </c>
      <c r="G27" s="288"/>
      <c r="H27" s="289"/>
      <c r="I27" s="284" t="s">
        <v>22</v>
      </c>
      <c r="J27" s="285"/>
      <c r="K27" s="285"/>
      <c r="L27" s="284" t="s">
        <v>23</v>
      </c>
      <c r="M27" s="285"/>
      <c r="N27" s="285"/>
      <c r="O27" s="286"/>
      <c r="P27" s="280" t="s">
        <v>24</v>
      </c>
      <c r="Q27" s="281"/>
    </row>
    <row r="28" spans="1:17" s="64" customFormat="1" ht="54.75" customHeight="1" x14ac:dyDescent="0.2">
      <c r="A28" s="277" t="s">
        <v>25</v>
      </c>
      <c r="B28" s="279"/>
      <c r="C28" s="279"/>
      <c r="D28" s="279"/>
      <c r="E28" s="279"/>
      <c r="F28" s="279"/>
      <c r="G28" s="278"/>
      <c r="H28" s="154" t="s">
        <v>26</v>
      </c>
      <c r="I28" s="154">
        <v>721015</v>
      </c>
      <c r="J28" s="154">
        <v>721029</v>
      </c>
      <c r="K28" s="154">
        <v>721033</v>
      </c>
      <c r="L28" s="154" t="s">
        <v>27</v>
      </c>
      <c r="M28" s="154" t="s">
        <v>28</v>
      </c>
      <c r="N28" s="277" t="s">
        <v>29</v>
      </c>
      <c r="O28" s="278"/>
      <c r="P28" s="282"/>
      <c r="Q28" s="283"/>
    </row>
    <row r="29" spans="1:17" ht="40.5" customHeight="1" x14ac:dyDescent="0.2">
      <c r="A29" s="324" t="s">
        <v>259</v>
      </c>
      <c r="B29" s="325"/>
      <c r="C29" s="325"/>
      <c r="D29" s="325"/>
      <c r="E29" s="325"/>
      <c r="F29" s="325"/>
      <c r="G29" s="326"/>
      <c r="H29" s="62">
        <v>0.2</v>
      </c>
      <c r="I29" s="8" t="s">
        <v>280</v>
      </c>
      <c r="J29" s="8" t="s">
        <v>280</v>
      </c>
      <c r="K29" s="8" t="s">
        <v>280</v>
      </c>
      <c r="L29" s="12" t="s">
        <v>280</v>
      </c>
      <c r="M29" s="139"/>
      <c r="N29" s="322"/>
      <c r="O29" s="331"/>
      <c r="P29" s="332" t="s">
        <v>0</v>
      </c>
      <c r="Q29" s="333"/>
    </row>
    <row r="30" spans="1:17" ht="15" x14ac:dyDescent="0.2">
      <c r="A30" s="324" t="s">
        <v>260</v>
      </c>
      <c r="B30" s="325"/>
      <c r="C30" s="325"/>
      <c r="D30" s="325"/>
      <c r="E30" s="325"/>
      <c r="F30" s="325"/>
      <c r="G30" s="326"/>
      <c r="H30" s="62">
        <v>0.8</v>
      </c>
      <c r="I30" s="8" t="s">
        <v>280</v>
      </c>
      <c r="J30" s="8" t="s">
        <v>280</v>
      </c>
      <c r="K30" s="8" t="s">
        <v>280</v>
      </c>
      <c r="L30" s="12" t="s">
        <v>280</v>
      </c>
      <c r="M30" s="8" t="s">
        <v>280</v>
      </c>
      <c r="N30" s="322" t="s">
        <v>280</v>
      </c>
      <c r="O30" s="331"/>
      <c r="P30" s="332" t="s">
        <v>0</v>
      </c>
      <c r="Q30" s="333"/>
    </row>
    <row r="31" spans="1:17" ht="15" x14ac:dyDescent="0.2">
      <c r="A31" s="324"/>
      <c r="B31" s="325"/>
      <c r="C31" s="325"/>
      <c r="D31" s="325"/>
      <c r="E31" s="325"/>
      <c r="F31" s="325"/>
      <c r="G31" s="326"/>
      <c r="H31" s="62"/>
      <c r="I31" s="8"/>
      <c r="J31" s="8"/>
      <c r="K31" s="8"/>
      <c r="L31" s="8"/>
      <c r="M31" s="9"/>
      <c r="N31" s="322"/>
      <c r="O31" s="331"/>
      <c r="P31" s="332"/>
      <c r="Q31" s="333"/>
    </row>
    <row r="32" spans="1:17" ht="15" x14ac:dyDescent="0.2">
      <c r="A32" s="324"/>
      <c r="B32" s="325"/>
      <c r="C32" s="325"/>
      <c r="D32" s="325"/>
      <c r="E32" s="325"/>
      <c r="F32" s="325"/>
      <c r="G32" s="326"/>
      <c r="H32" s="62"/>
      <c r="I32" s="8"/>
      <c r="J32" s="8"/>
      <c r="K32" s="8"/>
      <c r="L32" s="8"/>
      <c r="M32" s="9"/>
      <c r="N32" s="322"/>
      <c r="O32" s="322"/>
      <c r="P32" s="323"/>
      <c r="Q32" s="323"/>
    </row>
    <row r="33" spans="1:17" ht="15" x14ac:dyDescent="0.2">
      <c r="A33" s="324"/>
      <c r="B33" s="325"/>
      <c r="C33" s="325"/>
      <c r="D33" s="325"/>
      <c r="E33" s="325"/>
      <c r="F33" s="325"/>
      <c r="G33" s="326"/>
      <c r="H33" s="62"/>
      <c r="I33" s="8"/>
      <c r="J33" s="8"/>
      <c r="K33" s="8"/>
      <c r="L33" s="8"/>
      <c r="M33" s="9"/>
      <c r="N33" s="322"/>
      <c r="O33" s="322"/>
      <c r="P33" s="323"/>
      <c r="Q33" s="323"/>
    </row>
    <row r="35" spans="1:17" ht="15" x14ac:dyDescent="0.2">
      <c r="A35" s="397" t="s">
        <v>30</v>
      </c>
      <c r="B35" s="397"/>
      <c r="C35" s="397"/>
      <c r="D35" s="397"/>
      <c r="E35" s="397"/>
      <c r="F35" s="397"/>
      <c r="G35" s="397"/>
      <c r="H35" s="397"/>
      <c r="I35" s="397"/>
      <c r="J35" s="397"/>
      <c r="K35" s="397"/>
      <c r="L35" s="397"/>
      <c r="M35" s="397"/>
      <c r="N35" s="397"/>
      <c r="O35" s="397"/>
      <c r="P35" s="397"/>
      <c r="Q35" s="397"/>
    </row>
    <row r="36" spans="1:17" s="64" customFormat="1" ht="124.5" customHeight="1" x14ac:dyDescent="0.2">
      <c r="A36" s="65" t="s">
        <v>31</v>
      </c>
      <c r="B36" s="65" t="s">
        <v>32</v>
      </c>
      <c r="C36" s="65" t="s">
        <v>248</v>
      </c>
      <c r="D36" s="65" t="s">
        <v>33</v>
      </c>
      <c r="E36" s="65" t="s">
        <v>34</v>
      </c>
      <c r="F36" s="65" t="s">
        <v>35</v>
      </c>
      <c r="G36" s="65" t="s">
        <v>36</v>
      </c>
      <c r="H36" s="65" t="s">
        <v>37</v>
      </c>
      <c r="I36" s="66" t="s">
        <v>38</v>
      </c>
      <c r="J36" s="65" t="s">
        <v>39</v>
      </c>
      <c r="K36" s="65" t="s">
        <v>40</v>
      </c>
      <c r="L36" s="145" t="s">
        <v>41</v>
      </c>
      <c r="M36" s="65" t="s">
        <v>249</v>
      </c>
      <c r="N36" s="65" t="s">
        <v>250</v>
      </c>
      <c r="O36" s="65" t="s">
        <v>42</v>
      </c>
      <c r="P36" s="398" t="s">
        <v>43</v>
      </c>
      <c r="Q36" s="398"/>
    </row>
    <row r="37" spans="1:17" ht="192" customHeight="1" x14ac:dyDescent="0.2">
      <c r="A37" s="11">
        <v>1</v>
      </c>
      <c r="B37" s="12" t="s">
        <v>263</v>
      </c>
      <c r="C37" s="12" t="s">
        <v>262</v>
      </c>
      <c r="D37" s="13" t="s">
        <v>269</v>
      </c>
      <c r="E37" s="13" t="s">
        <v>274</v>
      </c>
      <c r="F37" s="14">
        <v>42306</v>
      </c>
      <c r="G37" s="14">
        <v>42414</v>
      </c>
      <c r="H37" s="152">
        <v>680841023</v>
      </c>
      <c r="I37" s="16">
        <f>+H37/F157</f>
        <v>987.50753929921359</v>
      </c>
      <c r="J37" s="17">
        <v>0.5</v>
      </c>
      <c r="K37" s="18">
        <f>+I37*J37</f>
        <v>493.7537696496068</v>
      </c>
      <c r="L37" s="11"/>
      <c r="M37" s="12"/>
      <c r="N37" s="153"/>
      <c r="O37" s="444" t="s">
        <v>3</v>
      </c>
      <c r="P37" s="445" t="s">
        <v>285</v>
      </c>
      <c r="Q37" s="445"/>
    </row>
    <row r="38" spans="1:17" ht="85.5" x14ac:dyDescent="0.2">
      <c r="A38" s="11">
        <v>2</v>
      </c>
      <c r="B38" s="12" t="s">
        <v>264</v>
      </c>
      <c r="C38" s="12" t="s">
        <v>262</v>
      </c>
      <c r="D38" s="13" t="s">
        <v>270</v>
      </c>
      <c r="E38" s="13" t="s">
        <v>275</v>
      </c>
      <c r="F38" s="14">
        <v>42704</v>
      </c>
      <c r="G38" s="14">
        <v>43022</v>
      </c>
      <c r="H38" s="152">
        <v>2847785026</v>
      </c>
      <c r="I38" s="16">
        <f>+H38/F158</f>
        <v>3860.2675904174635</v>
      </c>
      <c r="J38" s="17">
        <v>0.34</v>
      </c>
      <c r="K38" s="18">
        <f t="shared" ref="K38:K40" si="0">+I38*J38</f>
        <v>1312.4909807419376</v>
      </c>
      <c r="L38" s="11" t="s">
        <v>281</v>
      </c>
      <c r="M38" s="12" t="s">
        <v>280</v>
      </c>
      <c r="N38" s="153" t="s">
        <v>282</v>
      </c>
      <c r="O38" s="12" t="s">
        <v>0</v>
      </c>
      <c r="P38" s="356"/>
      <c r="Q38" s="356"/>
    </row>
    <row r="39" spans="1:17" ht="57" x14ac:dyDescent="0.2">
      <c r="A39" s="11">
        <v>3</v>
      </c>
      <c r="B39" s="12" t="s">
        <v>265</v>
      </c>
      <c r="C39" s="12" t="s">
        <v>262</v>
      </c>
      <c r="D39" s="13" t="s">
        <v>271</v>
      </c>
      <c r="E39" s="13" t="s">
        <v>276</v>
      </c>
      <c r="F39" s="14">
        <v>42734</v>
      </c>
      <c r="G39" s="14">
        <v>43037</v>
      </c>
      <c r="H39" s="152">
        <v>1547334179</v>
      </c>
      <c r="I39" s="16">
        <f>+H39/F158</f>
        <v>2097.4630908600452</v>
      </c>
      <c r="J39" s="17">
        <v>1</v>
      </c>
      <c r="K39" s="18">
        <f t="shared" si="0"/>
        <v>2097.4630908600452</v>
      </c>
      <c r="L39" s="11" t="s">
        <v>283</v>
      </c>
      <c r="M39" s="12" t="s">
        <v>280</v>
      </c>
      <c r="N39" s="153" t="s">
        <v>282</v>
      </c>
      <c r="O39" s="12" t="s">
        <v>0</v>
      </c>
      <c r="P39" s="356"/>
      <c r="Q39" s="356"/>
    </row>
    <row r="40" spans="1:17" ht="100.5" customHeight="1" x14ac:dyDescent="0.2">
      <c r="A40" s="11">
        <v>4</v>
      </c>
      <c r="B40" s="12" t="s">
        <v>266</v>
      </c>
      <c r="C40" s="12" t="s">
        <v>262</v>
      </c>
      <c r="D40" s="13" t="s">
        <v>272</v>
      </c>
      <c r="E40" s="13" t="s">
        <v>277</v>
      </c>
      <c r="F40" s="14">
        <v>42292</v>
      </c>
      <c r="G40" s="14">
        <v>42452</v>
      </c>
      <c r="H40" s="152">
        <v>1281429437</v>
      </c>
      <c r="I40" s="16">
        <f>+H40/F157</f>
        <v>1858.6148415992946</v>
      </c>
      <c r="J40" s="17">
        <v>0.6</v>
      </c>
      <c r="K40" s="18">
        <f t="shared" si="0"/>
        <v>1115.1689049595766</v>
      </c>
      <c r="L40" s="11"/>
      <c r="M40" s="12"/>
      <c r="N40" s="153"/>
      <c r="O40" s="444" t="s">
        <v>3</v>
      </c>
      <c r="P40" s="445" t="s">
        <v>284</v>
      </c>
      <c r="Q40" s="445"/>
    </row>
    <row r="41" spans="1:17" ht="82.5" customHeight="1" x14ac:dyDescent="0.2">
      <c r="A41" s="11">
        <v>5</v>
      </c>
      <c r="B41" s="12" t="s">
        <v>267</v>
      </c>
      <c r="C41" s="12" t="s">
        <v>262</v>
      </c>
      <c r="D41" s="13" t="s">
        <v>269</v>
      </c>
      <c r="E41" s="13" t="s">
        <v>278</v>
      </c>
      <c r="F41" s="14">
        <v>42331</v>
      </c>
      <c r="G41" s="14">
        <v>42605</v>
      </c>
      <c r="H41" s="152">
        <v>2395532462</v>
      </c>
      <c r="I41" s="16">
        <f>+H41/F157</f>
        <v>3474.5355919321664</v>
      </c>
      <c r="J41" s="17">
        <v>0.5</v>
      </c>
      <c r="K41" s="18">
        <f t="shared" ref="K41:K43" si="1">+I41*J41</f>
        <v>1737.2677959660832</v>
      </c>
      <c r="L41" s="11"/>
      <c r="M41" s="12"/>
      <c r="N41" s="153"/>
      <c r="O41" s="444" t="s">
        <v>3</v>
      </c>
      <c r="P41" s="445" t="s">
        <v>286</v>
      </c>
      <c r="Q41" s="445"/>
    </row>
    <row r="42" spans="1:17" ht="85.5" x14ac:dyDescent="0.2">
      <c r="A42" s="11">
        <v>6</v>
      </c>
      <c r="B42" s="12" t="s">
        <v>268</v>
      </c>
      <c r="C42" s="12" t="s">
        <v>262</v>
      </c>
      <c r="D42" s="13" t="s">
        <v>273</v>
      </c>
      <c r="E42" s="13" t="s">
        <v>279</v>
      </c>
      <c r="F42" s="14">
        <v>42726</v>
      </c>
      <c r="G42" s="14">
        <v>42908</v>
      </c>
      <c r="H42" s="15">
        <v>1310281396</v>
      </c>
      <c r="I42" s="16">
        <f>+H42/F158</f>
        <v>1776.1301366242069</v>
      </c>
      <c r="J42" s="17">
        <v>0.5</v>
      </c>
      <c r="K42" s="18">
        <f t="shared" si="1"/>
        <v>888.06506831210345</v>
      </c>
      <c r="L42" s="11" t="s">
        <v>287</v>
      </c>
      <c r="M42" s="12" t="s">
        <v>280</v>
      </c>
      <c r="N42" s="153" t="s">
        <v>282</v>
      </c>
      <c r="O42" s="12" t="s">
        <v>0</v>
      </c>
      <c r="P42" s="356"/>
      <c r="Q42" s="356"/>
    </row>
    <row r="43" spans="1:17" x14ac:dyDescent="0.2">
      <c r="A43" s="11">
        <v>7</v>
      </c>
      <c r="B43" s="12"/>
      <c r="C43" s="12"/>
      <c r="D43" s="13"/>
      <c r="E43" s="13"/>
      <c r="F43" s="14"/>
      <c r="G43" s="14"/>
      <c r="H43" s="15"/>
      <c r="I43" s="16"/>
      <c r="J43" s="17"/>
      <c r="K43" s="18">
        <f t="shared" si="1"/>
        <v>0</v>
      </c>
      <c r="L43" s="11"/>
      <c r="M43" s="12"/>
      <c r="N43" s="153"/>
      <c r="O43" s="12"/>
      <c r="P43" s="251"/>
      <c r="Q43" s="251"/>
    </row>
    <row r="44" spans="1:17" x14ac:dyDescent="0.2">
      <c r="A44" s="11"/>
      <c r="B44" s="19"/>
      <c r="C44" s="19"/>
      <c r="D44" s="13"/>
      <c r="E44" s="13"/>
      <c r="F44" s="13"/>
      <c r="G44" s="13"/>
      <c r="H44" s="15"/>
      <c r="I44" s="16"/>
      <c r="J44" s="17"/>
      <c r="K44" s="18"/>
      <c r="L44" s="144"/>
      <c r="M44" s="12"/>
      <c r="N44" s="153"/>
      <c r="O44" s="12"/>
      <c r="P44" s="252"/>
      <c r="Q44" s="252"/>
    </row>
    <row r="45" spans="1:17" ht="15" x14ac:dyDescent="0.2">
      <c r="A45" s="42"/>
      <c r="B45" s="42"/>
      <c r="C45" s="42"/>
      <c r="D45" s="42"/>
      <c r="E45" s="42"/>
      <c r="F45" s="42"/>
      <c r="G45" s="63"/>
      <c r="H45" s="43"/>
      <c r="I45" s="44"/>
      <c r="J45" s="20" t="s">
        <v>44</v>
      </c>
      <c r="K45" s="21">
        <f>SUMIFS(K37:K44,O37:O44,"CUMPLE")</f>
        <v>4298.0191399140858</v>
      </c>
      <c r="L45" s="41"/>
      <c r="M45" s="41"/>
      <c r="N45" s="42"/>
      <c r="O45" s="41"/>
      <c r="P45" s="253"/>
      <c r="Q45" s="253"/>
    </row>
    <row r="46" spans="1:17" x14ac:dyDescent="0.2">
      <c r="K46" s="143"/>
    </row>
    <row r="47" spans="1:17" ht="15" x14ac:dyDescent="0.2">
      <c r="A47" s="254"/>
      <c r="B47" s="255"/>
      <c r="C47" s="255"/>
      <c r="D47" s="255"/>
      <c r="E47" s="256"/>
    </row>
    <row r="48" spans="1:17" ht="30" customHeight="1" x14ac:dyDescent="0.2">
      <c r="A48" s="395" t="s">
        <v>45</v>
      </c>
      <c r="B48" s="395"/>
      <c r="C48" s="395"/>
      <c r="D48" s="395"/>
      <c r="E48" s="22">
        <f>D5</f>
        <v>724761029</v>
      </c>
    </row>
    <row r="49" spans="1:17" ht="30" customHeight="1" x14ac:dyDescent="0.2">
      <c r="A49" s="368" t="s">
        <v>246</v>
      </c>
      <c r="B49" s="368"/>
      <c r="C49" s="368"/>
      <c r="D49" s="368"/>
      <c r="E49" s="58">
        <v>1750905</v>
      </c>
    </row>
    <row r="50" spans="1:17" ht="30" customHeight="1" x14ac:dyDescent="0.2">
      <c r="A50" s="368" t="s">
        <v>46</v>
      </c>
      <c r="B50" s="368"/>
      <c r="C50" s="368"/>
      <c r="D50" s="368"/>
      <c r="E50" s="78">
        <f>IF(AND(E51="N/A",E52="N/A")=TRUE,"",(E48/E49))</f>
        <v>413.93509585043165</v>
      </c>
    </row>
    <row r="51" spans="1:17" ht="30" customHeight="1" x14ac:dyDescent="0.2">
      <c r="A51" s="395" t="s">
        <v>241</v>
      </c>
      <c r="B51" s="395"/>
      <c r="C51" s="395"/>
      <c r="D51" s="395"/>
      <c r="E51" s="140" t="s">
        <v>0</v>
      </c>
      <c r="F51" s="447" t="s">
        <v>227</v>
      </c>
    </row>
    <row r="52" spans="1:17" ht="30" customHeight="1" x14ac:dyDescent="0.2">
      <c r="A52" s="395" t="s">
        <v>223</v>
      </c>
      <c r="B52" s="395"/>
      <c r="C52" s="395"/>
      <c r="D52" s="395"/>
      <c r="E52" s="140" t="s">
        <v>0</v>
      </c>
      <c r="F52" s="446">
        <v>1</v>
      </c>
    </row>
    <row r="53" spans="1:17" ht="30" customHeight="1" x14ac:dyDescent="0.2">
      <c r="A53" s="396" t="s">
        <v>242</v>
      </c>
      <c r="B53" s="396"/>
      <c r="C53" s="396"/>
      <c r="D53" s="396"/>
      <c r="E53" s="140" t="s">
        <v>0</v>
      </c>
    </row>
    <row r="54" spans="1:17" ht="30" customHeight="1" x14ac:dyDescent="0.2">
      <c r="A54" s="396" t="s">
        <v>243</v>
      </c>
      <c r="B54" s="396"/>
      <c r="C54" s="396"/>
      <c r="D54" s="396"/>
      <c r="E54" s="140" t="s">
        <v>0</v>
      </c>
    </row>
    <row r="55" spans="1:17" ht="30" customHeight="1" x14ac:dyDescent="0.2">
      <c r="A55" s="396" t="s">
        <v>244</v>
      </c>
      <c r="B55" s="396"/>
      <c r="C55" s="396"/>
      <c r="D55" s="396"/>
      <c r="E55" s="140" t="s">
        <v>0</v>
      </c>
    </row>
    <row r="56" spans="1:17" ht="30" customHeight="1" x14ac:dyDescent="0.2">
      <c r="A56" s="396" t="s">
        <v>245</v>
      </c>
      <c r="B56" s="396"/>
      <c r="C56" s="396"/>
      <c r="D56" s="396"/>
      <c r="E56" s="140" t="s">
        <v>0</v>
      </c>
    </row>
    <row r="57" spans="1:17" ht="41.25" customHeight="1" x14ac:dyDescent="0.2">
      <c r="A57" s="257" t="s">
        <v>47</v>
      </c>
      <c r="B57" s="257"/>
      <c r="C57" s="257"/>
      <c r="D57" s="257"/>
      <c r="E57" s="140" t="s">
        <v>0</v>
      </c>
    </row>
    <row r="59" spans="1:17" ht="30" customHeight="1" x14ac:dyDescent="0.2">
      <c r="A59" s="267" t="s">
        <v>48</v>
      </c>
      <c r="B59" s="268"/>
      <c r="C59" s="268"/>
      <c r="D59" s="268"/>
      <c r="E59" s="268"/>
      <c r="F59" s="268"/>
      <c r="G59" s="268"/>
      <c r="H59" s="268"/>
      <c r="I59" s="268"/>
      <c r="J59" s="268"/>
      <c r="K59" s="268"/>
      <c r="L59" s="268"/>
      <c r="M59" s="268"/>
      <c r="N59" s="268"/>
      <c r="O59" s="268"/>
      <c r="P59" s="268"/>
      <c r="Q59" s="269"/>
    </row>
    <row r="61" spans="1:17" ht="15.75" customHeight="1" x14ac:dyDescent="0.2">
      <c r="A61" s="258" t="s">
        <v>49</v>
      </c>
      <c r="B61" s="259"/>
      <c r="C61" s="259"/>
      <c r="D61" s="260"/>
      <c r="E61" s="270" t="str">
        <f>IF(IF(OR('CRP SINGULAR'!$L$8="CUMPLE",'CRP SINGULAR'!$L$8="NO CUMPLE",'CRP PLURAL (2)'!$L$13="CUMPLE",'CRP PLURAL (2)'!$L$13="NO CUMPLE",'CRP PLURAL (3)'!$L$15="CUMPLE",'CRP PLURAL (3)'!$L$15="NO CUMPLE",'CRP PLURAL (4)'!$L$17="CUMPLE",'CRP PLURAL (4)'!$L$17="NO CUMPLE",'CRP PLURAL (5)'!$L$19="CUMPLE",'CRP PLURAL (5)'!$L$19="NO CUMPLE")=TRUE,VLOOKUP(TRUE,Base!$B$2:$D$6,3,0))=FALSE,"",IF(OR('CRP SINGULAR'!$L$8="CUMPLE",'CRP SINGULAR'!$L$8="NO CUMPLE",'CRP PLURAL (2)'!$L$13="CUMPLE",'CRP PLURAL (2)'!$L$13="NO CUMPLE",'CRP PLURAL (3)'!$L$15="CUMPLE",'CRP PLURAL (3)'!$L$15="NO CUMPLE",'CRP PLURAL (4)'!$L$17="CUMPLE",'CRP PLURAL (4)'!$L$17="NO CUMPLE",'CRP PLURAL (5)'!$L$19="CUMPLE",'CRP PLURAL (5)'!$L$19="NO CUMPLE")=TRUE,VLOOKUP(TRUE,Base!$B$2:$D$6,3,0)))</f>
        <v>CUMPLE</v>
      </c>
      <c r="F61" s="272" t="s">
        <v>50</v>
      </c>
      <c r="G61" s="272"/>
      <c r="H61" s="272"/>
      <c r="I61" s="272"/>
      <c r="J61" s="272"/>
      <c r="K61" s="272"/>
      <c r="L61" s="272"/>
      <c r="M61" s="272"/>
      <c r="N61" s="272"/>
      <c r="O61" s="272"/>
      <c r="P61" s="272"/>
      <c r="Q61" s="272"/>
    </row>
    <row r="62" spans="1:17" ht="30" customHeight="1" x14ac:dyDescent="0.2">
      <c r="A62" s="261"/>
      <c r="B62" s="262"/>
      <c r="C62" s="262"/>
      <c r="D62" s="263"/>
      <c r="E62" s="270"/>
      <c r="F62" s="273"/>
      <c r="G62" s="273"/>
      <c r="H62" s="273"/>
      <c r="I62" s="273"/>
      <c r="J62" s="273"/>
      <c r="K62" s="273"/>
      <c r="L62" s="273"/>
      <c r="M62" s="273"/>
      <c r="N62" s="273"/>
      <c r="O62" s="273"/>
      <c r="P62" s="273"/>
      <c r="Q62" s="273"/>
    </row>
    <row r="63" spans="1:17" ht="30" customHeight="1" x14ac:dyDescent="0.2">
      <c r="A63" s="264"/>
      <c r="B63" s="265"/>
      <c r="C63" s="265"/>
      <c r="D63" s="266"/>
      <c r="E63" s="271"/>
      <c r="F63" s="273"/>
      <c r="G63" s="273"/>
      <c r="H63" s="273"/>
      <c r="I63" s="273"/>
      <c r="J63" s="273"/>
      <c r="K63" s="273"/>
      <c r="L63" s="273"/>
      <c r="M63" s="273"/>
      <c r="N63" s="273"/>
      <c r="O63" s="273"/>
      <c r="P63" s="273"/>
      <c r="Q63" s="273"/>
    </row>
    <row r="64" spans="1:17" ht="26.25" customHeight="1" x14ac:dyDescent="0.2">
      <c r="A64" s="345" t="s">
        <v>51</v>
      </c>
      <c r="B64" s="346"/>
      <c r="C64" s="346"/>
      <c r="D64" s="346"/>
      <c r="E64" s="347"/>
      <c r="F64" s="273"/>
      <c r="G64" s="273"/>
      <c r="H64" s="273"/>
      <c r="I64" s="273"/>
      <c r="J64" s="273"/>
      <c r="K64" s="273"/>
      <c r="L64" s="273"/>
      <c r="M64" s="273"/>
      <c r="N64" s="273"/>
      <c r="O64" s="273"/>
      <c r="P64" s="273"/>
      <c r="Q64" s="273"/>
    </row>
    <row r="66" spans="1:17" ht="19.5" customHeight="1" x14ac:dyDescent="0.2">
      <c r="A66" s="267" t="s">
        <v>52</v>
      </c>
      <c r="B66" s="268"/>
      <c r="C66" s="268"/>
      <c r="D66" s="268"/>
      <c r="E66" s="268"/>
      <c r="F66" s="268"/>
      <c r="G66" s="268"/>
      <c r="H66" s="268"/>
      <c r="I66" s="268"/>
      <c r="J66" s="268"/>
      <c r="K66" s="268"/>
      <c r="L66" s="268"/>
      <c r="M66" s="268"/>
      <c r="N66" s="268"/>
      <c r="O66" s="268"/>
      <c r="P66" s="268"/>
      <c r="Q66" s="269"/>
    </row>
    <row r="68" spans="1:17" ht="27.75" customHeight="1" x14ac:dyDescent="0.2">
      <c r="A68" s="339" t="s">
        <v>53</v>
      </c>
      <c r="B68" s="340"/>
      <c r="C68" s="340"/>
      <c r="D68" s="341"/>
      <c r="E68" s="45" t="s">
        <v>54</v>
      </c>
      <c r="F68" s="45" t="s">
        <v>55</v>
      </c>
    </row>
    <row r="69" spans="1:17" ht="22.5" customHeight="1" x14ac:dyDescent="0.2">
      <c r="A69" s="342"/>
      <c r="B69" s="343"/>
      <c r="C69" s="343"/>
      <c r="D69" s="344"/>
      <c r="E69" s="28" t="str">
        <f>IF(E57="","",IF(E57="CUMPLE","HABILITADO","NO HABILITADO"))</f>
        <v>HABILITADO</v>
      </c>
      <c r="F69" s="28" t="str">
        <f>IF(E61="","",IF(E61="CUMPLE","HABILITADO","NO HABILITADO"))</f>
        <v>HABILITADO</v>
      </c>
    </row>
    <row r="71" spans="1:17" ht="30" customHeight="1" x14ac:dyDescent="0.2">
      <c r="A71" s="267" t="s">
        <v>56</v>
      </c>
      <c r="B71" s="268"/>
      <c r="C71" s="268"/>
      <c r="D71" s="268"/>
      <c r="E71" s="268"/>
      <c r="F71" s="268"/>
      <c r="G71" s="268"/>
      <c r="H71" s="268"/>
      <c r="I71" s="268"/>
      <c r="J71" s="268"/>
      <c r="K71" s="268"/>
      <c r="L71" s="268"/>
      <c r="M71" s="268"/>
      <c r="N71" s="268"/>
      <c r="O71" s="268"/>
      <c r="P71" s="268"/>
      <c r="Q71" s="269"/>
    </row>
    <row r="73" spans="1:17" ht="15" customHeight="1" x14ac:dyDescent="0.2"/>
    <row r="74" spans="1:17" ht="15" customHeight="1" x14ac:dyDescent="0.2">
      <c r="F74" s="46"/>
      <c r="G74" s="46"/>
      <c r="H74" s="46"/>
    </row>
    <row r="76" spans="1:17" ht="15" x14ac:dyDescent="0.25">
      <c r="A76" s="23">
        <v>1</v>
      </c>
      <c r="B76" s="363" t="s">
        <v>57</v>
      </c>
      <c r="C76" s="363"/>
      <c r="D76" s="363"/>
      <c r="E76" s="363"/>
      <c r="F76" s="363"/>
      <c r="G76" s="363"/>
      <c r="H76" s="363"/>
      <c r="I76" s="363"/>
      <c r="J76" s="363"/>
      <c r="K76" s="363"/>
    </row>
    <row r="77" spans="1:17" ht="15" x14ac:dyDescent="0.25">
      <c r="A77" s="5"/>
      <c r="B77" s="24"/>
      <c r="C77" s="24"/>
      <c r="D77" s="24"/>
      <c r="E77" s="24"/>
      <c r="F77" s="24"/>
      <c r="G77" s="25"/>
      <c r="H77" s="25"/>
      <c r="I77" s="25"/>
      <c r="J77" s="24"/>
      <c r="K77" s="10"/>
    </row>
    <row r="78" spans="1:17" ht="28.5" x14ac:dyDescent="0.25">
      <c r="A78" s="3"/>
      <c r="B78" s="1"/>
      <c r="C78" s="1"/>
      <c r="D78" s="1"/>
      <c r="E78" s="2"/>
      <c r="F78" s="2"/>
      <c r="G78" s="26" t="s">
        <v>58</v>
      </c>
      <c r="H78" s="27" t="s">
        <v>59</v>
      </c>
      <c r="I78" s="27" t="s">
        <v>60</v>
      </c>
      <c r="J78" s="364" t="s">
        <v>61</v>
      </c>
      <c r="K78" s="364"/>
    </row>
    <row r="79" spans="1:17" ht="15" x14ac:dyDescent="0.25">
      <c r="A79" s="3"/>
      <c r="B79" s="348" t="s">
        <v>62</v>
      </c>
      <c r="C79" s="348"/>
      <c r="D79" s="348"/>
      <c r="E79" s="348"/>
      <c r="F79" s="348"/>
      <c r="G79" s="28" t="s">
        <v>63</v>
      </c>
      <c r="H79" s="12" t="s">
        <v>2</v>
      </c>
      <c r="I79" s="29">
        <v>10</v>
      </c>
      <c r="J79" s="365"/>
      <c r="K79" s="365"/>
    </row>
    <row r="80" spans="1:17" ht="15" x14ac:dyDescent="0.25">
      <c r="A80" s="3"/>
      <c r="B80" s="348" t="s">
        <v>251</v>
      </c>
      <c r="C80" s="348"/>
      <c r="D80" s="348"/>
      <c r="E80" s="348"/>
      <c r="F80" s="348"/>
      <c r="G80" s="28" t="s">
        <v>253</v>
      </c>
      <c r="H80" s="12" t="s">
        <v>2</v>
      </c>
      <c r="I80" s="29">
        <v>15</v>
      </c>
      <c r="J80" s="365"/>
      <c r="K80" s="365"/>
    </row>
    <row r="81" spans="1:11" ht="15" x14ac:dyDescent="0.25">
      <c r="A81" s="3"/>
      <c r="B81" s="348" t="s">
        <v>252</v>
      </c>
      <c r="C81" s="348"/>
      <c r="D81" s="348"/>
      <c r="E81" s="348"/>
      <c r="F81" s="348"/>
      <c r="G81" s="28" t="s">
        <v>254</v>
      </c>
      <c r="H81" s="12" t="s">
        <v>2</v>
      </c>
      <c r="I81" s="29">
        <v>5</v>
      </c>
      <c r="J81" s="365"/>
      <c r="K81" s="365"/>
    </row>
    <row r="82" spans="1:11" ht="15" x14ac:dyDescent="0.25">
      <c r="A82" s="3"/>
      <c r="B82" s="155"/>
      <c r="C82" s="155"/>
      <c r="D82" s="155"/>
      <c r="E82" s="155"/>
      <c r="F82" s="155"/>
      <c r="G82" s="156"/>
      <c r="H82" s="156"/>
      <c r="I82" s="29">
        <f>SUM(I79:I81)</f>
        <v>30</v>
      </c>
      <c r="J82" s="157"/>
      <c r="K82" s="157"/>
    </row>
    <row r="83" spans="1:11" ht="15" x14ac:dyDescent="0.25">
      <c r="A83" s="3"/>
      <c r="B83" s="30"/>
      <c r="C83" s="30"/>
      <c r="D83" s="30"/>
      <c r="E83" s="31"/>
      <c r="F83" s="31"/>
      <c r="G83" s="2"/>
      <c r="H83" s="2"/>
      <c r="I83" s="2"/>
      <c r="J83" s="10"/>
      <c r="K83" s="10"/>
    </row>
    <row r="84" spans="1:11" ht="15" x14ac:dyDescent="0.25">
      <c r="A84" s="3"/>
      <c r="B84" s="30"/>
      <c r="C84" s="30"/>
      <c r="D84" s="30"/>
      <c r="E84" s="31"/>
      <c r="F84" s="31"/>
      <c r="G84" s="2"/>
      <c r="H84" s="2"/>
      <c r="I84" s="2"/>
      <c r="J84" s="10"/>
      <c r="K84" s="10"/>
    </row>
    <row r="85" spans="1:11" ht="15" x14ac:dyDescent="0.25">
      <c r="A85" s="23">
        <v>2</v>
      </c>
      <c r="B85" s="374" t="s">
        <v>64</v>
      </c>
      <c r="C85" s="374"/>
      <c r="D85" s="374"/>
      <c r="E85" s="374"/>
      <c r="F85" s="374"/>
      <c r="G85" s="374"/>
      <c r="H85" s="374"/>
      <c r="I85" s="374"/>
      <c r="J85" s="374"/>
      <c r="K85" s="374"/>
    </row>
    <row r="86" spans="1:11" ht="15" x14ac:dyDescent="0.25">
      <c r="A86" s="5"/>
      <c r="B86" s="24"/>
      <c r="C86" s="24"/>
      <c r="D86" s="24"/>
      <c r="E86" s="24"/>
      <c r="F86" s="24"/>
      <c r="G86" s="25"/>
      <c r="H86" s="25"/>
      <c r="I86" s="25"/>
      <c r="J86" s="24"/>
      <c r="K86" s="10"/>
    </row>
    <row r="87" spans="1:11" ht="28.5" x14ac:dyDescent="0.25">
      <c r="A87" s="3"/>
      <c r="B87" s="30"/>
      <c r="C87" s="30"/>
      <c r="D87" s="30"/>
      <c r="E87" s="31"/>
      <c r="F87" s="31"/>
      <c r="G87" s="32" t="s">
        <v>58</v>
      </c>
      <c r="H87" s="33" t="s">
        <v>65</v>
      </c>
      <c r="I87" s="33" t="s">
        <v>60</v>
      </c>
      <c r="J87" s="364" t="s">
        <v>61</v>
      </c>
      <c r="K87" s="364"/>
    </row>
    <row r="88" spans="1:11" ht="15" x14ac:dyDescent="0.25">
      <c r="A88" s="3"/>
      <c r="B88" s="348" t="s">
        <v>66</v>
      </c>
      <c r="C88" s="348"/>
      <c r="D88" s="348"/>
      <c r="E88" s="348"/>
      <c r="F88" s="348"/>
      <c r="G88" s="28" t="s">
        <v>67</v>
      </c>
      <c r="H88" s="12" t="s">
        <v>2</v>
      </c>
      <c r="I88" s="29">
        <f>IF(H88="","",IF(H88="NO",0,IF(H89="SI","N/A",IF(H88="SI",20,0))))</f>
        <v>20</v>
      </c>
      <c r="J88" s="349"/>
      <c r="K88" s="349"/>
    </row>
    <row r="89" spans="1:11" ht="15" x14ac:dyDescent="0.25">
      <c r="A89" s="3"/>
      <c r="B89" s="348" t="s">
        <v>68</v>
      </c>
      <c r="C89" s="348"/>
      <c r="D89" s="348"/>
      <c r="E89" s="348"/>
      <c r="F89" s="348"/>
      <c r="G89" s="28">
        <v>9</v>
      </c>
      <c r="H89" s="12"/>
      <c r="I89" s="29" t="str">
        <f>IF($H$166="","",IF($H$166="NO",0,IF($H$165="SI","N/A",IF($H$166="NO","",IF($H$166="SI",5,0)))))</f>
        <v/>
      </c>
      <c r="J89" s="349"/>
      <c r="K89" s="349"/>
    </row>
    <row r="90" spans="1:11" ht="15" x14ac:dyDescent="0.25">
      <c r="A90" s="3"/>
      <c r="B90" s="1"/>
      <c r="C90" s="1"/>
      <c r="D90" s="1"/>
      <c r="E90" s="2"/>
      <c r="F90" s="2"/>
      <c r="G90" s="2"/>
      <c r="H90" s="2"/>
      <c r="I90" s="2"/>
      <c r="J90" s="10"/>
      <c r="K90" s="10"/>
    </row>
    <row r="91" spans="1:11" ht="15" x14ac:dyDescent="0.25">
      <c r="A91" s="3"/>
      <c r="B91" s="1"/>
      <c r="C91" s="1"/>
      <c r="D91" s="1"/>
      <c r="E91" s="2"/>
      <c r="F91" s="2"/>
      <c r="G91" s="2"/>
      <c r="H91" s="2"/>
      <c r="I91" s="2"/>
      <c r="J91" s="10"/>
      <c r="K91" s="10"/>
    </row>
    <row r="92" spans="1:11" ht="15" x14ac:dyDescent="0.25">
      <c r="A92" s="3"/>
      <c r="B92" s="1"/>
      <c r="C92" s="1"/>
      <c r="D92" s="1"/>
      <c r="E92" s="2"/>
      <c r="F92" s="2"/>
      <c r="G92" s="2"/>
      <c r="H92" s="2"/>
      <c r="I92" s="2"/>
      <c r="J92" s="10"/>
      <c r="K92" s="10"/>
    </row>
    <row r="93" spans="1:11" ht="15" x14ac:dyDescent="0.25">
      <c r="A93" s="23">
        <v>4</v>
      </c>
      <c r="B93" s="374" t="s">
        <v>69</v>
      </c>
      <c r="C93" s="374"/>
      <c r="D93" s="374"/>
      <c r="E93" s="374"/>
      <c r="F93" s="374"/>
      <c r="G93" s="374"/>
      <c r="H93" s="374"/>
      <c r="I93" s="374"/>
      <c r="J93" s="374"/>
      <c r="K93" s="374"/>
    </row>
    <row r="94" spans="1:11" ht="15" x14ac:dyDescent="0.25">
      <c r="A94" s="5"/>
      <c r="B94" s="24"/>
      <c r="C94" s="24"/>
      <c r="D94" s="24"/>
      <c r="E94" s="24"/>
      <c r="F94" s="24"/>
      <c r="G94" s="25"/>
      <c r="H94" s="25"/>
      <c r="I94" s="25"/>
      <c r="J94" s="24"/>
      <c r="K94" s="10"/>
    </row>
    <row r="95" spans="1:11" ht="28.5" x14ac:dyDescent="0.25">
      <c r="A95" s="3"/>
      <c r="B95" s="34"/>
      <c r="C95" s="34"/>
      <c r="D95" s="1"/>
      <c r="E95" s="2"/>
      <c r="F95" s="2"/>
      <c r="G95" s="32" t="s">
        <v>58</v>
      </c>
      <c r="H95" s="33" t="s">
        <v>65</v>
      </c>
      <c r="I95" s="33" t="s">
        <v>60</v>
      </c>
      <c r="J95" s="364" t="s">
        <v>61</v>
      </c>
      <c r="K95" s="364"/>
    </row>
    <row r="96" spans="1:11" ht="52.5" customHeight="1" x14ac:dyDescent="0.25">
      <c r="A96" s="3"/>
      <c r="B96" s="348" t="s">
        <v>255</v>
      </c>
      <c r="C96" s="348"/>
      <c r="D96" s="348"/>
      <c r="E96" s="348"/>
      <c r="F96" s="348"/>
      <c r="G96" s="32" t="s">
        <v>256</v>
      </c>
      <c r="H96" s="12" t="s">
        <v>2</v>
      </c>
      <c r="I96" s="392">
        <f>IF(H96="NO",0,IF(H97="NO",0,IF(H107="NO CUMPLE",0,IF(H107="",0,IF(H98="NO",0,IF(H99="NO",0,IF(H104="NO",0,IF(H105="NO",0,IF(OR(AND(H97="SI",H98="SI"),AND(H97="SI",H99="SI"),AND(H99="SI",H101="SI",H102="SI",H103="SI"),AND(H97="SI",H104="SI"),AND(H97="SI",H105="SI"))=TRUE,0.25,0)))))))))</f>
        <v>0.25</v>
      </c>
      <c r="J96" s="386" t="s">
        <v>261</v>
      </c>
      <c r="K96" s="387"/>
    </row>
    <row r="97" spans="1:17" ht="21" customHeight="1" x14ac:dyDescent="0.25">
      <c r="A97" s="3"/>
      <c r="B97" s="348" t="s">
        <v>70</v>
      </c>
      <c r="C97" s="348"/>
      <c r="D97" s="348"/>
      <c r="E97" s="348"/>
      <c r="F97" s="348"/>
      <c r="G97" s="28"/>
      <c r="H97" s="12" t="s">
        <v>2</v>
      </c>
      <c r="I97" s="393"/>
      <c r="J97" s="388"/>
      <c r="K97" s="389"/>
    </row>
    <row r="98" spans="1:17" ht="103.5" customHeight="1" x14ac:dyDescent="0.25">
      <c r="A98" s="3"/>
      <c r="B98" s="348" t="s">
        <v>71</v>
      </c>
      <c r="C98" s="348"/>
      <c r="D98" s="348"/>
      <c r="E98" s="348"/>
      <c r="F98" s="348"/>
      <c r="G98" s="28"/>
      <c r="H98" s="12"/>
      <c r="I98" s="393"/>
      <c r="J98" s="388"/>
      <c r="K98" s="389"/>
    </row>
    <row r="99" spans="1:17" ht="239.25" customHeight="1" x14ac:dyDescent="0.25">
      <c r="A99" s="3"/>
      <c r="B99" s="365" t="s">
        <v>72</v>
      </c>
      <c r="C99" s="365"/>
      <c r="D99" s="365"/>
      <c r="E99" s="365"/>
      <c r="F99" s="365"/>
      <c r="G99" s="28"/>
      <c r="H99" s="12" t="s">
        <v>2</v>
      </c>
      <c r="I99" s="393"/>
      <c r="J99" s="388"/>
      <c r="K99" s="389"/>
    </row>
    <row r="100" spans="1:17" ht="21.75" customHeight="1" x14ac:dyDescent="0.25">
      <c r="A100" s="3"/>
      <c r="B100" s="371" t="s">
        <v>73</v>
      </c>
      <c r="C100" s="372"/>
      <c r="D100" s="372"/>
      <c r="E100" s="372"/>
      <c r="F100" s="372"/>
      <c r="G100" s="372"/>
      <c r="H100" s="373"/>
      <c r="I100" s="393"/>
      <c r="J100" s="388"/>
      <c r="K100" s="389"/>
    </row>
    <row r="101" spans="1:17" ht="31.5" customHeight="1" x14ac:dyDescent="0.2">
      <c r="A101" s="385"/>
      <c r="B101" s="360" t="str">
        <f>IF($H$99="SI","Aporta certificación expedida por el representante legal y el revisor fiscal, cuando exista de acuerdo con los requerimientos de ley, o el contador.","")</f>
        <v>Aporta certificación expedida por el representante legal y el revisor fiscal, cuando exista de acuerdo con los requerimientos de ley, o el contador.</v>
      </c>
      <c r="C101" s="361"/>
      <c r="D101" s="361"/>
      <c r="E101" s="361"/>
      <c r="F101" s="362"/>
      <c r="G101" s="28"/>
      <c r="H101" s="12" t="s">
        <v>2</v>
      </c>
      <c r="I101" s="393"/>
      <c r="J101" s="388"/>
      <c r="K101" s="389"/>
    </row>
    <row r="102" spans="1:17" ht="31.5" customHeight="1" x14ac:dyDescent="0.2">
      <c r="A102" s="385"/>
      <c r="B102" s="360" t="str">
        <f>IF($H$99="SI","Aporta documento de identidad, copia de contratos de trabajo o certificacón laboral con las funciones","")</f>
        <v>Aporta documento de identidad, copia de contratos de trabajo o certificacón laboral con las funciones</v>
      </c>
      <c r="C102" s="361"/>
      <c r="D102" s="361"/>
      <c r="E102" s="361"/>
      <c r="F102" s="362"/>
      <c r="G102" s="28"/>
      <c r="H102" s="12" t="s">
        <v>2</v>
      </c>
      <c r="I102" s="393"/>
      <c r="J102" s="388"/>
      <c r="K102" s="389"/>
    </row>
    <row r="103" spans="1:17" x14ac:dyDescent="0.2">
      <c r="A103" s="385"/>
      <c r="B103" s="360" t="str">
        <f>IF($H$99="SI","Aporta ceritificado de aportes a seguridad social del último año","")</f>
        <v>Aporta ceritificado de aportes a seguridad social del último año</v>
      </c>
      <c r="C103" s="361"/>
      <c r="D103" s="361"/>
      <c r="E103" s="361"/>
      <c r="F103" s="362"/>
      <c r="G103" s="28"/>
      <c r="H103" s="12" t="s">
        <v>2</v>
      </c>
      <c r="I103" s="393"/>
      <c r="J103" s="388"/>
      <c r="K103" s="389"/>
    </row>
    <row r="104" spans="1:17" ht="52.5" customHeight="1" x14ac:dyDescent="0.25">
      <c r="A104" s="3"/>
      <c r="B104" s="348" t="s">
        <v>74</v>
      </c>
      <c r="C104" s="348"/>
      <c r="D104" s="348"/>
      <c r="E104" s="348"/>
      <c r="F104" s="348"/>
      <c r="G104" s="28"/>
      <c r="H104" s="12"/>
      <c r="I104" s="393"/>
      <c r="J104" s="388"/>
      <c r="K104" s="389"/>
    </row>
    <row r="105" spans="1:17" ht="58.5" customHeight="1" x14ac:dyDescent="0.25">
      <c r="A105" s="3"/>
      <c r="B105" s="348" t="s">
        <v>75</v>
      </c>
      <c r="C105" s="348"/>
      <c r="D105" s="348"/>
      <c r="E105" s="348"/>
      <c r="F105" s="348"/>
      <c r="G105" s="28"/>
      <c r="H105" s="12"/>
      <c r="I105" s="393"/>
      <c r="J105" s="388"/>
      <c r="K105" s="389"/>
    </row>
    <row r="106" spans="1:17" ht="17.25" customHeight="1" x14ac:dyDescent="0.25">
      <c r="A106" s="3"/>
      <c r="B106" s="370" t="s">
        <v>76</v>
      </c>
      <c r="C106" s="370"/>
      <c r="D106" s="370"/>
      <c r="E106" s="370"/>
      <c r="F106" s="370"/>
      <c r="G106" s="287" t="s">
        <v>260</v>
      </c>
      <c r="H106" s="289"/>
      <c r="I106" s="394"/>
      <c r="J106" s="390"/>
      <c r="K106" s="391"/>
    </row>
    <row r="107" spans="1:17" ht="17.25" customHeight="1" x14ac:dyDescent="0.25">
      <c r="A107" s="3"/>
      <c r="B107" s="370" t="s">
        <v>77</v>
      </c>
      <c r="C107" s="370"/>
      <c r="D107" s="370"/>
      <c r="E107" s="370"/>
      <c r="F107" s="370"/>
      <c r="G107" s="28"/>
      <c r="H107" s="12" t="s">
        <v>0</v>
      </c>
      <c r="I107" s="67"/>
      <c r="J107" s="47"/>
      <c r="K107" s="47"/>
    </row>
    <row r="108" spans="1:17" ht="25.5" customHeight="1" x14ac:dyDescent="0.25">
      <c r="A108" s="3"/>
      <c r="B108" s="35"/>
      <c r="C108" s="35"/>
      <c r="D108" s="35"/>
      <c r="E108" s="35"/>
      <c r="F108" s="35"/>
      <c r="G108" s="36"/>
      <c r="H108" s="37"/>
      <c r="I108" s="7"/>
      <c r="J108" s="10"/>
      <c r="K108" s="10"/>
    </row>
    <row r="111" spans="1:17" s="4" customFormat="1" ht="30" customHeight="1" x14ac:dyDescent="0.2">
      <c r="A111" s="267" t="s">
        <v>78</v>
      </c>
      <c r="B111" s="268"/>
      <c r="C111" s="268"/>
      <c r="D111" s="268"/>
      <c r="E111" s="268"/>
      <c r="F111" s="268"/>
      <c r="G111" s="268"/>
      <c r="H111" s="268"/>
      <c r="I111" s="268"/>
      <c r="J111" s="268"/>
      <c r="K111" s="268"/>
      <c r="L111" s="268"/>
      <c r="M111" s="268"/>
      <c r="N111" s="268"/>
      <c r="O111" s="268"/>
      <c r="P111" s="268"/>
      <c r="Q111" s="269"/>
    </row>
    <row r="112" spans="1:17" s="4" customFormat="1" x14ac:dyDescent="0.2">
      <c r="A112" s="1"/>
      <c r="B112" s="1"/>
      <c r="C112" s="1"/>
      <c r="D112" s="1"/>
      <c r="E112" s="2"/>
      <c r="F112" s="2"/>
      <c r="G112" s="10"/>
      <c r="H112" s="10"/>
      <c r="I112" s="10"/>
      <c r="J112" s="10"/>
      <c r="K112" s="10"/>
      <c r="L112" s="10"/>
      <c r="M112" s="10"/>
    </row>
    <row r="113" spans="1:31" s="4" customFormat="1" ht="15" x14ac:dyDescent="0.2">
      <c r="A113" s="1"/>
      <c r="B113" s="1"/>
      <c r="C113" s="1"/>
      <c r="D113" s="1"/>
      <c r="E113" s="2"/>
      <c r="F113" s="2"/>
      <c r="G113" s="38"/>
      <c r="H113" s="38"/>
      <c r="I113" s="38"/>
      <c r="J113" s="38"/>
      <c r="K113" s="38"/>
      <c r="L113" s="38"/>
      <c r="M113" s="10"/>
    </row>
    <row r="114" spans="1:31" s="1" customFormat="1" ht="27" customHeight="1" x14ac:dyDescent="0.2">
      <c r="B114" s="359" t="s">
        <v>79</v>
      </c>
      <c r="C114" s="359"/>
      <c r="D114" s="359"/>
      <c r="E114" s="359"/>
      <c r="F114" s="359"/>
      <c r="G114" s="68" t="str">
        <f>IF($G$115="","",IF(AND(G115="CUMPLE",G116="CUMPLE")=TRUE,"HABILITADO","NO HABILITADO"))</f>
        <v>HABILITADO</v>
      </c>
      <c r="H114" s="48"/>
      <c r="I114" s="48"/>
      <c r="J114" s="48"/>
      <c r="K114" s="48"/>
      <c r="L114" s="48"/>
      <c r="M114" s="39"/>
      <c r="N114" s="40"/>
      <c r="O114" s="40"/>
    </row>
    <row r="115" spans="1:31" s="1" customFormat="1" ht="27" customHeight="1" x14ac:dyDescent="0.2">
      <c r="B115" s="359" t="s">
        <v>80</v>
      </c>
      <c r="C115" s="359"/>
      <c r="D115" s="359"/>
      <c r="E115" s="359"/>
      <c r="F115" s="359"/>
      <c r="G115" s="141" t="str">
        <f>+$E$57</f>
        <v>CUMPLE</v>
      </c>
      <c r="H115" s="49"/>
      <c r="I115" s="49"/>
      <c r="J115" s="49"/>
      <c r="K115" s="49"/>
      <c r="L115" s="49"/>
      <c r="M115" s="2"/>
    </row>
    <row r="116" spans="1:31" s="1" customFormat="1" ht="27" customHeight="1" x14ac:dyDescent="0.2">
      <c r="B116" s="359" t="s">
        <v>81</v>
      </c>
      <c r="C116" s="359"/>
      <c r="D116" s="359"/>
      <c r="E116" s="359"/>
      <c r="F116" s="359"/>
      <c r="G116" s="141" t="str">
        <f>+$E$61</f>
        <v>CUMPLE</v>
      </c>
      <c r="H116" s="49"/>
      <c r="I116" s="49"/>
      <c r="J116" s="49"/>
      <c r="K116" s="49"/>
      <c r="L116" s="49"/>
      <c r="M116" s="2"/>
      <c r="S116" s="2"/>
      <c r="T116" s="2"/>
      <c r="U116" s="2"/>
      <c r="V116" s="2"/>
      <c r="W116" s="2"/>
      <c r="X116" s="2"/>
      <c r="Y116" s="2"/>
      <c r="Z116" s="2"/>
      <c r="AA116" s="2"/>
      <c r="AB116" s="2"/>
      <c r="AC116" s="2"/>
      <c r="AD116" s="2"/>
      <c r="AE116" s="2"/>
    </row>
    <row r="117" spans="1:31" s="1" customFormat="1" ht="27" customHeight="1" x14ac:dyDescent="0.2">
      <c r="B117" s="359" t="s">
        <v>82</v>
      </c>
      <c r="C117" s="359"/>
      <c r="D117" s="359"/>
      <c r="E117" s="359"/>
      <c r="F117" s="359"/>
      <c r="G117" s="69"/>
      <c r="H117" s="50"/>
      <c r="I117" s="50"/>
      <c r="J117" s="50"/>
      <c r="K117" s="50"/>
      <c r="L117" s="50"/>
      <c r="M117" s="2"/>
    </row>
    <row r="118" spans="1:31" s="4" customFormat="1" ht="27" customHeight="1" x14ac:dyDescent="0.2">
      <c r="A118" s="1"/>
      <c r="B118" s="368" t="s">
        <v>57</v>
      </c>
      <c r="C118" s="368"/>
      <c r="D118" s="368"/>
      <c r="E118" s="368"/>
      <c r="F118" s="368"/>
      <c r="G118" s="55">
        <f>+I82</f>
        <v>30</v>
      </c>
      <c r="H118" s="51"/>
      <c r="I118" s="51"/>
      <c r="J118" s="51"/>
      <c r="K118" s="51"/>
      <c r="L118" s="51"/>
      <c r="M118" s="10"/>
    </row>
    <row r="119" spans="1:31" s="4" customFormat="1" ht="27" customHeight="1" x14ac:dyDescent="0.2">
      <c r="A119" s="1"/>
      <c r="B119" s="368" t="s">
        <v>83</v>
      </c>
      <c r="C119" s="368"/>
      <c r="D119" s="368"/>
      <c r="E119" s="368"/>
      <c r="F119" s="368"/>
      <c r="G119" s="55">
        <f>SUM($I$88:$I$89)</f>
        <v>20</v>
      </c>
      <c r="H119" s="51"/>
      <c r="I119" s="51"/>
      <c r="J119" s="51"/>
      <c r="K119" s="51"/>
      <c r="L119" s="51"/>
      <c r="M119" s="10"/>
    </row>
    <row r="120" spans="1:31" s="4" customFormat="1" ht="27" customHeight="1" x14ac:dyDescent="0.2">
      <c r="A120" s="1"/>
      <c r="B120" s="368" t="s">
        <v>69</v>
      </c>
      <c r="C120" s="368"/>
      <c r="D120" s="368"/>
      <c r="E120" s="368"/>
      <c r="F120" s="368"/>
      <c r="G120" s="55">
        <f>$I$96</f>
        <v>0.25</v>
      </c>
      <c r="H120" s="51"/>
      <c r="I120" s="51"/>
      <c r="J120" s="51"/>
      <c r="K120" s="51"/>
      <c r="L120" s="51"/>
      <c r="M120" s="10"/>
    </row>
    <row r="121" spans="1:31" s="4" customFormat="1" ht="27" customHeight="1" x14ac:dyDescent="0.2">
      <c r="A121" s="1"/>
      <c r="B121" s="368" t="s">
        <v>247</v>
      </c>
      <c r="C121" s="368"/>
      <c r="D121" s="368"/>
      <c r="E121" s="368"/>
      <c r="F121" s="368"/>
      <c r="G121" s="55">
        <v>0.25</v>
      </c>
      <c r="H121" s="51"/>
      <c r="I121" s="51"/>
      <c r="J121" s="51"/>
      <c r="K121" s="51"/>
      <c r="L121" s="51"/>
      <c r="M121" s="10"/>
    </row>
    <row r="122" spans="1:31" s="4" customFormat="1" ht="27" customHeight="1" x14ac:dyDescent="0.2">
      <c r="A122" s="1"/>
      <c r="B122" s="376" t="s">
        <v>44</v>
      </c>
      <c r="C122" s="376"/>
      <c r="D122" s="376"/>
      <c r="E122" s="376"/>
      <c r="F122" s="376"/>
      <c r="G122" s="56">
        <f>IF(G115="","",SUM(G118:G121))</f>
        <v>50.5</v>
      </c>
      <c r="H122" s="52"/>
      <c r="I122" s="52"/>
      <c r="J122" s="52"/>
      <c r="K122" s="52"/>
      <c r="L122" s="52"/>
      <c r="M122" s="10"/>
    </row>
    <row r="123" spans="1:31" s="10" customFormat="1" ht="27" customHeight="1" x14ac:dyDescent="0.2">
      <c r="A123" s="1"/>
      <c r="B123" s="375" t="s">
        <v>84</v>
      </c>
      <c r="C123" s="375"/>
      <c r="D123" s="375"/>
      <c r="E123" s="375"/>
      <c r="F123" s="375"/>
      <c r="G123" s="57"/>
      <c r="H123" s="54"/>
      <c r="I123" s="54"/>
      <c r="J123" s="54"/>
      <c r="K123" s="54"/>
      <c r="L123" s="54"/>
      <c r="N123" s="4"/>
      <c r="O123" s="4"/>
      <c r="P123" s="4"/>
      <c r="Q123" s="4"/>
      <c r="R123" s="4"/>
    </row>
    <row r="124" spans="1:31" s="10" customFormat="1" ht="27" customHeight="1" x14ac:dyDescent="0.25">
      <c r="A124" s="1"/>
      <c r="B124" s="376" t="s">
        <v>85</v>
      </c>
      <c r="C124" s="376"/>
      <c r="D124" s="376"/>
      <c r="E124" s="376"/>
      <c r="F124" s="376"/>
      <c r="G124" s="56">
        <f t="shared" ref="G124" si="2">IFERROR(G122-G123,0)</f>
        <v>50.5</v>
      </c>
      <c r="H124" s="53"/>
      <c r="I124" s="53"/>
      <c r="J124" s="53"/>
      <c r="K124" s="53"/>
      <c r="L124" s="53"/>
      <c r="N124" s="4"/>
      <c r="O124" s="4"/>
      <c r="P124" s="4"/>
      <c r="Q124" s="4"/>
      <c r="R124" s="4"/>
    </row>
    <row r="125" spans="1:31" s="10" customFormat="1" ht="27" customHeight="1" x14ac:dyDescent="0.25">
      <c r="A125" s="1"/>
      <c r="B125" s="71"/>
      <c r="C125" s="71"/>
      <c r="D125" s="71"/>
      <c r="E125" s="71"/>
      <c r="F125" s="71"/>
      <c r="G125" s="70"/>
      <c r="H125" s="53"/>
      <c r="I125" s="53"/>
      <c r="J125" s="53"/>
      <c r="K125" s="53"/>
      <c r="L125" s="53"/>
      <c r="N125" s="4"/>
      <c r="O125" s="4"/>
      <c r="P125" s="4"/>
      <c r="Q125" s="4"/>
      <c r="R125" s="4"/>
    </row>
    <row r="126" spans="1:31" s="2" customFormat="1" ht="38.25" customHeight="1" x14ac:dyDescent="0.2">
      <c r="A126" s="1"/>
      <c r="B126" s="369"/>
      <c r="C126" s="369"/>
      <c r="D126" s="369"/>
      <c r="E126" s="369"/>
      <c r="F126" s="369"/>
      <c r="G126" s="369"/>
      <c r="H126" s="369"/>
      <c r="I126" s="369"/>
      <c r="J126" s="369"/>
      <c r="K126" s="369"/>
      <c r="L126" s="369"/>
      <c r="M126" s="369"/>
      <c r="N126" s="369"/>
      <c r="O126" s="1"/>
      <c r="P126" s="1"/>
      <c r="Q126" s="1"/>
      <c r="R126" s="1"/>
    </row>
    <row r="127" spans="1:31" s="2" customFormat="1" ht="38.25" customHeight="1" x14ac:dyDescent="0.25">
      <c r="B127" s="369" t="s">
        <v>86</v>
      </c>
      <c r="C127" s="369"/>
      <c r="D127" s="369"/>
      <c r="E127" s="369"/>
      <c r="F127" s="369"/>
      <c r="G127" s="369"/>
      <c r="H127" s="369"/>
      <c r="I127" s="369"/>
      <c r="J127" s="369"/>
      <c r="K127" s="369"/>
      <c r="L127" s="369"/>
    </row>
    <row r="137" spans="1:6" x14ac:dyDescent="0.2">
      <c r="A137" s="146"/>
      <c r="B137" s="146"/>
    </row>
    <row r="138" spans="1:6" ht="15" x14ac:dyDescent="0.2">
      <c r="A138" s="146"/>
      <c r="B138" s="146"/>
      <c r="C138" s="150"/>
      <c r="E138" s="366" t="s">
        <v>87</v>
      </c>
      <c r="F138" s="367"/>
    </row>
    <row r="139" spans="1:6" x14ac:dyDescent="0.2">
      <c r="A139" s="146"/>
      <c r="B139" s="146"/>
      <c r="C139" s="151"/>
      <c r="E139" s="72">
        <v>1998</v>
      </c>
      <c r="F139" s="73">
        <v>203826</v>
      </c>
    </row>
    <row r="140" spans="1:6" x14ac:dyDescent="0.2">
      <c r="A140" s="146"/>
      <c r="B140" s="146"/>
      <c r="C140" s="151"/>
      <c r="E140" s="74">
        <v>1999</v>
      </c>
      <c r="F140" s="75">
        <v>236460</v>
      </c>
    </row>
    <row r="141" spans="1:6" x14ac:dyDescent="0.2">
      <c r="A141" s="146"/>
      <c r="B141" s="146"/>
      <c r="C141" s="151"/>
      <c r="E141" s="74">
        <v>2000</v>
      </c>
      <c r="F141" s="75">
        <v>260100</v>
      </c>
    </row>
    <row r="142" spans="1:6" x14ac:dyDescent="0.2">
      <c r="A142" s="146"/>
      <c r="B142" s="146"/>
      <c r="C142" s="146"/>
      <c r="E142" s="74">
        <v>2001</v>
      </c>
      <c r="F142" s="75">
        <v>286110</v>
      </c>
    </row>
    <row r="143" spans="1:6" x14ac:dyDescent="0.2">
      <c r="A143" s="146"/>
      <c r="B143" s="146"/>
      <c r="C143" s="146"/>
      <c r="E143" s="74">
        <v>2002</v>
      </c>
      <c r="F143" s="75">
        <v>309000</v>
      </c>
    </row>
    <row r="144" spans="1:6" x14ac:dyDescent="0.2">
      <c r="A144" s="146"/>
      <c r="B144" s="146"/>
      <c r="C144" s="146"/>
      <c r="E144" s="74">
        <v>2003</v>
      </c>
      <c r="F144" s="75">
        <v>332000</v>
      </c>
    </row>
    <row r="145" spans="1:6" x14ac:dyDescent="0.2">
      <c r="A145" s="146"/>
      <c r="B145" s="146"/>
      <c r="C145" s="146"/>
      <c r="E145" s="74">
        <v>2004</v>
      </c>
      <c r="F145" s="75">
        <v>358000</v>
      </c>
    </row>
    <row r="146" spans="1:6" x14ac:dyDescent="0.2">
      <c r="A146" s="146"/>
      <c r="B146" s="146"/>
      <c r="C146" s="146"/>
      <c r="E146" s="74">
        <v>2005</v>
      </c>
      <c r="F146" s="75">
        <v>381500</v>
      </c>
    </row>
    <row r="147" spans="1:6" x14ac:dyDescent="0.2">
      <c r="A147" s="146"/>
      <c r="B147" s="146"/>
      <c r="C147" s="146"/>
      <c r="E147" s="74">
        <v>2006</v>
      </c>
      <c r="F147" s="75">
        <v>408000</v>
      </c>
    </row>
    <row r="148" spans="1:6" x14ac:dyDescent="0.2">
      <c r="A148" s="146"/>
      <c r="B148" s="146"/>
      <c r="C148" s="146"/>
      <c r="E148" s="74">
        <v>2007</v>
      </c>
      <c r="F148" s="75">
        <v>433700</v>
      </c>
    </row>
    <row r="149" spans="1:6" x14ac:dyDescent="0.2">
      <c r="A149" s="146"/>
      <c r="B149" s="146"/>
      <c r="C149" s="146"/>
      <c r="E149" s="74">
        <v>2008</v>
      </c>
      <c r="F149" s="75">
        <v>461500</v>
      </c>
    </row>
    <row r="150" spans="1:6" x14ac:dyDescent="0.2">
      <c r="A150" s="146"/>
      <c r="B150" s="146"/>
      <c r="C150" s="146"/>
      <c r="E150" s="74">
        <v>2009</v>
      </c>
      <c r="F150" s="75">
        <v>496900</v>
      </c>
    </row>
    <row r="151" spans="1:6" x14ac:dyDescent="0.2">
      <c r="A151" s="146"/>
      <c r="B151" s="146"/>
      <c r="C151" s="146"/>
      <c r="E151" s="74">
        <v>2010</v>
      </c>
      <c r="F151" s="75">
        <v>515000</v>
      </c>
    </row>
    <row r="152" spans="1:6" x14ac:dyDescent="0.2">
      <c r="A152" s="146"/>
      <c r="B152" s="146"/>
      <c r="C152" s="146"/>
      <c r="E152" s="76">
        <v>2011</v>
      </c>
      <c r="F152" s="77">
        <v>535600</v>
      </c>
    </row>
    <row r="153" spans="1:6" x14ac:dyDescent="0.2">
      <c r="A153" s="146"/>
      <c r="B153" s="146"/>
      <c r="C153" s="146"/>
      <c r="E153" s="76">
        <v>2012</v>
      </c>
      <c r="F153" s="77">
        <v>566700</v>
      </c>
    </row>
    <row r="154" spans="1:6" x14ac:dyDescent="0.2">
      <c r="A154" s="146"/>
      <c r="B154" s="146"/>
      <c r="C154" s="146"/>
      <c r="E154" s="76">
        <v>2013</v>
      </c>
      <c r="F154" s="77">
        <v>589500</v>
      </c>
    </row>
    <row r="155" spans="1:6" x14ac:dyDescent="0.2">
      <c r="A155" s="146"/>
      <c r="B155" s="146"/>
      <c r="C155" s="146"/>
      <c r="E155" s="76">
        <v>2014</v>
      </c>
      <c r="F155" s="77">
        <v>616000</v>
      </c>
    </row>
    <row r="156" spans="1:6" x14ac:dyDescent="0.2">
      <c r="A156" s="146"/>
      <c r="B156" s="146"/>
      <c r="C156" s="146"/>
      <c r="E156" s="76">
        <v>2015</v>
      </c>
      <c r="F156" s="77">
        <v>644350</v>
      </c>
    </row>
    <row r="157" spans="1:6" x14ac:dyDescent="0.2">
      <c r="A157" s="146"/>
      <c r="B157" s="146"/>
      <c r="C157" s="146"/>
      <c r="E157" s="76">
        <v>2016</v>
      </c>
      <c r="F157" s="77">
        <v>689454</v>
      </c>
    </row>
    <row r="158" spans="1:6" x14ac:dyDescent="0.2">
      <c r="A158" s="146"/>
      <c r="B158" s="146"/>
      <c r="C158" s="146"/>
      <c r="E158" s="76">
        <v>2017</v>
      </c>
      <c r="F158" s="77">
        <v>737717</v>
      </c>
    </row>
    <row r="159" spans="1:6" x14ac:dyDescent="0.2">
      <c r="A159" s="146"/>
      <c r="B159" s="146"/>
      <c r="C159" s="146"/>
      <c r="E159" s="76">
        <v>2018</v>
      </c>
      <c r="F159" s="77">
        <v>781242</v>
      </c>
    </row>
    <row r="160" spans="1:6" x14ac:dyDescent="0.2">
      <c r="A160" s="146"/>
      <c r="B160" s="146"/>
      <c r="C160" s="146"/>
      <c r="E160" s="76">
        <v>2019</v>
      </c>
      <c r="F160" s="77">
        <v>828116</v>
      </c>
    </row>
    <row r="161" spans="1:6" x14ac:dyDescent="0.2">
      <c r="A161" s="146"/>
      <c r="B161" s="146"/>
      <c r="C161" s="146"/>
      <c r="E161" s="76">
        <v>2020</v>
      </c>
      <c r="F161" s="77">
        <v>877803</v>
      </c>
    </row>
    <row r="162" spans="1:6" x14ac:dyDescent="0.2">
      <c r="A162" s="146"/>
      <c r="B162" s="146"/>
      <c r="C162" s="146"/>
      <c r="E162" s="76">
        <v>2021</v>
      </c>
      <c r="F162" s="77">
        <v>908526</v>
      </c>
    </row>
    <row r="163" spans="1:6" x14ac:dyDescent="0.2">
      <c r="A163" s="146"/>
      <c r="B163" s="146"/>
      <c r="C163" s="146"/>
      <c r="E163" s="76">
        <v>2022</v>
      </c>
      <c r="F163" s="77">
        <v>1000000</v>
      </c>
    </row>
    <row r="164" spans="1:6" x14ac:dyDescent="0.2">
      <c r="A164" s="146"/>
      <c r="B164" s="146"/>
      <c r="C164" s="146"/>
      <c r="E164" s="76">
        <v>2023</v>
      </c>
      <c r="F164" s="77">
        <v>1160000</v>
      </c>
    </row>
    <row r="165" spans="1:6" x14ac:dyDescent="0.2">
      <c r="A165" s="146"/>
      <c r="B165" s="146"/>
      <c r="C165" s="146"/>
      <c r="E165" s="76">
        <v>2024</v>
      </c>
      <c r="F165" s="77">
        <v>1300000</v>
      </c>
    </row>
    <row r="166" spans="1:6" x14ac:dyDescent="0.2">
      <c r="A166" s="146"/>
      <c r="B166" s="146"/>
      <c r="C166" s="146"/>
      <c r="E166" s="76">
        <v>2025</v>
      </c>
      <c r="F166" s="77">
        <v>1423500</v>
      </c>
    </row>
    <row r="167" spans="1:6" x14ac:dyDescent="0.2">
      <c r="E167" s="76">
        <v>2026</v>
      </c>
      <c r="F167" s="77">
        <v>1750905</v>
      </c>
    </row>
  </sheetData>
  <mergeCells count="141">
    <mergeCell ref="A3:C3"/>
    <mergeCell ref="A4:C4"/>
    <mergeCell ref="A5:C5"/>
    <mergeCell ref="A101:A103"/>
    <mergeCell ref="B107:F107"/>
    <mergeCell ref="G106:H106"/>
    <mergeCell ref="B96:F96"/>
    <mergeCell ref="J96:K106"/>
    <mergeCell ref="I96:I106"/>
    <mergeCell ref="B101:F101"/>
    <mergeCell ref="A32:G32"/>
    <mergeCell ref="A48:D48"/>
    <mergeCell ref="A49:D49"/>
    <mergeCell ref="A50:D50"/>
    <mergeCell ref="A51:D51"/>
    <mergeCell ref="A52:D52"/>
    <mergeCell ref="A53:D53"/>
    <mergeCell ref="A54:D54"/>
    <mergeCell ref="A55:D55"/>
    <mergeCell ref="A56:D56"/>
    <mergeCell ref="A35:Q35"/>
    <mergeCell ref="P36:Q36"/>
    <mergeCell ref="P37:Q37"/>
    <mergeCell ref="P38:Q38"/>
    <mergeCell ref="E138:F138"/>
    <mergeCell ref="F19:K19"/>
    <mergeCell ref="F20:K20"/>
    <mergeCell ref="B120:F120"/>
    <mergeCell ref="B126:N126"/>
    <mergeCell ref="B99:F99"/>
    <mergeCell ref="B104:F104"/>
    <mergeCell ref="B105:F105"/>
    <mergeCell ref="B106:F106"/>
    <mergeCell ref="B100:H100"/>
    <mergeCell ref="B85:K85"/>
    <mergeCell ref="J87:K87"/>
    <mergeCell ref="B127:L127"/>
    <mergeCell ref="A23:E23"/>
    <mergeCell ref="F23:Q23"/>
    <mergeCell ref="A111:Q111"/>
    <mergeCell ref="B123:F123"/>
    <mergeCell ref="B124:F124"/>
    <mergeCell ref="B118:F118"/>
    <mergeCell ref="B119:F119"/>
    <mergeCell ref="B121:F121"/>
    <mergeCell ref="B122:F122"/>
    <mergeCell ref="B93:K93"/>
    <mergeCell ref="B114:F114"/>
    <mergeCell ref="B115:F115"/>
    <mergeCell ref="B116:F116"/>
    <mergeCell ref="B117:F117"/>
    <mergeCell ref="B103:F103"/>
    <mergeCell ref="B102:F102"/>
    <mergeCell ref="B89:F89"/>
    <mergeCell ref="J89:K89"/>
    <mergeCell ref="B76:K76"/>
    <mergeCell ref="J78:K78"/>
    <mergeCell ref="B79:F79"/>
    <mergeCell ref="J79:K79"/>
    <mergeCell ref="J95:K95"/>
    <mergeCell ref="B97:F97"/>
    <mergeCell ref="B98:F98"/>
    <mergeCell ref="B80:F80"/>
    <mergeCell ref="J80:K80"/>
    <mergeCell ref="B81:F81"/>
    <mergeCell ref="J81:K81"/>
    <mergeCell ref="A6:Q6"/>
    <mergeCell ref="M5:Q5"/>
    <mergeCell ref="A71:Q71"/>
    <mergeCell ref="A66:Q66"/>
    <mergeCell ref="A68:D69"/>
    <mergeCell ref="A64:E64"/>
    <mergeCell ref="B88:F88"/>
    <mergeCell ref="J88:K88"/>
    <mergeCell ref="L19:Q19"/>
    <mergeCell ref="L20:Q20"/>
    <mergeCell ref="F9:Q9"/>
    <mergeCell ref="F10:Q10"/>
    <mergeCell ref="F11:Q11"/>
    <mergeCell ref="F14:Q14"/>
    <mergeCell ref="F15:Q15"/>
    <mergeCell ref="F16:Q16"/>
    <mergeCell ref="F17:Q17"/>
    <mergeCell ref="A13:E17"/>
    <mergeCell ref="P41:Q41"/>
    <mergeCell ref="P42:Q42"/>
    <mergeCell ref="P43:Q43"/>
    <mergeCell ref="D5:L5"/>
    <mergeCell ref="P39:Q39"/>
    <mergeCell ref="N32:O32"/>
    <mergeCell ref="P32:Q32"/>
    <mergeCell ref="A33:G33"/>
    <mergeCell ref="N33:O33"/>
    <mergeCell ref="P33:Q33"/>
    <mergeCell ref="F21:K21"/>
    <mergeCell ref="L21:Q21"/>
    <mergeCell ref="A22:E22"/>
    <mergeCell ref="F22:Q22"/>
    <mergeCell ref="A29:G29"/>
    <mergeCell ref="N29:O29"/>
    <mergeCell ref="P29:Q29"/>
    <mergeCell ref="A30:G30"/>
    <mergeCell ref="N30:O30"/>
    <mergeCell ref="P30:Q30"/>
    <mergeCell ref="A31:G31"/>
    <mergeCell ref="N31:O31"/>
    <mergeCell ref="P31:Q31"/>
    <mergeCell ref="A1:Q1"/>
    <mergeCell ref="D3:E3"/>
    <mergeCell ref="G3:Q3"/>
    <mergeCell ref="N28:O28"/>
    <mergeCell ref="A28:G28"/>
    <mergeCell ref="P27:Q28"/>
    <mergeCell ref="L27:O27"/>
    <mergeCell ref="I27:K27"/>
    <mergeCell ref="F27:H27"/>
    <mergeCell ref="A27:E27"/>
    <mergeCell ref="F26:H26"/>
    <mergeCell ref="A26:E26"/>
    <mergeCell ref="A25:Q25"/>
    <mergeCell ref="F13:Q13"/>
    <mergeCell ref="A18:E21"/>
    <mergeCell ref="F18:K18"/>
    <mergeCell ref="L18:Q18"/>
    <mergeCell ref="A8:E12"/>
    <mergeCell ref="F8:Q8"/>
    <mergeCell ref="F12:Q12"/>
    <mergeCell ref="A2:Q2"/>
    <mergeCell ref="D4:L4"/>
    <mergeCell ref="A7:Q7"/>
    <mergeCell ref="M4:R4"/>
    <mergeCell ref="P40:Q40"/>
    <mergeCell ref="P44:Q44"/>
    <mergeCell ref="P45:Q45"/>
    <mergeCell ref="A47:E47"/>
    <mergeCell ref="A57:D57"/>
    <mergeCell ref="A61:D63"/>
    <mergeCell ref="A59:Q59"/>
    <mergeCell ref="E61:E63"/>
    <mergeCell ref="F61:Q61"/>
    <mergeCell ref="F62:Q64"/>
  </mergeCells>
  <phoneticPr fontId="18" type="noConversion"/>
  <conditionalFormatting sqref="E51:E57">
    <cfRule type="cellIs" dxfId="28" priority="14" operator="equal">
      <formula>"N/A"</formula>
    </cfRule>
  </conditionalFormatting>
  <conditionalFormatting sqref="E69:F69">
    <cfRule type="cellIs" dxfId="27" priority="1" operator="equal">
      <formula>"NO HABILITADO"</formula>
    </cfRule>
  </conditionalFormatting>
  <conditionalFormatting sqref="G114">
    <cfRule type="cellIs" dxfId="26" priority="2" operator="equal">
      <formula>"NO HABILITADO"</formula>
    </cfRule>
  </conditionalFormatting>
  <conditionalFormatting sqref="H29:H33">
    <cfRule type="expression" dxfId="25" priority="17">
      <formula>SUM($H$29:$H$33)=0</formula>
    </cfRule>
    <cfRule type="expression" dxfId="24" priority="18">
      <formula>SUM($H$29:$H$33)&lt;100%</formula>
    </cfRule>
  </conditionalFormatting>
  <conditionalFormatting sqref="H96:H99">
    <cfRule type="expression" dxfId="23" priority="3">
      <formula>#REF!="INHABILITADO"</formula>
    </cfRule>
  </conditionalFormatting>
  <conditionalFormatting sqref="H79:I81 I82 H101:H105 H107">
    <cfRule type="expression" dxfId="22" priority="6">
      <formula>#REF!="INHABILITADO"</formula>
    </cfRule>
  </conditionalFormatting>
  <conditionalFormatting sqref="H88:I89">
    <cfRule type="expression" dxfId="21" priority="12">
      <formula>#REF!="INHABILITADO"</formula>
    </cfRule>
  </conditionalFormatting>
  <conditionalFormatting sqref="I96">
    <cfRule type="expression" dxfId="20" priority="7">
      <formula>$D$3="INHABILITADO"</formula>
    </cfRule>
  </conditionalFormatting>
  <dataValidations count="4">
    <dataValidation type="list" allowBlank="1" showInputMessage="1" showErrorMessage="1" sqref="P29:Q33 T1:T2 H107 O37:O44" xr:uid="{00000000-0002-0000-0000-000000000000}">
      <formula1>$T$1:$T$2</formula1>
    </dataValidation>
    <dataValidation type="list" allowBlank="1" showInputMessage="1" showErrorMessage="1" sqref="H88:H89 H79:H81 H96" xr:uid="{00000000-0002-0000-0000-000002000000}">
      <formula1>$V$1:$V$2</formula1>
    </dataValidation>
    <dataValidation type="list" allowBlank="1" showInputMessage="1" showErrorMessage="1" sqref="H101:H105 H97:H99" xr:uid="{00000000-0002-0000-0000-000003000000}">
      <formula1>$V$1:$V$3</formula1>
    </dataValidation>
    <dataValidation type="list" allowBlank="1" showInputMessage="1" showErrorMessage="1" sqref="E51:E57" xr:uid="{00000000-0002-0000-0000-000001000000}">
      <formula1>$T$1:$T$3</formula1>
    </dataValidation>
  </dataValidations>
  <printOptions horizontalCentered="1"/>
  <pageMargins left="0.70866141732283472" right="0.70866141732283472" top="0.74803149606299213" bottom="0.74803149606299213" header="0.31496062992125984" footer="0.31496062992125984"/>
  <pageSetup paperSize="9" scale="21"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G83"/>
  <sheetViews>
    <sheetView showGridLines="0" view="pageBreakPreview" topLeftCell="C34" zoomScale="95" zoomScaleNormal="100" zoomScaleSheetLayoutView="95" workbookViewId="0">
      <selection activeCell="J50" sqref="B50:N50"/>
    </sheetView>
  </sheetViews>
  <sheetFormatPr baseColWidth="10" defaultColWidth="5.85546875" defaultRowHeight="15.75" customHeight="1" x14ac:dyDescent="0.25"/>
  <cols>
    <col min="1" max="1" width="5" style="81" customWidth="1"/>
    <col min="2" max="2" width="5.85546875" style="81"/>
    <col min="3" max="3" width="16.140625" style="81" bestFit="1" customWidth="1"/>
    <col min="4" max="4" width="5.85546875" style="81"/>
    <col min="5" max="5" width="16" style="81" customWidth="1"/>
    <col min="6" max="6" width="6.85546875" style="81" customWidth="1"/>
    <col min="7" max="7" width="16.140625" style="81" bestFit="1" customWidth="1"/>
    <col min="8" max="8" width="8.42578125" style="81" customWidth="1"/>
    <col min="9" max="9" width="24.28515625" style="81" customWidth="1"/>
    <col min="10" max="10" width="18.28515625" style="81" bestFit="1" customWidth="1"/>
    <col min="11" max="11" width="16.140625" style="81" bestFit="1" customWidth="1"/>
    <col min="12" max="12" width="11.7109375" style="81" customWidth="1"/>
    <col min="13" max="13" width="16.140625" style="81" bestFit="1" customWidth="1"/>
    <col min="14" max="14" width="9.28515625" style="81" customWidth="1"/>
    <col min="15" max="15" width="4.7109375" style="81" customWidth="1"/>
    <col min="16" max="16" width="19.85546875" style="81" customWidth="1"/>
    <col min="17" max="17" width="17.140625" style="81" customWidth="1"/>
    <col min="18" max="18" width="17.5703125" style="81" customWidth="1"/>
    <col min="19" max="19" width="5.85546875" style="81" customWidth="1"/>
    <col min="20" max="20" width="10" style="81" customWidth="1"/>
    <col min="21" max="21" width="13.28515625" style="81" customWidth="1"/>
    <col min="22" max="27" width="20.7109375" style="81" customWidth="1"/>
    <col min="28" max="28" width="18.28515625" style="81" customWidth="1"/>
    <col min="29" max="29" width="14.5703125" style="81" customWidth="1"/>
    <col min="30" max="30" width="15" style="81" customWidth="1"/>
    <col min="31" max="43" width="20.7109375" style="81" customWidth="1"/>
    <col min="44" max="16384" width="5.85546875" style="81"/>
  </cols>
  <sheetData>
    <row r="1" spans="1:32" ht="15.75" customHeight="1" x14ac:dyDescent="0.25">
      <c r="A1" s="88" t="s">
        <v>0</v>
      </c>
      <c r="O1" s="88" t="s">
        <v>2</v>
      </c>
    </row>
    <row r="2" spans="1:32" ht="33" customHeight="1" x14ac:dyDescent="0.25">
      <c r="A2" s="88" t="s">
        <v>3</v>
      </c>
      <c r="B2" s="245" t="s">
        <v>88</v>
      </c>
      <c r="C2" s="246"/>
      <c r="D2" s="246"/>
      <c r="E2" s="246"/>
      <c r="F2" s="246"/>
      <c r="G2" s="246"/>
      <c r="H2" s="246"/>
      <c r="I2" s="246"/>
      <c r="J2" s="246"/>
      <c r="K2" s="246"/>
      <c r="L2" s="246"/>
      <c r="M2" s="246"/>
      <c r="N2" s="247"/>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54.75" customHeight="1" x14ac:dyDescent="0.25">
      <c r="A4" s="88"/>
      <c r="B4" s="403" t="s">
        <v>89</v>
      </c>
      <c r="C4" s="403"/>
      <c r="D4" s="403"/>
      <c r="E4" s="403"/>
      <c r="F4" s="403"/>
      <c r="G4" s="134" t="s">
        <v>90</v>
      </c>
      <c r="H4" s="134" t="s">
        <v>91</v>
      </c>
      <c r="I4" s="134" t="s">
        <v>92</v>
      </c>
      <c r="J4" s="134" t="s">
        <v>93</v>
      </c>
      <c r="K4" s="404" t="s">
        <v>94</v>
      </c>
      <c r="L4" s="404"/>
      <c r="M4" s="404" t="s">
        <v>95</v>
      </c>
      <c r="N4" s="404"/>
      <c r="U4" s="89"/>
      <c r="Y4" s="89"/>
      <c r="Z4" s="89"/>
      <c r="AA4" s="89"/>
    </row>
    <row r="5" spans="1:32" ht="12.75" x14ac:dyDescent="0.25">
      <c r="A5" s="88"/>
      <c r="B5" s="92">
        <v>1</v>
      </c>
      <c r="C5" s="201" t="str">
        <f>'EVALUACIÓN EXPERIENCIA'!$G$3</f>
        <v>CONSORCIO MANTENIMIENTOS</v>
      </c>
      <c r="D5" s="202"/>
      <c r="E5" s="202"/>
      <c r="F5" s="203"/>
      <c r="G5" s="93"/>
      <c r="H5" s="142"/>
      <c r="I5" s="94"/>
      <c r="J5" s="94"/>
      <c r="K5" s="204"/>
      <c r="L5" s="205"/>
      <c r="M5" s="206"/>
      <c r="N5" s="207"/>
      <c r="U5" s="89"/>
      <c r="Y5" s="89"/>
      <c r="Z5" s="89"/>
      <c r="AA5" s="89"/>
    </row>
    <row r="6" spans="1:32" ht="12.75" x14ac:dyDescent="0.25">
      <c r="A6" s="88"/>
      <c r="B6" s="90"/>
      <c r="C6" s="90"/>
      <c r="D6" s="90"/>
      <c r="E6" s="90"/>
      <c r="F6" s="90"/>
      <c r="G6" s="90"/>
      <c r="H6" s="90"/>
      <c r="I6" s="90"/>
      <c r="J6" s="90"/>
      <c r="K6" s="90"/>
      <c r="L6" s="90"/>
      <c r="M6" s="405">
        <f>+AE70</f>
        <v>0</v>
      </c>
      <c r="N6" s="406"/>
      <c r="U6" s="89"/>
      <c r="Y6" s="89"/>
      <c r="Z6" s="89"/>
      <c r="AA6" s="89"/>
    </row>
    <row r="7" spans="1:32" ht="12.75" x14ac:dyDescent="0.25">
      <c r="B7" s="165" t="str">
        <f>"TOTAL CRP PROPONENTE: "&amp;$C$5</f>
        <v>TOTAL CRP PROPONENTE: CONSORCIO MANTENIMIENTOS</v>
      </c>
      <c r="C7" s="165"/>
      <c r="D7" s="165"/>
      <c r="E7" s="165"/>
      <c r="F7" s="165"/>
      <c r="G7" s="165"/>
      <c r="H7" s="165"/>
      <c r="I7" s="165"/>
      <c r="J7" s="165"/>
      <c r="K7" s="165"/>
      <c r="L7" s="167">
        <f>L64</f>
        <v>426630400</v>
      </c>
      <c r="M7" s="167"/>
      <c r="N7" s="167"/>
      <c r="U7" s="89"/>
      <c r="Y7" s="89"/>
      <c r="Z7" s="89"/>
      <c r="AA7" s="89"/>
    </row>
    <row r="8" spans="1:32" ht="12.75" x14ac:dyDescent="0.2">
      <c r="B8" s="183" t="str">
        <f>"CONDICIÓN DEL PROPONENTE: "&amp;$C$5</f>
        <v>CONDICIÓN DEL PROPONENTE: CONSORCIO MANTENIMIENTOS</v>
      </c>
      <c r="C8" s="184"/>
      <c r="D8" s="184"/>
      <c r="E8" s="184"/>
      <c r="F8" s="184"/>
      <c r="G8" s="184"/>
      <c r="H8" s="184"/>
      <c r="I8" s="184"/>
      <c r="J8" s="184"/>
      <c r="K8" s="185"/>
      <c r="L8" s="215" t="str">
        <f>IF(AND(IF(L66="CUMPLE",TRUE,FALSE),IF(IF(L7&lt;I13,Q26,Q25)="CUMPLE",TRUE,FALSE))=TRUE,"CUMPLE",IF(OR(L66="")=TRUE,"PENDIENTE REVISIÓN","NO CUMPLE"))</f>
        <v>PENDIENTE REVISIÓN</v>
      </c>
      <c r="M8" s="215"/>
      <c r="N8" s="215"/>
      <c r="O8" s="96"/>
      <c r="U8" s="89"/>
      <c r="Y8" s="89"/>
      <c r="Z8" s="89"/>
      <c r="AA8" s="89"/>
    </row>
    <row r="9" spans="1:32" ht="15.75" customHeight="1" x14ac:dyDescent="0.2">
      <c r="B9" s="64"/>
      <c r="C9" s="64"/>
      <c r="D9" s="64"/>
      <c r="E9" s="64"/>
      <c r="F9" s="64"/>
      <c r="G9" s="64"/>
      <c r="H9" s="64"/>
      <c r="I9" s="64"/>
      <c r="J9" s="64"/>
      <c r="K9" s="64"/>
      <c r="L9" s="64"/>
      <c r="M9" s="64"/>
      <c r="N9" s="64"/>
      <c r="O9" s="64"/>
      <c r="U9" s="89"/>
      <c r="Y9" s="89"/>
      <c r="Z9" s="89"/>
      <c r="AA9" s="89"/>
    </row>
    <row r="10" spans="1:32" ht="15.75" customHeight="1" x14ac:dyDescent="0.25">
      <c r="B10" s="212" t="s">
        <v>96</v>
      </c>
      <c r="C10" s="212"/>
      <c r="D10" s="212"/>
      <c r="E10" s="212"/>
      <c r="F10" s="212"/>
      <c r="G10" s="212"/>
      <c r="H10" s="212"/>
      <c r="I10" s="212"/>
      <c r="J10" s="212"/>
      <c r="K10" s="212"/>
      <c r="L10" s="212"/>
      <c r="M10" s="212"/>
      <c r="N10" s="212"/>
    </row>
    <row r="11" spans="1:32" ht="22.5" customHeight="1" x14ac:dyDescent="0.25">
      <c r="B11" s="212" t="s">
        <v>97</v>
      </c>
      <c r="C11" s="212"/>
      <c r="D11" s="212"/>
      <c r="E11" s="212"/>
      <c r="F11" s="212" t="s">
        <v>98</v>
      </c>
      <c r="G11" s="212"/>
      <c r="H11" s="91" t="s">
        <v>99</v>
      </c>
      <c r="I11" s="216" t="s">
        <v>100</v>
      </c>
      <c r="J11" s="216"/>
      <c r="K11" s="216"/>
      <c r="L11" s="216"/>
      <c r="M11" s="216"/>
      <c r="N11" s="216"/>
      <c r="P11" s="95"/>
      <c r="Q11" s="95"/>
      <c r="R11" s="95"/>
      <c r="S11" s="95"/>
      <c r="T11" s="95"/>
      <c r="U11" s="95"/>
      <c r="V11" s="95"/>
      <c r="W11" s="95"/>
      <c r="X11" s="95"/>
      <c r="Y11" s="95"/>
      <c r="Z11" s="89"/>
      <c r="AA11" s="89"/>
    </row>
    <row r="12" spans="1:32" ht="15.75" customHeight="1" x14ac:dyDescent="0.2">
      <c r="B12" s="224">
        <f>+'EVALUACIÓN EXPERIENCIA'!D5</f>
        <v>724761029</v>
      </c>
      <c r="C12" s="224"/>
      <c r="D12" s="224"/>
      <c r="E12" s="224"/>
      <c r="F12" s="224">
        <f>+B12*40%</f>
        <v>289904411.60000002</v>
      </c>
      <c r="G12" s="224"/>
      <c r="H12" s="100">
        <v>3</v>
      </c>
      <c r="I12" s="250">
        <f>IFERROR(ROUND(((B12-F12)/H12)*12,0),0)</f>
        <v>1739426470</v>
      </c>
      <c r="J12" s="250"/>
      <c r="K12" s="250"/>
      <c r="L12" s="250"/>
      <c r="M12" s="250"/>
      <c r="N12" s="250"/>
      <c r="P12" s="64"/>
      <c r="Q12" s="64"/>
      <c r="R12" s="64"/>
      <c r="S12" s="64"/>
      <c r="T12" s="64"/>
      <c r="Z12" s="64"/>
      <c r="AA12" s="64"/>
      <c r="AB12" s="64"/>
      <c r="AC12" s="64"/>
      <c r="AD12" s="64"/>
      <c r="AE12" s="64"/>
      <c r="AF12" s="64"/>
    </row>
    <row r="13" spans="1:32" ht="15.75" customHeight="1" x14ac:dyDescent="0.2">
      <c r="B13" s="222" t="s">
        <v>101</v>
      </c>
      <c r="C13" s="222"/>
      <c r="D13" s="222"/>
      <c r="E13" s="222"/>
      <c r="F13" s="222"/>
      <c r="G13" s="222"/>
      <c r="H13" s="222"/>
      <c r="I13" s="167">
        <f>SUM(I12:N12)</f>
        <v>1739426470</v>
      </c>
      <c r="J13" s="167"/>
      <c r="K13" s="167"/>
      <c r="L13" s="167"/>
      <c r="M13" s="167"/>
      <c r="N13" s="167"/>
      <c r="P13" s="97"/>
      <c r="Q13" s="97"/>
      <c r="R13" s="97"/>
      <c r="S13" s="97"/>
      <c r="T13" s="97"/>
      <c r="U13" s="97"/>
      <c r="V13" s="97"/>
      <c r="X13" s="98"/>
      <c r="Y13" s="98"/>
      <c r="Z13" s="64"/>
      <c r="AB13" s="64"/>
      <c r="AC13" s="64"/>
      <c r="AD13" s="64"/>
      <c r="AE13" s="64"/>
      <c r="AF13" s="64"/>
    </row>
    <row r="14" spans="1:32" ht="15.75" customHeight="1" x14ac:dyDescent="0.2">
      <c r="B14" s="101"/>
      <c r="C14" s="101"/>
      <c r="D14" s="101"/>
      <c r="E14" s="101"/>
      <c r="F14" s="101"/>
      <c r="G14" s="101"/>
      <c r="H14" s="101"/>
      <c r="I14" s="102"/>
      <c r="J14" s="102"/>
      <c r="K14" s="102"/>
      <c r="L14" s="102"/>
      <c r="M14" s="102"/>
      <c r="N14" s="102"/>
      <c r="P14" s="97"/>
      <c r="Q14" s="97"/>
      <c r="R14" s="97"/>
      <c r="S14" s="97"/>
      <c r="T14" s="97"/>
      <c r="U14" s="97"/>
      <c r="V14" s="97"/>
      <c r="X14" s="98"/>
      <c r="Y14" s="98"/>
      <c r="Z14" s="64"/>
      <c r="AB14" s="64"/>
      <c r="AC14" s="64"/>
      <c r="AD14" s="64"/>
      <c r="AE14" s="64"/>
      <c r="AF14" s="64"/>
    </row>
    <row r="15" spans="1:32" ht="15.75" customHeight="1" x14ac:dyDescent="0.2">
      <c r="B15" s="180" t="str">
        <f>"PROPONENTE: "&amp;$C$5</f>
        <v>PROPONENTE: CONSORCIO MANTENIMIENTOS</v>
      </c>
      <c r="C15" s="181"/>
      <c r="D15" s="181"/>
      <c r="E15" s="181"/>
      <c r="F15" s="181"/>
      <c r="G15" s="181"/>
      <c r="H15" s="181"/>
      <c r="I15" s="181"/>
      <c r="J15" s="181"/>
      <c r="K15" s="181"/>
      <c r="L15" s="181"/>
      <c r="M15" s="181"/>
      <c r="N15" s="182"/>
      <c r="P15" s="96"/>
      <c r="Q15" s="96"/>
      <c r="R15" s="96"/>
      <c r="S15" s="96"/>
      <c r="T15" s="96"/>
      <c r="U15" s="96"/>
      <c r="V15" s="96"/>
      <c r="X15" s="98"/>
      <c r="Y15" s="98"/>
      <c r="Z15" s="64"/>
      <c r="AB15" s="64"/>
      <c r="AC15" s="64"/>
      <c r="AD15" s="64"/>
      <c r="AE15" s="64"/>
      <c r="AF15" s="64"/>
    </row>
    <row r="16" spans="1:32" ht="12.75" x14ac:dyDescent="0.2">
      <c r="B16" s="167" t="s">
        <v>102</v>
      </c>
      <c r="C16" s="167"/>
      <c r="D16" s="167"/>
      <c r="E16" s="167"/>
      <c r="F16" s="167"/>
      <c r="G16" s="167"/>
      <c r="H16" s="167"/>
      <c r="I16" s="228">
        <f>$G$5</f>
        <v>0</v>
      </c>
      <c r="J16" s="228"/>
      <c r="K16" s="228"/>
      <c r="L16" s="228"/>
      <c r="M16" s="228"/>
      <c r="N16" s="228"/>
      <c r="P16" s="96"/>
      <c r="Q16" s="96"/>
      <c r="R16" s="96"/>
      <c r="S16" s="96"/>
      <c r="T16" s="96"/>
      <c r="U16" s="96"/>
      <c r="V16" s="96"/>
      <c r="X16" s="64"/>
      <c r="Y16" s="64"/>
      <c r="Z16" s="64"/>
      <c r="AB16" s="64"/>
      <c r="AC16" s="64"/>
      <c r="AD16" s="64"/>
      <c r="AE16" s="64"/>
      <c r="AF16" s="64"/>
    </row>
    <row r="17" spans="2:33" ht="15.75" customHeight="1" x14ac:dyDescent="0.2">
      <c r="B17" s="212" t="s">
        <v>103</v>
      </c>
      <c r="C17" s="212"/>
      <c r="D17" s="212"/>
      <c r="E17" s="212"/>
      <c r="F17" s="212"/>
      <c r="G17" s="212"/>
      <c r="H17" s="212" t="s">
        <v>104</v>
      </c>
      <c r="I17" s="212"/>
      <c r="J17" s="212"/>
      <c r="K17" s="212"/>
      <c r="L17" s="212"/>
      <c r="M17" s="212"/>
      <c r="N17" s="91" t="s">
        <v>105</v>
      </c>
      <c r="P17" s="64"/>
      <c r="Q17" s="64"/>
      <c r="R17" s="64"/>
      <c r="S17" s="64"/>
      <c r="T17" s="64"/>
      <c r="U17" s="64"/>
      <c r="V17" s="64"/>
      <c r="W17" s="64"/>
      <c r="X17" s="64"/>
      <c r="Y17" s="64"/>
      <c r="Z17" s="64"/>
      <c r="AA17" s="64"/>
      <c r="AB17" s="64"/>
      <c r="AC17" s="64"/>
      <c r="AD17" s="64"/>
      <c r="AE17" s="64"/>
      <c r="AF17" s="64"/>
    </row>
    <row r="18" spans="2:33" ht="15.75" customHeight="1" thickBot="1" x14ac:dyDescent="0.25">
      <c r="B18" s="186"/>
      <c r="C18" s="187"/>
      <c r="D18" s="187"/>
      <c r="E18" s="187"/>
      <c r="F18" s="187"/>
      <c r="G18" s="188"/>
      <c r="H18" s="217" t="s">
        <v>106</v>
      </c>
      <c r="I18" s="217"/>
      <c r="J18" s="217"/>
      <c r="K18" s="217"/>
      <c r="L18" s="217"/>
      <c r="M18" s="217"/>
      <c r="N18" s="79">
        <v>120</v>
      </c>
      <c r="P18" s="64"/>
      <c r="Q18" s="64"/>
      <c r="R18" s="64"/>
      <c r="S18" s="64"/>
      <c r="T18" s="64"/>
      <c r="U18" s="64"/>
      <c r="V18" s="64"/>
      <c r="W18" s="64"/>
      <c r="X18" s="64"/>
      <c r="Y18" s="64"/>
      <c r="Z18" s="64"/>
      <c r="AA18" s="64"/>
      <c r="AB18" s="64"/>
      <c r="AC18" s="64"/>
      <c r="AD18" s="64"/>
      <c r="AE18" s="64"/>
      <c r="AF18" s="64"/>
    </row>
    <row r="19" spans="2:33" ht="15.75" customHeight="1" thickBot="1" x14ac:dyDescent="0.3">
      <c r="B19" s="189"/>
      <c r="C19" s="190"/>
      <c r="D19" s="190"/>
      <c r="E19" s="190"/>
      <c r="F19" s="190"/>
      <c r="G19" s="191"/>
      <c r="H19" s="217" t="s">
        <v>107</v>
      </c>
      <c r="I19" s="217"/>
      <c r="J19" s="217"/>
      <c r="K19" s="217"/>
      <c r="L19" s="217"/>
      <c r="M19" s="217"/>
      <c r="N19" s="79">
        <v>40</v>
      </c>
      <c r="T19" s="231" t="s">
        <v>108</v>
      </c>
      <c r="U19" s="231"/>
      <c r="V19" s="232" t="str">
        <f>B15</f>
        <v>PROPONENTE: CONSORCIO MANTENIMIENTOS</v>
      </c>
      <c r="W19" s="233"/>
      <c r="X19" s="233"/>
      <c r="Y19" s="233"/>
      <c r="Z19" s="233"/>
      <c r="AA19" s="234"/>
    </row>
    <row r="20" spans="2:33" ht="15.75" customHeight="1" thickBot="1" x14ac:dyDescent="0.3">
      <c r="B20" s="189"/>
      <c r="C20" s="190"/>
      <c r="D20" s="190"/>
      <c r="E20" s="190"/>
      <c r="F20" s="190"/>
      <c r="G20" s="191"/>
      <c r="H20" s="217" t="s">
        <v>109</v>
      </c>
      <c r="I20" s="217"/>
      <c r="J20" s="217"/>
      <c r="K20" s="217"/>
      <c r="L20" s="217"/>
      <c r="M20" s="217"/>
      <c r="N20" s="79">
        <v>40</v>
      </c>
      <c r="O20" s="119"/>
      <c r="Q20" s="103" t="s">
        <v>110</v>
      </c>
      <c r="T20" s="104" t="s">
        <v>111</v>
      </c>
      <c r="U20" s="105">
        <v>46132</v>
      </c>
      <c r="AA20" s="106"/>
      <c r="AC20" s="107"/>
      <c r="AE20" s="107"/>
    </row>
    <row r="21" spans="2:33" ht="13.5" thickBot="1" x14ac:dyDescent="0.3">
      <c r="B21" s="192"/>
      <c r="C21" s="193"/>
      <c r="D21" s="193"/>
      <c r="E21" s="193"/>
      <c r="F21" s="193"/>
      <c r="G21" s="194"/>
      <c r="H21" s="212" t="s">
        <v>44</v>
      </c>
      <c r="I21" s="212"/>
      <c r="J21" s="212"/>
      <c r="K21" s="212"/>
      <c r="L21" s="212"/>
      <c r="M21" s="212"/>
      <c r="N21" s="79">
        <f>SUM(N18:N20)</f>
        <v>200</v>
      </c>
      <c r="O21" s="119"/>
      <c r="Q21" s="108">
        <v>1750905</v>
      </c>
      <c r="T21" s="109"/>
      <c r="U21" s="110"/>
      <c r="Y21" s="106"/>
      <c r="AA21" s="107"/>
      <c r="AB21" s="111"/>
      <c r="AE21" s="107"/>
    </row>
    <row r="22" spans="2:33" ht="12.75" x14ac:dyDescent="0.25">
      <c r="B22" s="212" t="s">
        <v>112</v>
      </c>
      <c r="C22" s="212"/>
      <c r="D22" s="212"/>
      <c r="E22" s="212"/>
      <c r="F22" s="212"/>
      <c r="G22" s="212"/>
      <c r="H22" s="212"/>
      <c r="I22" s="212"/>
      <c r="J22" s="212"/>
      <c r="K22" s="212"/>
      <c r="L22" s="212"/>
      <c r="M22" s="212"/>
      <c r="N22" s="212"/>
      <c r="O22" s="119"/>
      <c r="Q22" s="112"/>
      <c r="T22" s="229" t="s">
        <v>113</v>
      </c>
      <c r="U22" s="225" t="s">
        <v>114</v>
      </c>
      <c r="V22" s="225" t="s">
        <v>115</v>
      </c>
      <c r="W22" s="225" t="s">
        <v>116</v>
      </c>
      <c r="X22" s="225" t="s">
        <v>117</v>
      </c>
      <c r="Y22" s="225" t="s">
        <v>118</v>
      </c>
      <c r="Z22" s="225" t="s">
        <v>119</v>
      </c>
      <c r="AA22" s="225" t="s">
        <v>120</v>
      </c>
      <c r="AB22" s="225" t="s">
        <v>121</v>
      </c>
      <c r="AC22" s="225" t="s">
        <v>122</v>
      </c>
      <c r="AD22" s="225" t="s">
        <v>123</v>
      </c>
      <c r="AE22" s="225" t="s">
        <v>124</v>
      </c>
    </row>
    <row r="23" spans="2:33" ht="13.5" thickBot="1" x14ac:dyDescent="0.3">
      <c r="B23" s="400" t="s">
        <v>125</v>
      </c>
      <c r="C23" s="401"/>
      <c r="D23" s="401"/>
      <c r="E23" s="401"/>
      <c r="F23" s="401"/>
      <c r="G23" s="401"/>
      <c r="H23" s="402"/>
      <c r="I23" s="183" t="s">
        <v>126</v>
      </c>
      <c r="J23" s="184"/>
      <c r="K23" s="184"/>
      <c r="L23" s="184"/>
      <c r="M23" s="184"/>
      <c r="N23" s="185"/>
      <c r="Q23" s="112"/>
      <c r="T23" s="230"/>
      <c r="U23" s="226"/>
      <c r="V23" s="226"/>
      <c r="W23" s="226"/>
      <c r="X23" s="226"/>
      <c r="Y23" s="226"/>
      <c r="Z23" s="226"/>
      <c r="AA23" s="226"/>
      <c r="AB23" s="226"/>
      <c r="AC23" s="226"/>
      <c r="AD23" s="226"/>
      <c r="AE23" s="226"/>
    </row>
    <row r="24" spans="2:33" ht="15.75" customHeight="1" thickBot="1" x14ac:dyDescent="0.3">
      <c r="B24" s="399" t="s">
        <v>127</v>
      </c>
      <c r="C24" s="399"/>
      <c r="D24" s="399"/>
      <c r="E24" s="399"/>
      <c r="F24" s="399"/>
      <c r="G24" s="399"/>
      <c r="H24" s="399"/>
      <c r="I24" s="168">
        <f>IF($H$5&gt;$R$29,$H$5,$R$29)</f>
        <v>533288000</v>
      </c>
      <c r="J24" s="169"/>
      <c r="K24" s="169"/>
      <c r="L24" s="169"/>
      <c r="M24" s="169"/>
      <c r="N24" s="170"/>
      <c r="T24" s="113">
        <v>1</v>
      </c>
      <c r="U24" s="113" t="s">
        <v>128</v>
      </c>
      <c r="V24" s="114"/>
      <c r="W24" s="114"/>
      <c r="X24" s="114"/>
      <c r="Y24" s="115"/>
      <c r="Z24" s="116"/>
      <c r="AA24" s="117">
        <f>Y24*Z24</f>
        <v>0</v>
      </c>
      <c r="AB24" s="118">
        <f t="shared" ref="AB24:AB26" si="0">DAYS360(V24,W24)+1</f>
        <v>1</v>
      </c>
      <c r="AC24" s="118">
        <f>IF(X24&gt;$R$43,(X24-V24),($U$20-V24))</f>
        <v>46132</v>
      </c>
      <c r="AD24" s="118">
        <f t="shared" ref="AD24:AD69" si="1">IF((AB24-AC24)&gt;$P$26,$P$26,(AB24-AC24))</f>
        <v>-46131</v>
      </c>
      <c r="AE24" s="117">
        <f>ROUND((AA24/AB24)*AD24,0)</f>
        <v>0</v>
      </c>
    </row>
    <row r="25" spans="2:33" ht="15.75" customHeight="1" thickBot="1" x14ac:dyDescent="0.3">
      <c r="B25" s="212" t="s">
        <v>129</v>
      </c>
      <c r="C25" s="212"/>
      <c r="D25" s="212"/>
      <c r="E25" s="212"/>
      <c r="F25" s="212"/>
      <c r="G25" s="212"/>
      <c r="H25" s="212"/>
      <c r="I25" s="212"/>
      <c r="J25" s="212"/>
      <c r="K25" s="212"/>
      <c r="L25" s="212"/>
      <c r="M25" s="212"/>
      <c r="N25" s="212"/>
      <c r="P25" s="99" t="s">
        <v>130</v>
      </c>
      <c r="Q25" s="99" t="s">
        <v>0</v>
      </c>
      <c r="R25" s="99" t="s">
        <v>131</v>
      </c>
      <c r="T25" s="113">
        <f>T24+1</f>
        <v>2</v>
      </c>
      <c r="U25" s="113" t="s">
        <v>132</v>
      </c>
      <c r="V25" s="114"/>
      <c r="W25" s="114"/>
      <c r="X25" s="114"/>
      <c r="Y25" s="115"/>
      <c r="Z25" s="116"/>
      <c r="AA25" s="117">
        <f t="shared" ref="AA25:AA69" si="2">Y25*Z25</f>
        <v>0</v>
      </c>
      <c r="AB25" s="118">
        <f t="shared" si="0"/>
        <v>1</v>
      </c>
      <c r="AC25" s="118">
        <f>IF(X25&gt;$R$43,(X25-V25),($U$20-V25))</f>
        <v>46132</v>
      </c>
      <c r="AD25" s="118">
        <f t="shared" si="1"/>
        <v>-46131</v>
      </c>
      <c r="AE25" s="117">
        <f t="shared" ref="AE25:AE69" si="3">ROUND((AA25/AB25)*AD25,0)</f>
        <v>0</v>
      </c>
      <c r="AG25" s="111"/>
    </row>
    <row r="26" spans="2:33" ht="13.5" thickBot="1" x14ac:dyDescent="0.3">
      <c r="B26" s="212" t="s">
        <v>133</v>
      </c>
      <c r="C26" s="212"/>
      <c r="D26" s="212"/>
      <c r="E26" s="212"/>
      <c r="F26" s="212"/>
      <c r="G26" s="212"/>
      <c r="H26" s="212"/>
      <c r="I26" s="212"/>
      <c r="J26" s="212"/>
      <c r="K26" s="212"/>
      <c r="L26" s="212"/>
      <c r="M26" s="212"/>
      <c r="N26" s="212"/>
      <c r="P26" s="79">
        <v>360</v>
      </c>
      <c r="Q26" s="79" t="s">
        <v>3</v>
      </c>
      <c r="R26" s="79">
        <v>12</v>
      </c>
      <c r="T26" s="113">
        <f t="shared" ref="T26:T66" si="4">T25+1</f>
        <v>3</v>
      </c>
      <c r="U26" s="113" t="s">
        <v>134</v>
      </c>
      <c r="V26" s="114"/>
      <c r="W26" s="114"/>
      <c r="X26" s="114"/>
      <c r="Y26" s="115"/>
      <c r="Z26" s="116"/>
      <c r="AA26" s="117">
        <f t="shared" si="2"/>
        <v>0</v>
      </c>
      <c r="AB26" s="118">
        <f t="shared" si="0"/>
        <v>1</v>
      </c>
      <c r="AC26" s="118">
        <f>IF(X26&gt;$R$43,(X26-V26),($U$20-V26))</f>
        <v>46132</v>
      </c>
      <c r="AD26" s="118">
        <f t="shared" si="1"/>
        <v>-46131</v>
      </c>
      <c r="AE26" s="117">
        <f t="shared" si="3"/>
        <v>0</v>
      </c>
      <c r="AG26" s="111"/>
    </row>
    <row r="27" spans="2:33" ht="15.75" customHeight="1" thickBot="1" x14ac:dyDescent="0.25">
      <c r="B27" s="122" t="s">
        <v>135</v>
      </c>
      <c r="C27" s="160" t="s">
        <v>136</v>
      </c>
      <c r="D27" s="122" t="s">
        <v>135</v>
      </c>
      <c r="E27" s="160" t="s">
        <v>136</v>
      </c>
      <c r="F27" s="122" t="s">
        <v>135</v>
      </c>
      <c r="G27" s="160" t="s">
        <v>136</v>
      </c>
      <c r="H27" s="122" t="s">
        <v>135</v>
      </c>
      <c r="I27" s="160" t="s">
        <v>136</v>
      </c>
      <c r="J27" s="122" t="s">
        <v>135</v>
      </c>
      <c r="K27" s="160" t="s">
        <v>136</v>
      </c>
      <c r="L27" s="122" t="s">
        <v>135</v>
      </c>
      <c r="M27" s="160" t="s">
        <v>136</v>
      </c>
      <c r="N27" s="195" t="s">
        <v>137</v>
      </c>
      <c r="T27" s="113">
        <f t="shared" si="4"/>
        <v>4</v>
      </c>
      <c r="U27" s="113" t="s">
        <v>138</v>
      </c>
      <c r="V27" s="114"/>
      <c r="W27" s="114"/>
      <c r="X27" s="114"/>
      <c r="Y27" s="115"/>
      <c r="Z27" s="116"/>
      <c r="AA27" s="117">
        <f t="shared" si="2"/>
        <v>0</v>
      </c>
      <c r="AB27" s="118">
        <f t="shared" ref="AB27:AB69" si="5">DAYS360(V27,W27)+1</f>
        <v>1</v>
      </c>
      <c r="AC27" s="118">
        <f t="shared" ref="AC27:AC69" si="6">IF(X27&gt;$R$43,(X27-V27)+1,($U$20-V27)+1)</f>
        <v>46133</v>
      </c>
      <c r="AD27" s="118">
        <f t="shared" si="1"/>
        <v>-46132</v>
      </c>
      <c r="AE27" s="117">
        <f t="shared" si="3"/>
        <v>0</v>
      </c>
    </row>
    <row r="28" spans="2:33" ht="15.75" customHeight="1" thickBot="1" x14ac:dyDescent="0.25">
      <c r="B28" s="123">
        <v>1</v>
      </c>
      <c r="C28" s="159"/>
      <c r="D28" s="123">
        <v>22</v>
      </c>
      <c r="E28" s="159"/>
      <c r="F28" s="123">
        <v>43</v>
      </c>
      <c r="G28" s="158"/>
      <c r="H28" s="123">
        <v>64</v>
      </c>
      <c r="I28" s="158"/>
      <c r="J28" s="123">
        <v>85</v>
      </c>
      <c r="K28" s="158"/>
      <c r="L28" s="123">
        <v>106</v>
      </c>
      <c r="M28" s="158"/>
      <c r="N28" s="196"/>
      <c r="P28" s="99" t="s">
        <v>139</v>
      </c>
      <c r="Q28" s="99" t="s">
        <v>140</v>
      </c>
      <c r="R28" s="99" t="s">
        <v>141</v>
      </c>
      <c r="T28" s="113">
        <f t="shared" si="4"/>
        <v>5</v>
      </c>
      <c r="U28" s="113" t="s">
        <v>142</v>
      </c>
      <c r="V28" s="114"/>
      <c r="W28" s="114"/>
      <c r="X28" s="114"/>
      <c r="Y28" s="115"/>
      <c r="Z28" s="116"/>
      <c r="AA28" s="117">
        <f t="shared" si="2"/>
        <v>0</v>
      </c>
      <c r="AB28" s="118">
        <f t="shared" si="5"/>
        <v>1</v>
      </c>
      <c r="AC28" s="118">
        <f t="shared" si="6"/>
        <v>46133</v>
      </c>
      <c r="AD28" s="118">
        <f t="shared" si="1"/>
        <v>-46132</v>
      </c>
      <c r="AE28" s="117">
        <f t="shared" si="3"/>
        <v>0</v>
      </c>
    </row>
    <row r="29" spans="2:33" ht="15.75" customHeight="1" thickBot="1" x14ac:dyDescent="0.25">
      <c r="B29" s="123">
        <f>+B28+1</f>
        <v>2</v>
      </c>
      <c r="C29" s="159"/>
      <c r="D29" s="123">
        <f>+D28+1</f>
        <v>23</v>
      </c>
      <c r="E29" s="159"/>
      <c r="F29" s="123">
        <f>+F28+1</f>
        <v>44</v>
      </c>
      <c r="G29" s="158"/>
      <c r="H29" s="123">
        <f>+H28+1</f>
        <v>65</v>
      </c>
      <c r="I29" s="158"/>
      <c r="J29" s="123">
        <f>+J28+1</f>
        <v>86</v>
      </c>
      <c r="K29" s="158"/>
      <c r="L29" s="123">
        <f>+L28+1</f>
        <v>107</v>
      </c>
      <c r="M29" s="158"/>
      <c r="N29" s="196"/>
      <c r="P29" s="121">
        <v>125000</v>
      </c>
      <c r="Q29" s="108">
        <f>533287768/P29</f>
        <v>4266.3021440000002</v>
      </c>
      <c r="R29" s="108">
        <f>ROUNDUP(P29*Q29,-3)</f>
        <v>533288000</v>
      </c>
      <c r="T29" s="113">
        <f t="shared" si="4"/>
        <v>6</v>
      </c>
      <c r="U29" s="113" t="s">
        <v>143</v>
      </c>
      <c r="V29" s="114"/>
      <c r="W29" s="114"/>
      <c r="X29" s="114"/>
      <c r="Y29" s="115"/>
      <c r="Z29" s="116"/>
      <c r="AA29" s="117">
        <f t="shared" si="2"/>
        <v>0</v>
      </c>
      <c r="AB29" s="118">
        <f t="shared" si="5"/>
        <v>1</v>
      </c>
      <c r="AC29" s="118">
        <f t="shared" si="6"/>
        <v>46133</v>
      </c>
      <c r="AD29" s="118">
        <f t="shared" si="1"/>
        <v>-46132</v>
      </c>
      <c r="AE29" s="117">
        <f t="shared" si="3"/>
        <v>0</v>
      </c>
    </row>
    <row r="30" spans="2:33" ht="15.75" customHeight="1" thickBot="1" x14ac:dyDescent="0.25">
      <c r="B30" s="123">
        <f t="shared" ref="B30:B48" si="7">+B29+1</f>
        <v>3</v>
      </c>
      <c r="C30" s="159"/>
      <c r="D30" s="123">
        <f t="shared" ref="D30:L48" si="8">+D29+1</f>
        <v>24</v>
      </c>
      <c r="E30" s="159"/>
      <c r="F30" s="123">
        <f t="shared" si="8"/>
        <v>45</v>
      </c>
      <c r="G30" s="158"/>
      <c r="H30" s="123">
        <f t="shared" si="8"/>
        <v>66</v>
      </c>
      <c r="I30" s="158"/>
      <c r="J30" s="123">
        <f t="shared" si="8"/>
        <v>87</v>
      </c>
      <c r="K30" s="158"/>
      <c r="L30" s="123">
        <f t="shared" si="8"/>
        <v>108</v>
      </c>
      <c r="M30" s="158"/>
      <c r="N30" s="196"/>
      <c r="Q30" s="81" t="s">
        <v>144</v>
      </c>
      <c r="T30" s="113">
        <f t="shared" si="4"/>
        <v>7</v>
      </c>
      <c r="U30" s="113" t="s">
        <v>145</v>
      </c>
      <c r="V30" s="114"/>
      <c r="W30" s="114"/>
      <c r="X30" s="114"/>
      <c r="Y30" s="115"/>
      <c r="Z30" s="116"/>
      <c r="AA30" s="117">
        <f t="shared" si="2"/>
        <v>0</v>
      </c>
      <c r="AB30" s="118">
        <f t="shared" si="5"/>
        <v>1</v>
      </c>
      <c r="AC30" s="118">
        <f t="shared" si="6"/>
        <v>46133</v>
      </c>
      <c r="AD30" s="118">
        <f t="shared" si="1"/>
        <v>-46132</v>
      </c>
      <c r="AE30" s="117">
        <f t="shared" si="3"/>
        <v>0</v>
      </c>
    </row>
    <row r="31" spans="2:33" ht="15.75" customHeight="1" thickBot="1" x14ac:dyDescent="0.25">
      <c r="B31" s="123">
        <f t="shared" si="7"/>
        <v>4</v>
      </c>
      <c r="C31" s="159"/>
      <c r="D31" s="123">
        <f t="shared" si="8"/>
        <v>25</v>
      </c>
      <c r="E31" s="159"/>
      <c r="F31" s="123">
        <f t="shared" si="8"/>
        <v>46</v>
      </c>
      <c r="G31" s="158"/>
      <c r="H31" s="123">
        <f t="shared" si="8"/>
        <v>67</v>
      </c>
      <c r="I31" s="158"/>
      <c r="J31" s="123">
        <f t="shared" si="8"/>
        <v>88</v>
      </c>
      <c r="K31" s="158"/>
      <c r="L31" s="123">
        <f t="shared" si="8"/>
        <v>109</v>
      </c>
      <c r="M31" s="158"/>
      <c r="N31" s="196"/>
      <c r="P31" s="212" t="s">
        <v>146</v>
      </c>
      <c r="Q31" s="212"/>
      <c r="R31" s="99" t="s">
        <v>147</v>
      </c>
      <c r="T31" s="113">
        <f t="shared" si="4"/>
        <v>8</v>
      </c>
      <c r="U31" s="113" t="s">
        <v>148</v>
      </c>
      <c r="V31" s="114"/>
      <c r="W31" s="114"/>
      <c r="X31" s="114"/>
      <c r="Y31" s="115"/>
      <c r="Z31" s="116"/>
      <c r="AA31" s="117">
        <f t="shared" si="2"/>
        <v>0</v>
      </c>
      <c r="AB31" s="118">
        <f t="shared" si="5"/>
        <v>1</v>
      </c>
      <c r="AC31" s="118">
        <f t="shared" si="6"/>
        <v>46133</v>
      </c>
      <c r="AD31" s="118">
        <f t="shared" si="1"/>
        <v>-46132</v>
      </c>
      <c r="AE31" s="117">
        <f t="shared" si="3"/>
        <v>0</v>
      </c>
    </row>
    <row r="32" spans="2:33" ht="15.75" customHeight="1" thickBot="1" x14ac:dyDescent="0.25">
      <c r="B32" s="123">
        <f t="shared" si="7"/>
        <v>5</v>
      </c>
      <c r="C32" s="159"/>
      <c r="D32" s="123">
        <f t="shared" si="8"/>
        <v>26</v>
      </c>
      <c r="E32" s="159"/>
      <c r="F32" s="123">
        <f t="shared" si="8"/>
        <v>47</v>
      </c>
      <c r="G32" s="158"/>
      <c r="H32" s="123">
        <f t="shared" si="8"/>
        <v>68</v>
      </c>
      <c r="I32" s="158"/>
      <c r="J32" s="123">
        <f t="shared" si="8"/>
        <v>89</v>
      </c>
      <c r="K32" s="158"/>
      <c r="L32" s="123">
        <f t="shared" si="8"/>
        <v>110</v>
      </c>
      <c r="M32" s="158"/>
      <c r="N32" s="196"/>
      <c r="P32" s="79">
        <v>0</v>
      </c>
      <c r="Q32" s="79">
        <v>3</v>
      </c>
      <c r="R32" s="79">
        <v>60</v>
      </c>
      <c r="T32" s="113">
        <f t="shared" si="4"/>
        <v>9</v>
      </c>
      <c r="U32" s="113" t="s">
        <v>149</v>
      </c>
      <c r="V32" s="114"/>
      <c r="W32" s="114"/>
      <c r="X32" s="114"/>
      <c r="Y32" s="115"/>
      <c r="Z32" s="116"/>
      <c r="AA32" s="117">
        <f t="shared" si="2"/>
        <v>0</v>
      </c>
      <c r="AB32" s="118">
        <f t="shared" si="5"/>
        <v>1</v>
      </c>
      <c r="AC32" s="118">
        <f t="shared" si="6"/>
        <v>46133</v>
      </c>
      <c r="AD32" s="118">
        <f t="shared" si="1"/>
        <v>-46132</v>
      </c>
      <c r="AE32" s="117">
        <f t="shared" si="3"/>
        <v>0</v>
      </c>
    </row>
    <row r="33" spans="2:31" ht="15.75" customHeight="1" thickBot="1" x14ac:dyDescent="0.25">
      <c r="B33" s="123">
        <f t="shared" si="7"/>
        <v>6</v>
      </c>
      <c r="C33" s="159"/>
      <c r="D33" s="123">
        <f t="shared" si="8"/>
        <v>27</v>
      </c>
      <c r="E33" s="159"/>
      <c r="F33" s="123">
        <f t="shared" si="8"/>
        <v>48</v>
      </c>
      <c r="G33" s="158"/>
      <c r="H33" s="123">
        <f t="shared" si="8"/>
        <v>69</v>
      </c>
      <c r="I33" s="158"/>
      <c r="J33" s="123">
        <f t="shared" si="8"/>
        <v>90</v>
      </c>
      <c r="K33" s="158"/>
      <c r="L33" s="123">
        <f t="shared" si="8"/>
        <v>111</v>
      </c>
      <c r="M33" s="158"/>
      <c r="N33" s="196"/>
      <c r="P33" s="79">
        <v>3</v>
      </c>
      <c r="Q33" s="79">
        <v>6</v>
      </c>
      <c r="R33" s="79">
        <v>80</v>
      </c>
      <c r="T33" s="113">
        <f t="shared" si="4"/>
        <v>10</v>
      </c>
      <c r="U33" s="113" t="s">
        <v>150</v>
      </c>
      <c r="V33" s="114"/>
      <c r="W33" s="114"/>
      <c r="X33" s="114"/>
      <c r="Y33" s="115"/>
      <c r="Z33" s="116"/>
      <c r="AA33" s="117">
        <f t="shared" si="2"/>
        <v>0</v>
      </c>
      <c r="AB33" s="118">
        <f t="shared" si="5"/>
        <v>1</v>
      </c>
      <c r="AC33" s="118">
        <f t="shared" si="6"/>
        <v>46133</v>
      </c>
      <c r="AD33" s="118">
        <f t="shared" si="1"/>
        <v>-46132</v>
      </c>
      <c r="AE33" s="117">
        <f t="shared" si="3"/>
        <v>0</v>
      </c>
    </row>
    <row r="34" spans="2:31" ht="15.75" customHeight="1" thickBot="1" x14ac:dyDescent="0.25">
      <c r="B34" s="123">
        <f t="shared" si="7"/>
        <v>7</v>
      </c>
      <c r="C34" s="159"/>
      <c r="D34" s="123">
        <f t="shared" si="8"/>
        <v>28</v>
      </c>
      <c r="E34" s="159"/>
      <c r="F34" s="123">
        <f t="shared" si="8"/>
        <v>49</v>
      </c>
      <c r="G34" s="158"/>
      <c r="H34" s="123">
        <f t="shared" si="8"/>
        <v>70</v>
      </c>
      <c r="I34" s="158"/>
      <c r="J34" s="123">
        <f t="shared" si="8"/>
        <v>91</v>
      </c>
      <c r="K34" s="158"/>
      <c r="L34" s="123">
        <f t="shared" si="8"/>
        <v>112</v>
      </c>
      <c r="M34" s="158"/>
      <c r="N34" s="196"/>
      <c r="P34" s="79">
        <v>6</v>
      </c>
      <c r="Q34" s="79">
        <v>10</v>
      </c>
      <c r="R34" s="79">
        <v>100</v>
      </c>
      <c r="T34" s="113">
        <f t="shared" si="4"/>
        <v>11</v>
      </c>
      <c r="U34" s="113" t="s">
        <v>151</v>
      </c>
      <c r="V34" s="114"/>
      <c r="W34" s="114"/>
      <c r="X34" s="114"/>
      <c r="Y34" s="115"/>
      <c r="Z34" s="116"/>
      <c r="AA34" s="117">
        <f t="shared" si="2"/>
        <v>0</v>
      </c>
      <c r="AB34" s="118">
        <f t="shared" si="5"/>
        <v>1</v>
      </c>
      <c r="AC34" s="118">
        <f t="shared" si="6"/>
        <v>46133</v>
      </c>
      <c r="AD34" s="118">
        <f t="shared" si="1"/>
        <v>-46132</v>
      </c>
      <c r="AE34" s="117">
        <f t="shared" si="3"/>
        <v>0</v>
      </c>
    </row>
    <row r="35" spans="2:31" ht="15.75" customHeight="1" thickBot="1" x14ac:dyDescent="0.25">
      <c r="B35" s="123">
        <f t="shared" si="7"/>
        <v>8</v>
      </c>
      <c r="C35" s="159"/>
      <c r="D35" s="123">
        <f t="shared" si="8"/>
        <v>29</v>
      </c>
      <c r="E35" s="159"/>
      <c r="F35" s="123">
        <f t="shared" si="8"/>
        <v>50</v>
      </c>
      <c r="G35" s="158"/>
      <c r="H35" s="123">
        <f t="shared" si="8"/>
        <v>71</v>
      </c>
      <c r="I35" s="158"/>
      <c r="J35" s="123">
        <f t="shared" si="8"/>
        <v>92</v>
      </c>
      <c r="K35" s="158"/>
      <c r="L35" s="123">
        <f t="shared" si="8"/>
        <v>113</v>
      </c>
      <c r="M35" s="158"/>
      <c r="N35" s="196"/>
      <c r="P35" s="79">
        <v>10</v>
      </c>
      <c r="Q35" s="79"/>
      <c r="R35" s="79">
        <v>120</v>
      </c>
      <c r="T35" s="113">
        <f t="shared" si="4"/>
        <v>12</v>
      </c>
      <c r="U35" s="113" t="s">
        <v>152</v>
      </c>
      <c r="V35" s="114"/>
      <c r="W35" s="114"/>
      <c r="X35" s="114"/>
      <c r="Y35" s="115"/>
      <c r="Z35" s="116"/>
      <c r="AA35" s="117">
        <f t="shared" si="2"/>
        <v>0</v>
      </c>
      <c r="AB35" s="118">
        <f t="shared" si="5"/>
        <v>1</v>
      </c>
      <c r="AC35" s="118">
        <f t="shared" si="6"/>
        <v>46133</v>
      </c>
      <c r="AD35" s="118">
        <f t="shared" si="1"/>
        <v>-46132</v>
      </c>
      <c r="AE35" s="117">
        <f t="shared" si="3"/>
        <v>0</v>
      </c>
    </row>
    <row r="36" spans="2:31" ht="15.75" customHeight="1" thickBot="1" x14ac:dyDescent="0.25">
      <c r="B36" s="123">
        <f t="shared" si="7"/>
        <v>9</v>
      </c>
      <c r="C36" s="159"/>
      <c r="D36" s="123">
        <f t="shared" si="8"/>
        <v>30</v>
      </c>
      <c r="E36" s="159"/>
      <c r="F36" s="123">
        <f t="shared" si="8"/>
        <v>51</v>
      </c>
      <c r="G36" s="158"/>
      <c r="H36" s="123">
        <f t="shared" si="8"/>
        <v>72</v>
      </c>
      <c r="I36" s="158"/>
      <c r="J36" s="123">
        <f t="shared" si="8"/>
        <v>93</v>
      </c>
      <c r="K36" s="158"/>
      <c r="L36" s="123">
        <f t="shared" si="8"/>
        <v>114</v>
      </c>
      <c r="M36" s="158"/>
      <c r="N36" s="196"/>
      <c r="P36" s="212" t="s">
        <v>153</v>
      </c>
      <c r="Q36" s="212"/>
      <c r="R36" s="99" t="s">
        <v>147</v>
      </c>
      <c r="T36" s="113">
        <f t="shared" si="4"/>
        <v>13</v>
      </c>
      <c r="U36" s="113" t="s">
        <v>154</v>
      </c>
      <c r="V36" s="114"/>
      <c r="W36" s="114"/>
      <c r="X36" s="114"/>
      <c r="Y36" s="115"/>
      <c r="Z36" s="116"/>
      <c r="AA36" s="117">
        <f t="shared" si="2"/>
        <v>0</v>
      </c>
      <c r="AB36" s="118">
        <f t="shared" si="5"/>
        <v>1</v>
      </c>
      <c r="AC36" s="118">
        <f t="shared" si="6"/>
        <v>46133</v>
      </c>
      <c r="AD36" s="118">
        <f t="shared" si="1"/>
        <v>-46132</v>
      </c>
      <c r="AE36" s="117">
        <f t="shared" si="3"/>
        <v>0</v>
      </c>
    </row>
    <row r="37" spans="2:31" ht="15.75" customHeight="1" thickBot="1" x14ac:dyDescent="0.25">
      <c r="B37" s="123">
        <f t="shared" si="7"/>
        <v>10</v>
      </c>
      <c r="C37" s="159"/>
      <c r="D37" s="123">
        <f t="shared" si="8"/>
        <v>31</v>
      </c>
      <c r="E37" s="159"/>
      <c r="F37" s="123">
        <f t="shared" si="8"/>
        <v>52</v>
      </c>
      <c r="G37" s="158"/>
      <c r="H37" s="123">
        <f t="shared" si="8"/>
        <v>73</v>
      </c>
      <c r="I37" s="158"/>
      <c r="J37" s="123">
        <f t="shared" si="8"/>
        <v>94</v>
      </c>
      <c r="K37" s="158"/>
      <c r="L37" s="123">
        <f t="shared" si="8"/>
        <v>115</v>
      </c>
      <c r="M37" s="158"/>
      <c r="N37" s="196"/>
      <c r="P37" s="124">
        <v>0</v>
      </c>
      <c r="Q37" s="124">
        <v>0.5</v>
      </c>
      <c r="R37" s="79">
        <v>20</v>
      </c>
      <c r="T37" s="113">
        <f t="shared" si="4"/>
        <v>14</v>
      </c>
      <c r="U37" s="113" t="s">
        <v>155</v>
      </c>
      <c r="V37" s="114"/>
      <c r="W37" s="114"/>
      <c r="X37" s="114"/>
      <c r="Y37" s="115"/>
      <c r="Z37" s="116"/>
      <c r="AA37" s="117">
        <f t="shared" si="2"/>
        <v>0</v>
      </c>
      <c r="AB37" s="118">
        <f t="shared" si="5"/>
        <v>1</v>
      </c>
      <c r="AC37" s="118">
        <f t="shared" si="6"/>
        <v>46133</v>
      </c>
      <c r="AD37" s="118">
        <f t="shared" si="1"/>
        <v>-46132</v>
      </c>
      <c r="AE37" s="117">
        <f t="shared" si="3"/>
        <v>0</v>
      </c>
    </row>
    <row r="38" spans="2:31" ht="15.75" customHeight="1" thickBot="1" x14ac:dyDescent="0.25">
      <c r="B38" s="123">
        <f t="shared" si="7"/>
        <v>11</v>
      </c>
      <c r="C38" s="158"/>
      <c r="D38" s="123">
        <f t="shared" si="8"/>
        <v>32</v>
      </c>
      <c r="E38" s="158"/>
      <c r="F38" s="123">
        <f t="shared" si="8"/>
        <v>53</v>
      </c>
      <c r="G38" s="158"/>
      <c r="H38" s="123">
        <f t="shared" si="8"/>
        <v>74</v>
      </c>
      <c r="I38" s="158"/>
      <c r="J38" s="123">
        <f t="shared" si="8"/>
        <v>95</v>
      </c>
      <c r="K38" s="158"/>
      <c r="L38" s="123">
        <f t="shared" si="8"/>
        <v>116</v>
      </c>
      <c r="M38" s="158"/>
      <c r="N38" s="196"/>
      <c r="P38" s="124">
        <v>0.5</v>
      </c>
      <c r="Q38" s="124">
        <v>0.75</v>
      </c>
      <c r="R38" s="79">
        <v>25</v>
      </c>
      <c r="T38" s="113">
        <f t="shared" si="4"/>
        <v>15</v>
      </c>
      <c r="U38" s="113" t="s">
        <v>156</v>
      </c>
      <c r="V38" s="114"/>
      <c r="W38" s="114"/>
      <c r="X38" s="114"/>
      <c r="Y38" s="115"/>
      <c r="Z38" s="116"/>
      <c r="AA38" s="117">
        <f t="shared" si="2"/>
        <v>0</v>
      </c>
      <c r="AB38" s="118">
        <f t="shared" si="5"/>
        <v>1</v>
      </c>
      <c r="AC38" s="118">
        <f t="shared" si="6"/>
        <v>46133</v>
      </c>
      <c r="AD38" s="118">
        <f t="shared" si="1"/>
        <v>-46132</v>
      </c>
      <c r="AE38" s="117">
        <f t="shared" si="3"/>
        <v>0</v>
      </c>
    </row>
    <row r="39" spans="2:31" ht="15.75" customHeight="1" thickBot="1" x14ac:dyDescent="0.25">
      <c r="B39" s="123">
        <f t="shared" si="7"/>
        <v>12</v>
      </c>
      <c r="C39" s="158"/>
      <c r="D39" s="123">
        <f t="shared" si="8"/>
        <v>33</v>
      </c>
      <c r="E39" s="158"/>
      <c r="F39" s="123">
        <f t="shared" si="8"/>
        <v>54</v>
      </c>
      <c r="G39" s="158"/>
      <c r="H39" s="123">
        <f t="shared" si="8"/>
        <v>75</v>
      </c>
      <c r="I39" s="158"/>
      <c r="J39" s="123">
        <f t="shared" si="8"/>
        <v>96</v>
      </c>
      <c r="K39" s="158"/>
      <c r="L39" s="123">
        <f t="shared" si="8"/>
        <v>117</v>
      </c>
      <c r="M39" s="158"/>
      <c r="N39" s="196"/>
      <c r="P39" s="124">
        <v>0.75</v>
      </c>
      <c r="Q39" s="124">
        <v>1</v>
      </c>
      <c r="R39" s="79">
        <v>30</v>
      </c>
      <c r="T39" s="113">
        <f t="shared" si="4"/>
        <v>16</v>
      </c>
      <c r="U39" s="113" t="s">
        <v>157</v>
      </c>
      <c r="V39" s="114"/>
      <c r="W39" s="114"/>
      <c r="X39" s="114"/>
      <c r="Y39" s="115"/>
      <c r="Z39" s="116"/>
      <c r="AA39" s="117">
        <f t="shared" si="2"/>
        <v>0</v>
      </c>
      <c r="AB39" s="118">
        <f t="shared" si="5"/>
        <v>1</v>
      </c>
      <c r="AC39" s="118">
        <f t="shared" si="6"/>
        <v>46133</v>
      </c>
      <c r="AD39" s="118">
        <f t="shared" si="1"/>
        <v>-46132</v>
      </c>
      <c r="AE39" s="117">
        <f t="shared" si="3"/>
        <v>0</v>
      </c>
    </row>
    <row r="40" spans="2:31" ht="15.75" customHeight="1" thickBot="1" x14ac:dyDescent="0.25">
      <c r="B40" s="123">
        <f t="shared" si="7"/>
        <v>13</v>
      </c>
      <c r="C40" s="158"/>
      <c r="D40" s="123">
        <f t="shared" si="8"/>
        <v>34</v>
      </c>
      <c r="E40" s="158"/>
      <c r="F40" s="123">
        <f t="shared" si="8"/>
        <v>55</v>
      </c>
      <c r="G40" s="158"/>
      <c r="H40" s="123">
        <f t="shared" si="8"/>
        <v>76</v>
      </c>
      <c r="I40" s="158"/>
      <c r="J40" s="123">
        <f t="shared" si="8"/>
        <v>97</v>
      </c>
      <c r="K40" s="158"/>
      <c r="L40" s="123">
        <f t="shared" si="8"/>
        <v>118</v>
      </c>
      <c r="M40" s="158"/>
      <c r="N40" s="196"/>
      <c r="P40" s="124">
        <v>1</v>
      </c>
      <c r="Q40" s="124">
        <v>1.5</v>
      </c>
      <c r="R40" s="79">
        <v>35</v>
      </c>
      <c r="T40" s="113">
        <f t="shared" si="4"/>
        <v>17</v>
      </c>
      <c r="U40" s="113" t="s">
        <v>158</v>
      </c>
      <c r="V40" s="114"/>
      <c r="W40" s="114"/>
      <c r="X40" s="114"/>
      <c r="Y40" s="115"/>
      <c r="Z40" s="116"/>
      <c r="AA40" s="117">
        <f t="shared" si="2"/>
        <v>0</v>
      </c>
      <c r="AB40" s="118">
        <f t="shared" si="5"/>
        <v>1</v>
      </c>
      <c r="AC40" s="118">
        <f t="shared" si="6"/>
        <v>46133</v>
      </c>
      <c r="AD40" s="118">
        <f t="shared" si="1"/>
        <v>-46132</v>
      </c>
      <c r="AE40" s="117">
        <f t="shared" si="3"/>
        <v>0</v>
      </c>
    </row>
    <row r="41" spans="2:31" ht="15.75" customHeight="1" thickBot="1" x14ac:dyDescent="0.25">
      <c r="B41" s="123">
        <f t="shared" si="7"/>
        <v>14</v>
      </c>
      <c r="C41" s="158"/>
      <c r="D41" s="123">
        <f t="shared" si="8"/>
        <v>35</v>
      </c>
      <c r="E41" s="158"/>
      <c r="F41" s="123">
        <f t="shared" si="8"/>
        <v>56</v>
      </c>
      <c r="G41" s="158"/>
      <c r="H41" s="123">
        <f t="shared" si="8"/>
        <v>77</v>
      </c>
      <c r="I41" s="158"/>
      <c r="J41" s="123">
        <f t="shared" si="8"/>
        <v>98</v>
      </c>
      <c r="K41" s="158"/>
      <c r="L41" s="123">
        <f t="shared" si="8"/>
        <v>119</v>
      </c>
      <c r="M41" s="158"/>
      <c r="N41" s="196"/>
      <c r="P41" s="124">
        <v>1.5</v>
      </c>
      <c r="Q41" s="124"/>
      <c r="R41" s="79">
        <v>40</v>
      </c>
      <c r="T41" s="113">
        <f t="shared" si="4"/>
        <v>18</v>
      </c>
      <c r="U41" s="113" t="s">
        <v>159</v>
      </c>
      <c r="V41" s="114"/>
      <c r="W41" s="114"/>
      <c r="X41" s="114"/>
      <c r="Y41" s="115"/>
      <c r="Z41" s="116"/>
      <c r="AA41" s="117">
        <f t="shared" si="2"/>
        <v>0</v>
      </c>
      <c r="AB41" s="118">
        <f t="shared" si="5"/>
        <v>1</v>
      </c>
      <c r="AC41" s="118">
        <f t="shared" si="6"/>
        <v>46133</v>
      </c>
      <c r="AD41" s="118">
        <f t="shared" si="1"/>
        <v>-46132</v>
      </c>
      <c r="AE41" s="117">
        <f t="shared" si="3"/>
        <v>0</v>
      </c>
    </row>
    <row r="42" spans="2:31" ht="15.75" customHeight="1" thickBot="1" x14ac:dyDescent="0.25">
      <c r="B42" s="123">
        <f t="shared" si="7"/>
        <v>15</v>
      </c>
      <c r="C42" s="158"/>
      <c r="D42" s="123">
        <f t="shared" si="8"/>
        <v>36</v>
      </c>
      <c r="E42" s="158"/>
      <c r="F42" s="123">
        <f t="shared" si="8"/>
        <v>57</v>
      </c>
      <c r="G42" s="158"/>
      <c r="H42" s="123">
        <f t="shared" si="8"/>
        <v>78</v>
      </c>
      <c r="I42" s="158"/>
      <c r="J42" s="123">
        <f t="shared" si="8"/>
        <v>99</v>
      </c>
      <c r="K42" s="158"/>
      <c r="L42" s="123">
        <f t="shared" si="8"/>
        <v>120</v>
      </c>
      <c r="M42" s="158"/>
      <c r="N42" s="196"/>
      <c r="O42" s="125"/>
      <c r="P42" s="212" t="s">
        <v>160</v>
      </c>
      <c r="Q42" s="212"/>
      <c r="R42" s="99" t="s">
        <v>147</v>
      </c>
      <c r="T42" s="113">
        <f t="shared" si="4"/>
        <v>19</v>
      </c>
      <c r="U42" s="113" t="s">
        <v>161</v>
      </c>
      <c r="V42" s="114"/>
      <c r="W42" s="114"/>
      <c r="X42" s="114"/>
      <c r="Y42" s="115"/>
      <c r="Z42" s="116"/>
      <c r="AA42" s="117">
        <f t="shared" si="2"/>
        <v>0</v>
      </c>
      <c r="AB42" s="118">
        <f t="shared" si="5"/>
        <v>1</v>
      </c>
      <c r="AC42" s="118">
        <f t="shared" si="6"/>
        <v>46133</v>
      </c>
      <c r="AD42" s="118">
        <f t="shared" si="1"/>
        <v>-46132</v>
      </c>
      <c r="AE42" s="117">
        <f t="shared" si="3"/>
        <v>0</v>
      </c>
    </row>
    <row r="43" spans="2:31" ht="15.75" customHeight="1" thickBot="1" x14ac:dyDescent="0.25">
      <c r="B43" s="123">
        <f t="shared" si="7"/>
        <v>16</v>
      </c>
      <c r="C43" s="158"/>
      <c r="D43" s="123">
        <f t="shared" si="8"/>
        <v>37</v>
      </c>
      <c r="E43" s="158"/>
      <c r="F43" s="123">
        <f t="shared" si="8"/>
        <v>58</v>
      </c>
      <c r="G43" s="158"/>
      <c r="H43" s="123">
        <f t="shared" si="8"/>
        <v>79</v>
      </c>
      <c r="I43" s="158"/>
      <c r="J43" s="123">
        <f t="shared" si="8"/>
        <v>100</v>
      </c>
      <c r="K43" s="158"/>
      <c r="L43" s="123">
        <f t="shared" si="8"/>
        <v>121</v>
      </c>
      <c r="M43" s="158"/>
      <c r="N43" s="196"/>
      <c r="O43" s="125"/>
      <c r="P43" s="79"/>
      <c r="Q43" s="79"/>
      <c r="R43" s="79">
        <v>0</v>
      </c>
      <c r="T43" s="113">
        <f t="shared" si="4"/>
        <v>20</v>
      </c>
      <c r="U43" s="113" t="s">
        <v>162</v>
      </c>
      <c r="V43" s="114"/>
      <c r="W43" s="114"/>
      <c r="X43" s="114"/>
      <c r="Y43" s="115"/>
      <c r="Z43" s="116"/>
      <c r="AA43" s="117">
        <f t="shared" si="2"/>
        <v>0</v>
      </c>
      <c r="AB43" s="118">
        <f t="shared" si="5"/>
        <v>1</v>
      </c>
      <c r="AC43" s="118">
        <f t="shared" si="6"/>
        <v>46133</v>
      </c>
      <c r="AD43" s="118">
        <f t="shared" si="1"/>
        <v>-46132</v>
      </c>
      <c r="AE43" s="117">
        <f t="shared" si="3"/>
        <v>0</v>
      </c>
    </row>
    <row r="44" spans="2:31" ht="15.75" customHeight="1" thickBot="1" x14ac:dyDescent="0.25">
      <c r="B44" s="123">
        <f t="shared" si="7"/>
        <v>17</v>
      </c>
      <c r="C44" s="158"/>
      <c r="D44" s="123">
        <f t="shared" si="8"/>
        <v>38</v>
      </c>
      <c r="E44" s="158"/>
      <c r="F44" s="123">
        <f t="shared" si="8"/>
        <v>59</v>
      </c>
      <c r="G44" s="158"/>
      <c r="H44" s="123">
        <f t="shared" si="8"/>
        <v>80</v>
      </c>
      <c r="I44" s="158"/>
      <c r="J44" s="123">
        <f t="shared" si="8"/>
        <v>101</v>
      </c>
      <c r="K44" s="158"/>
      <c r="L44" s="123">
        <f t="shared" si="8"/>
        <v>122</v>
      </c>
      <c r="M44" s="158"/>
      <c r="N44" s="196"/>
      <c r="O44" s="125"/>
      <c r="P44" s="79">
        <v>0</v>
      </c>
      <c r="Q44" s="79">
        <v>5</v>
      </c>
      <c r="R44" s="79">
        <v>20</v>
      </c>
      <c r="T44" s="113">
        <f t="shared" si="4"/>
        <v>21</v>
      </c>
      <c r="U44" s="113" t="s">
        <v>163</v>
      </c>
      <c r="V44" s="114"/>
      <c r="W44" s="114"/>
      <c r="X44" s="114"/>
      <c r="Y44" s="115"/>
      <c r="Z44" s="116"/>
      <c r="AA44" s="117">
        <f t="shared" si="2"/>
        <v>0</v>
      </c>
      <c r="AB44" s="118">
        <f t="shared" si="5"/>
        <v>1</v>
      </c>
      <c r="AC44" s="118">
        <f t="shared" si="6"/>
        <v>46133</v>
      </c>
      <c r="AD44" s="118">
        <f t="shared" si="1"/>
        <v>-46132</v>
      </c>
      <c r="AE44" s="117">
        <f t="shared" si="3"/>
        <v>0</v>
      </c>
    </row>
    <row r="45" spans="2:31" ht="15.75" customHeight="1" thickBot="1" x14ac:dyDescent="0.25">
      <c r="B45" s="123">
        <f t="shared" si="7"/>
        <v>18</v>
      </c>
      <c r="C45" s="158"/>
      <c r="D45" s="123">
        <f t="shared" si="8"/>
        <v>39</v>
      </c>
      <c r="E45" s="158"/>
      <c r="F45" s="123">
        <f t="shared" si="8"/>
        <v>60</v>
      </c>
      <c r="G45" s="158"/>
      <c r="H45" s="123">
        <f t="shared" si="8"/>
        <v>81</v>
      </c>
      <c r="I45" s="158"/>
      <c r="J45" s="123">
        <f t="shared" si="8"/>
        <v>102</v>
      </c>
      <c r="K45" s="158"/>
      <c r="L45" s="123">
        <f t="shared" si="8"/>
        <v>123</v>
      </c>
      <c r="M45" s="158"/>
      <c r="N45" s="196"/>
      <c r="O45" s="125"/>
      <c r="P45" s="79">
        <v>5</v>
      </c>
      <c r="Q45" s="79">
        <v>10</v>
      </c>
      <c r="R45" s="79">
        <v>30</v>
      </c>
      <c r="T45" s="113">
        <f t="shared" si="4"/>
        <v>22</v>
      </c>
      <c r="U45" s="113" t="s">
        <v>164</v>
      </c>
      <c r="V45" s="114"/>
      <c r="W45" s="114"/>
      <c r="X45" s="114"/>
      <c r="Y45" s="115"/>
      <c r="Z45" s="116"/>
      <c r="AA45" s="117">
        <f t="shared" si="2"/>
        <v>0</v>
      </c>
      <c r="AB45" s="118">
        <f t="shared" si="5"/>
        <v>1</v>
      </c>
      <c r="AC45" s="118">
        <f t="shared" si="6"/>
        <v>46133</v>
      </c>
      <c r="AD45" s="118">
        <f t="shared" si="1"/>
        <v>-46132</v>
      </c>
      <c r="AE45" s="117">
        <f t="shared" si="3"/>
        <v>0</v>
      </c>
    </row>
    <row r="46" spans="2:31" ht="15.75" customHeight="1" thickBot="1" x14ac:dyDescent="0.25">
      <c r="B46" s="123">
        <f t="shared" si="7"/>
        <v>19</v>
      </c>
      <c r="C46" s="158"/>
      <c r="D46" s="123">
        <f t="shared" si="8"/>
        <v>40</v>
      </c>
      <c r="E46" s="158"/>
      <c r="F46" s="123">
        <f t="shared" si="8"/>
        <v>61</v>
      </c>
      <c r="G46" s="158"/>
      <c r="H46" s="123">
        <f t="shared" si="8"/>
        <v>82</v>
      </c>
      <c r="I46" s="158"/>
      <c r="J46" s="123">
        <f t="shared" si="8"/>
        <v>103</v>
      </c>
      <c r="K46" s="158"/>
      <c r="L46" s="123">
        <f t="shared" si="8"/>
        <v>124</v>
      </c>
      <c r="M46" s="158"/>
      <c r="N46" s="196"/>
      <c r="O46" s="125"/>
      <c r="P46" s="79">
        <v>10</v>
      </c>
      <c r="Q46" s="79"/>
      <c r="R46" s="79">
        <v>40</v>
      </c>
      <c r="T46" s="113">
        <f t="shared" si="4"/>
        <v>23</v>
      </c>
      <c r="U46" s="113" t="s">
        <v>165</v>
      </c>
      <c r="V46" s="114"/>
      <c r="W46" s="114"/>
      <c r="X46" s="114"/>
      <c r="Y46" s="115"/>
      <c r="Z46" s="116"/>
      <c r="AA46" s="117">
        <f t="shared" si="2"/>
        <v>0</v>
      </c>
      <c r="AB46" s="118">
        <f t="shared" si="5"/>
        <v>1</v>
      </c>
      <c r="AC46" s="118">
        <f t="shared" si="6"/>
        <v>46133</v>
      </c>
      <c r="AD46" s="118">
        <f t="shared" si="1"/>
        <v>-46132</v>
      </c>
      <c r="AE46" s="117">
        <f t="shared" si="3"/>
        <v>0</v>
      </c>
    </row>
    <row r="47" spans="2:31" ht="15.75" customHeight="1" thickBot="1" x14ac:dyDescent="0.25">
      <c r="B47" s="123">
        <f t="shared" si="7"/>
        <v>20</v>
      </c>
      <c r="C47" s="158"/>
      <c r="D47" s="123">
        <f t="shared" si="8"/>
        <v>41</v>
      </c>
      <c r="E47" s="158"/>
      <c r="F47" s="123">
        <f t="shared" si="8"/>
        <v>62</v>
      </c>
      <c r="G47" s="158"/>
      <c r="H47" s="123">
        <f t="shared" si="8"/>
        <v>83</v>
      </c>
      <c r="I47" s="158"/>
      <c r="J47" s="123">
        <f t="shared" si="8"/>
        <v>104</v>
      </c>
      <c r="K47" s="158"/>
      <c r="L47" s="123">
        <f t="shared" si="8"/>
        <v>125</v>
      </c>
      <c r="M47" s="158"/>
      <c r="N47" s="196"/>
      <c r="O47" s="125"/>
      <c r="T47" s="113"/>
      <c r="U47" s="113"/>
      <c r="V47" s="114"/>
      <c r="W47" s="114"/>
      <c r="X47" s="114"/>
      <c r="Y47" s="115"/>
      <c r="Z47" s="116"/>
      <c r="AA47" s="117"/>
      <c r="AB47" s="118"/>
      <c r="AC47" s="118"/>
      <c r="AD47" s="118"/>
      <c r="AE47" s="117"/>
    </row>
    <row r="48" spans="2:31" ht="15.75" customHeight="1" thickBot="1" x14ac:dyDescent="0.25">
      <c r="B48" s="123">
        <f t="shared" si="7"/>
        <v>21</v>
      </c>
      <c r="C48" s="158"/>
      <c r="D48" s="123">
        <f t="shared" si="8"/>
        <v>42</v>
      </c>
      <c r="E48" s="158"/>
      <c r="F48" s="123">
        <f t="shared" si="8"/>
        <v>63</v>
      </c>
      <c r="G48" s="158"/>
      <c r="H48" s="123">
        <f t="shared" si="8"/>
        <v>84</v>
      </c>
      <c r="I48" s="158"/>
      <c r="J48" s="123">
        <f t="shared" si="8"/>
        <v>105</v>
      </c>
      <c r="K48" s="158"/>
      <c r="L48" s="123">
        <f t="shared" si="8"/>
        <v>126</v>
      </c>
      <c r="M48" s="158"/>
      <c r="N48" s="197"/>
      <c r="O48" s="125"/>
      <c r="T48" s="113">
        <f>T46+1</f>
        <v>24</v>
      </c>
      <c r="U48" s="113" t="s">
        <v>166</v>
      </c>
      <c r="V48" s="114"/>
      <c r="W48" s="114"/>
      <c r="X48" s="114"/>
      <c r="Y48" s="115"/>
      <c r="Z48" s="116"/>
      <c r="AA48" s="117">
        <f t="shared" si="2"/>
        <v>0</v>
      </c>
      <c r="AB48" s="118">
        <f t="shared" si="5"/>
        <v>1</v>
      </c>
      <c r="AC48" s="118">
        <f t="shared" si="6"/>
        <v>46133</v>
      </c>
      <c r="AD48" s="118">
        <f t="shared" si="1"/>
        <v>-46132</v>
      </c>
      <c r="AE48" s="117">
        <f t="shared" si="3"/>
        <v>0</v>
      </c>
    </row>
    <row r="49" spans="2:32" ht="15.75" customHeight="1" thickBot="1" x14ac:dyDescent="0.25">
      <c r="B49" s="161" t="s">
        <v>167</v>
      </c>
      <c r="C49" s="161"/>
      <c r="D49" s="161"/>
      <c r="E49" s="161"/>
      <c r="F49" s="161"/>
      <c r="G49" s="161"/>
      <c r="H49" s="161"/>
      <c r="I49" s="161"/>
      <c r="J49" s="198">
        <f>SUM(C28:C48,G28:G48,K28:K48,E28:E48,I28:I48,K28:K48,M28:M48)</f>
        <v>0</v>
      </c>
      <c r="K49" s="198"/>
      <c r="L49" s="198"/>
      <c r="M49" s="198"/>
      <c r="N49" s="198"/>
      <c r="T49" s="113">
        <f t="shared" si="4"/>
        <v>25</v>
      </c>
      <c r="U49" s="113" t="s">
        <v>168</v>
      </c>
      <c r="V49" s="114"/>
      <c r="W49" s="114"/>
      <c r="X49" s="114"/>
      <c r="Y49" s="115"/>
      <c r="Z49" s="116"/>
      <c r="AA49" s="117">
        <f t="shared" si="2"/>
        <v>0</v>
      </c>
      <c r="AB49" s="118">
        <f t="shared" si="5"/>
        <v>1</v>
      </c>
      <c r="AC49" s="118">
        <f t="shared" si="6"/>
        <v>46133</v>
      </c>
      <c r="AD49" s="118">
        <f t="shared" si="1"/>
        <v>-46132</v>
      </c>
      <c r="AE49" s="117">
        <f t="shared" si="3"/>
        <v>0</v>
      </c>
    </row>
    <row r="50" spans="2:32" ht="15.75" customHeight="1" thickBot="1" x14ac:dyDescent="0.25">
      <c r="B50" s="161" t="s">
        <v>169</v>
      </c>
      <c r="C50" s="161"/>
      <c r="D50" s="161"/>
      <c r="E50" s="161"/>
      <c r="F50" s="161"/>
      <c r="G50" s="161"/>
      <c r="H50" s="161"/>
      <c r="I50" s="161"/>
      <c r="J50" s="162">
        <f>$J$49*$Q$21</f>
        <v>0</v>
      </c>
      <c r="K50" s="162"/>
      <c r="L50" s="162"/>
      <c r="M50" s="162"/>
      <c r="N50" s="162"/>
      <c r="T50" s="113">
        <f t="shared" si="4"/>
        <v>26</v>
      </c>
      <c r="U50" s="113" t="s">
        <v>170</v>
      </c>
      <c r="V50" s="114"/>
      <c r="W50" s="114"/>
      <c r="X50" s="114"/>
      <c r="Y50" s="115"/>
      <c r="Z50" s="116"/>
      <c r="AA50" s="117">
        <f t="shared" si="2"/>
        <v>0</v>
      </c>
      <c r="AB50" s="118">
        <f t="shared" si="5"/>
        <v>1</v>
      </c>
      <c r="AC50" s="118">
        <f t="shared" si="6"/>
        <v>46133</v>
      </c>
      <c r="AD50" s="118">
        <f t="shared" si="1"/>
        <v>-46132</v>
      </c>
      <c r="AE50" s="117">
        <f t="shared" si="3"/>
        <v>0</v>
      </c>
    </row>
    <row r="51" spans="2:32" ht="15.75" customHeight="1" thickBot="1" x14ac:dyDescent="0.25">
      <c r="B51" s="161" t="s">
        <v>171</v>
      </c>
      <c r="C51" s="161"/>
      <c r="D51" s="161"/>
      <c r="E51" s="161"/>
      <c r="F51" s="161"/>
      <c r="G51" s="161"/>
      <c r="H51" s="161"/>
      <c r="I51" s="161"/>
      <c r="J51" s="212">
        <f>IFERROR($J$50/(($B$12)*I16),0)</f>
        <v>0</v>
      </c>
      <c r="K51" s="212"/>
      <c r="L51" s="212"/>
      <c r="M51" s="212"/>
      <c r="N51" s="212"/>
      <c r="T51" s="113">
        <f t="shared" si="4"/>
        <v>27</v>
      </c>
      <c r="U51" s="113" t="s">
        <v>172</v>
      </c>
      <c r="V51" s="114"/>
      <c r="W51" s="114"/>
      <c r="X51" s="114"/>
      <c r="Y51" s="115"/>
      <c r="Z51" s="116"/>
      <c r="AA51" s="117">
        <f t="shared" si="2"/>
        <v>0</v>
      </c>
      <c r="AB51" s="118">
        <f t="shared" si="5"/>
        <v>1</v>
      </c>
      <c r="AC51" s="118">
        <f t="shared" si="6"/>
        <v>46133</v>
      </c>
      <c r="AD51" s="118">
        <f t="shared" si="1"/>
        <v>-46132</v>
      </c>
      <c r="AE51" s="117">
        <f t="shared" si="3"/>
        <v>0</v>
      </c>
    </row>
    <row r="52" spans="2:32" ht="15.75" customHeight="1" thickBot="1" x14ac:dyDescent="0.25">
      <c r="B52" s="161" t="s">
        <v>173</v>
      </c>
      <c r="C52" s="161"/>
      <c r="D52" s="161"/>
      <c r="E52" s="161"/>
      <c r="F52" s="161"/>
      <c r="G52" s="161"/>
      <c r="H52" s="161"/>
      <c r="I52" s="161"/>
      <c r="J52" s="161"/>
      <c r="K52" s="161"/>
      <c r="L52" s="211">
        <f>IF(J51&gt;P35,R35,IF(J51&gt;P34,R34,IF(J51&gt;P33,R33,R32)))</f>
        <v>60</v>
      </c>
      <c r="M52" s="211"/>
      <c r="N52" s="211"/>
      <c r="O52" s="125"/>
      <c r="T52" s="113">
        <f t="shared" si="4"/>
        <v>28</v>
      </c>
      <c r="U52" s="113" t="s">
        <v>174</v>
      </c>
      <c r="V52" s="114"/>
      <c r="W52" s="114"/>
      <c r="X52" s="114"/>
      <c r="Y52" s="115"/>
      <c r="Z52" s="116"/>
      <c r="AA52" s="117">
        <f t="shared" si="2"/>
        <v>0</v>
      </c>
      <c r="AB52" s="118">
        <f t="shared" si="5"/>
        <v>1</v>
      </c>
      <c r="AC52" s="118">
        <f t="shared" si="6"/>
        <v>46133</v>
      </c>
      <c r="AD52" s="118">
        <f t="shared" si="1"/>
        <v>-46132</v>
      </c>
      <c r="AE52" s="117">
        <f t="shared" si="3"/>
        <v>0</v>
      </c>
    </row>
    <row r="53" spans="2:32" ht="15.75" customHeight="1" thickBot="1" x14ac:dyDescent="0.3">
      <c r="B53" s="212" t="s">
        <v>175</v>
      </c>
      <c r="C53" s="212"/>
      <c r="D53" s="212"/>
      <c r="E53" s="212"/>
      <c r="F53" s="212"/>
      <c r="G53" s="212"/>
      <c r="H53" s="212"/>
      <c r="I53" s="212"/>
      <c r="J53" s="212"/>
      <c r="K53" s="212"/>
      <c r="L53" s="212"/>
      <c r="M53" s="212"/>
      <c r="N53" s="212"/>
      <c r="O53" s="125"/>
      <c r="T53" s="113">
        <f t="shared" si="4"/>
        <v>29</v>
      </c>
      <c r="U53" s="113" t="s">
        <v>176</v>
      </c>
      <c r="V53" s="114"/>
      <c r="W53" s="114"/>
      <c r="X53" s="114"/>
      <c r="Y53" s="115"/>
      <c r="Z53" s="116"/>
      <c r="AA53" s="117">
        <f t="shared" si="2"/>
        <v>0</v>
      </c>
      <c r="AB53" s="118">
        <f t="shared" si="5"/>
        <v>1</v>
      </c>
      <c r="AC53" s="118">
        <f t="shared" si="6"/>
        <v>46133</v>
      </c>
      <c r="AD53" s="118">
        <f t="shared" si="1"/>
        <v>-46132</v>
      </c>
      <c r="AE53" s="117">
        <f t="shared" si="3"/>
        <v>0</v>
      </c>
    </row>
    <row r="54" spans="2:32" ht="15.75" customHeight="1" thickBot="1" x14ac:dyDescent="0.25">
      <c r="B54" s="186"/>
      <c r="C54" s="187"/>
      <c r="D54" s="187"/>
      <c r="E54" s="187"/>
      <c r="F54" s="187"/>
      <c r="G54" s="188"/>
      <c r="H54" s="223" t="s">
        <v>177</v>
      </c>
      <c r="I54" s="223"/>
      <c r="J54" s="223"/>
      <c r="K54" s="223"/>
      <c r="L54" s="224">
        <f>$I$5</f>
        <v>0</v>
      </c>
      <c r="M54" s="224"/>
      <c r="N54" s="224"/>
      <c r="O54" s="125"/>
      <c r="T54" s="113">
        <f t="shared" si="4"/>
        <v>30</v>
      </c>
      <c r="U54" s="113" t="s">
        <v>178</v>
      </c>
      <c r="V54" s="114"/>
      <c r="W54" s="114"/>
      <c r="X54" s="114"/>
      <c r="Y54" s="115"/>
      <c r="Z54" s="116"/>
      <c r="AA54" s="117">
        <f t="shared" si="2"/>
        <v>0</v>
      </c>
      <c r="AB54" s="118">
        <f t="shared" si="5"/>
        <v>1</v>
      </c>
      <c r="AC54" s="118">
        <f t="shared" si="6"/>
        <v>46133</v>
      </c>
      <c r="AD54" s="118">
        <f t="shared" si="1"/>
        <v>-46132</v>
      </c>
      <c r="AE54" s="117">
        <f t="shared" si="3"/>
        <v>0</v>
      </c>
      <c r="AF54" s="107"/>
    </row>
    <row r="55" spans="2:32" ht="15.75" customHeight="1" thickBot="1" x14ac:dyDescent="0.25">
      <c r="B55" s="189"/>
      <c r="C55" s="190"/>
      <c r="D55" s="190"/>
      <c r="E55" s="190"/>
      <c r="F55" s="190"/>
      <c r="G55" s="191"/>
      <c r="H55" s="223" t="s">
        <v>179</v>
      </c>
      <c r="I55" s="223"/>
      <c r="J55" s="223"/>
      <c r="K55" s="223"/>
      <c r="L55" s="224">
        <f>$J$5</f>
        <v>0</v>
      </c>
      <c r="M55" s="224"/>
      <c r="N55" s="224"/>
      <c r="O55" s="125"/>
      <c r="T55" s="113">
        <f t="shared" si="4"/>
        <v>31</v>
      </c>
      <c r="U55" s="113" t="s">
        <v>180</v>
      </c>
      <c r="V55" s="114"/>
      <c r="W55" s="114"/>
      <c r="X55" s="114"/>
      <c r="Y55" s="115"/>
      <c r="Z55" s="116"/>
      <c r="AA55" s="117">
        <f t="shared" si="2"/>
        <v>0</v>
      </c>
      <c r="AB55" s="118">
        <f t="shared" si="5"/>
        <v>1</v>
      </c>
      <c r="AC55" s="118">
        <f t="shared" si="6"/>
        <v>46133</v>
      </c>
      <c r="AD55" s="118">
        <f t="shared" si="1"/>
        <v>-46132</v>
      </c>
      <c r="AE55" s="117">
        <f t="shared" si="3"/>
        <v>0</v>
      </c>
    </row>
    <row r="56" spans="2:32" ht="15.75" customHeight="1" thickBot="1" x14ac:dyDescent="0.25">
      <c r="B56" s="192"/>
      <c r="C56" s="193"/>
      <c r="D56" s="193"/>
      <c r="E56" s="193"/>
      <c r="F56" s="193"/>
      <c r="G56" s="194"/>
      <c r="H56" s="161" t="s">
        <v>181</v>
      </c>
      <c r="I56" s="161"/>
      <c r="J56" s="161"/>
      <c r="K56" s="161"/>
      <c r="L56" s="210">
        <f>IFERROR(ROUND(L54/L55,2),0)</f>
        <v>0</v>
      </c>
      <c r="M56" s="210"/>
      <c r="N56" s="210"/>
      <c r="O56" s="125"/>
      <c r="T56" s="113">
        <f t="shared" si="4"/>
        <v>32</v>
      </c>
      <c r="U56" s="113" t="s">
        <v>182</v>
      </c>
      <c r="V56" s="114"/>
      <c r="W56" s="114"/>
      <c r="X56" s="114"/>
      <c r="Y56" s="115"/>
      <c r="Z56" s="116"/>
      <c r="AA56" s="117">
        <f t="shared" si="2"/>
        <v>0</v>
      </c>
      <c r="AB56" s="118">
        <f t="shared" si="5"/>
        <v>1</v>
      </c>
      <c r="AC56" s="118">
        <f t="shared" si="6"/>
        <v>46133</v>
      </c>
      <c r="AD56" s="118">
        <f t="shared" si="1"/>
        <v>-46132</v>
      </c>
      <c r="AE56" s="117">
        <f t="shared" si="3"/>
        <v>0</v>
      </c>
    </row>
    <row r="57" spans="2:32" ht="15.75" customHeight="1" thickBot="1" x14ac:dyDescent="0.25">
      <c r="B57" s="161" t="s">
        <v>183</v>
      </c>
      <c r="C57" s="161"/>
      <c r="D57" s="161"/>
      <c r="E57" s="161"/>
      <c r="F57" s="161"/>
      <c r="G57" s="161"/>
      <c r="H57" s="161"/>
      <c r="I57" s="161"/>
      <c r="J57" s="161"/>
      <c r="K57" s="161"/>
      <c r="L57" s="211">
        <f>IF(L56&gt;P41,R41,IF(L56&gt;P40,R40,IF(L56&gt;P39,R39,IF(L56&gt;P38,R38,R37))))</f>
        <v>20</v>
      </c>
      <c r="M57" s="211"/>
      <c r="N57" s="211"/>
      <c r="O57" s="125"/>
      <c r="T57" s="113">
        <f t="shared" si="4"/>
        <v>33</v>
      </c>
      <c r="U57" s="113" t="s">
        <v>184</v>
      </c>
      <c r="V57" s="114"/>
      <c r="W57" s="114"/>
      <c r="X57" s="114"/>
      <c r="Y57" s="115"/>
      <c r="Z57" s="116"/>
      <c r="AA57" s="117">
        <f t="shared" si="2"/>
        <v>0</v>
      </c>
      <c r="AB57" s="118">
        <f t="shared" si="5"/>
        <v>1</v>
      </c>
      <c r="AC57" s="118">
        <f t="shared" si="6"/>
        <v>46133</v>
      </c>
      <c r="AD57" s="118">
        <f t="shared" si="1"/>
        <v>-46132</v>
      </c>
      <c r="AE57" s="117">
        <f t="shared" si="3"/>
        <v>0</v>
      </c>
    </row>
    <row r="58" spans="2:32" ht="15.75" customHeight="1" thickBot="1" x14ac:dyDescent="0.3">
      <c r="B58" s="212" t="s">
        <v>185</v>
      </c>
      <c r="C58" s="212"/>
      <c r="D58" s="212"/>
      <c r="E58" s="212"/>
      <c r="F58" s="212"/>
      <c r="G58" s="212"/>
      <c r="H58" s="212"/>
      <c r="I58" s="212"/>
      <c r="J58" s="212"/>
      <c r="K58" s="212"/>
      <c r="L58" s="212"/>
      <c r="M58" s="212"/>
      <c r="N58" s="212"/>
      <c r="T58" s="113">
        <f t="shared" si="4"/>
        <v>34</v>
      </c>
      <c r="U58" s="113" t="s">
        <v>186</v>
      </c>
      <c r="V58" s="114"/>
      <c r="W58" s="114"/>
      <c r="X58" s="114"/>
      <c r="Y58" s="115"/>
      <c r="Z58" s="116"/>
      <c r="AA58" s="117">
        <f t="shared" si="2"/>
        <v>0</v>
      </c>
      <c r="AB58" s="118">
        <f t="shared" si="5"/>
        <v>1</v>
      </c>
      <c r="AC58" s="118">
        <f t="shared" si="6"/>
        <v>46133</v>
      </c>
      <c r="AD58" s="118">
        <f t="shared" si="1"/>
        <v>-46132</v>
      </c>
      <c r="AE58" s="117">
        <f t="shared" si="3"/>
        <v>0</v>
      </c>
    </row>
    <row r="59" spans="2:32" ht="15.75" customHeight="1" thickBot="1" x14ac:dyDescent="0.3">
      <c r="B59" s="220" t="s">
        <v>94</v>
      </c>
      <c r="C59" s="220"/>
      <c r="D59" s="220"/>
      <c r="E59" s="220"/>
      <c r="F59" s="220"/>
      <c r="G59" s="220"/>
      <c r="H59" s="220"/>
      <c r="I59" s="220"/>
      <c r="J59" s="220"/>
      <c r="K59" s="220"/>
      <c r="L59" s="220"/>
      <c r="M59" s="221">
        <f>$K$5</f>
        <v>0</v>
      </c>
      <c r="N59" s="221"/>
      <c r="T59" s="113">
        <f t="shared" si="4"/>
        <v>35</v>
      </c>
      <c r="U59" s="113" t="s">
        <v>187</v>
      </c>
      <c r="V59" s="114"/>
      <c r="W59" s="114"/>
      <c r="X59" s="114"/>
      <c r="Y59" s="115"/>
      <c r="Z59" s="116"/>
      <c r="AA59" s="117">
        <f t="shared" si="2"/>
        <v>0</v>
      </c>
      <c r="AB59" s="118">
        <f t="shared" si="5"/>
        <v>1</v>
      </c>
      <c r="AC59" s="118">
        <f t="shared" si="6"/>
        <v>46133</v>
      </c>
      <c r="AD59" s="118">
        <f t="shared" si="1"/>
        <v>-46132</v>
      </c>
      <c r="AE59" s="117">
        <f t="shared" si="3"/>
        <v>0</v>
      </c>
    </row>
    <row r="60" spans="2:32" ht="15.75" customHeight="1" thickBot="1" x14ac:dyDescent="0.25">
      <c r="B60" s="161" t="s">
        <v>188</v>
      </c>
      <c r="C60" s="161"/>
      <c r="D60" s="161"/>
      <c r="E60" s="161"/>
      <c r="F60" s="161"/>
      <c r="G60" s="161"/>
      <c r="H60" s="161"/>
      <c r="I60" s="161"/>
      <c r="J60" s="161"/>
      <c r="K60" s="161"/>
      <c r="L60" s="211">
        <f>IF(M59&gt;P46,R46,IF(M59&gt;P45,R45,IF(M59&gt;P44,R44,R43)))</f>
        <v>0</v>
      </c>
      <c r="M60" s="211"/>
      <c r="N60" s="211"/>
      <c r="T60" s="113">
        <f t="shared" si="4"/>
        <v>36</v>
      </c>
      <c r="U60" s="113" t="s">
        <v>189</v>
      </c>
      <c r="V60" s="114"/>
      <c r="W60" s="114"/>
      <c r="X60" s="114"/>
      <c r="Y60" s="115"/>
      <c r="Z60" s="116"/>
      <c r="AA60" s="117">
        <f t="shared" si="2"/>
        <v>0</v>
      </c>
      <c r="AB60" s="118">
        <f t="shared" si="5"/>
        <v>1</v>
      </c>
      <c r="AC60" s="118">
        <f t="shared" si="6"/>
        <v>46133</v>
      </c>
      <c r="AD60" s="118">
        <f t="shared" si="1"/>
        <v>-46132</v>
      </c>
      <c r="AE60" s="117">
        <f t="shared" si="3"/>
        <v>0</v>
      </c>
    </row>
    <row r="61" spans="2:32" ht="15.75" customHeight="1" thickBot="1" x14ac:dyDescent="0.3">
      <c r="T61" s="113">
        <f t="shared" si="4"/>
        <v>37</v>
      </c>
      <c r="U61" s="113" t="s">
        <v>190</v>
      </c>
      <c r="V61" s="114"/>
      <c r="W61" s="114"/>
      <c r="X61" s="114"/>
      <c r="Y61" s="115"/>
      <c r="Z61" s="116"/>
      <c r="AA61" s="117">
        <f t="shared" si="2"/>
        <v>0</v>
      </c>
      <c r="AB61" s="118">
        <f t="shared" si="5"/>
        <v>1</v>
      </c>
      <c r="AC61" s="118">
        <f t="shared" si="6"/>
        <v>46133</v>
      </c>
      <c r="AD61" s="118">
        <f t="shared" si="1"/>
        <v>-46132</v>
      </c>
      <c r="AE61" s="117">
        <f t="shared" si="3"/>
        <v>0</v>
      </c>
    </row>
    <row r="62" spans="2:32" ht="15.75" customHeight="1" thickBot="1" x14ac:dyDescent="0.25">
      <c r="B62" s="161" t="str">
        <f>"CAPACIDAD DE CONTRATACIÓN INTEGRANTE 1: "&amp;$F$15</f>
        <v xml:space="preserve">CAPACIDAD DE CONTRATACIÓN INTEGRANTE 1: </v>
      </c>
      <c r="C62" s="161"/>
      <c r="D62" s="161"/>
      <c r="E62" s="161"/>
      <c r="F62" s="161"/>
      <c r="G62" s="161"/>
      <c r="H62" s="161"/>
      <c r="I62" s="161"/>
      <c r="J62" s="161"/>
      <c r="K62" s="161"/>
      <c r="L62" s="167">
        <f>I24*((L52+L57+L60)/100)</f>
        <v>426630400</v>
      </c>
      <c r="M62" s="167"/>
      <c r="N62" s="167"/>
      <c r="T62" s="113">
        <f t="shared" si="4"/>
        <v>38</v>
      </c>
      <c r="U62" s="113" t="s">
        <v>191</v>
      </c>
      <c r="V62" s="114"/>
      <c r="W62" s="114"/>
      <c r="X62" s="114"/>
      <c r="Y62" s="115"/>
      <c r="Z62" s="116"/>
      <c r="AA62" s="117">
        <f t="shared" si="2"/>
        <v>0</v>
      </c>
      <c r="AB62" s="118">
        <f t="shared" si="5"/>
        <v>1</v>
      </c>
      <c r="AC62" s="118">
        <f t="shared" si="6"/>
        <v>46133</v>
      </c>
      <c r="AD62" s="118">
        <f t="shared" si="1"/>
        <v>-46132</v>
      </c>
      <c r="AE62" s="117">
        <f t="shared" si="3"/>
        <v>0</v>
      </c>
    </row>
    <row r="63" spans="2:32" ht="15.75" customHeight="1" thickBot="1" x14ac:dyDescent="0.25">
      <c r="B63" s="161" t="str">
        <f>"SALDO DE LOS CONTRATOS EN EJECUCIÓN INTEGRANTE 1: "&amp;$F$15</f>
        <v xml:space="preserve">SALDO DE LOS CONTRATOS EN EJECUCIÓN INTEGRANTE 1: </v>
      </c>
      <c r="C63" s="161"/>
      <c r="D63" s="161"/>
      <c r="E63" s="161"/>
      <c r="F63" s="161"/>
      <c r="G63" s="161"/>
      <c r="H63" s="161"/>
      <c r="I63" s="161"/>
      <c r="J63" s="161"/>
      <c r="K63" s="161"/>
      <c r="L63" s="167">
        <f>$M$5</f>
        <v>0</v>
      </c>
      <c r="M63" s="167"/>
      <c r="N63" s="167"/>
      <c r="T63" s="113">
        <f t="shared" si="4"/>
        <v>39</v>
      </c>
      <c r="U63" s="113" t="s">
        <v>192</v>
      </c>
      <c r="V63" s="114"/>
      <c r="W63" s="114"/>
      <c r="X63" s="114"/>
      <c r="Y63" s="115"/>
      <c r="Z63" s="116"/>
      <c r="AA63" s="117">
        <f t="shared" si="2"/>
        <v>0</v>
      </c>
      <c r="AB63" s="118">
        <f t="shared" si="5"/>
        <v>1</v>
      </c>
      <c r="AC63" s="118">
        <f t="shared" si="6"/>
        <v>46133</v>
      </c>
      <c r="AD63" s="118">
        <f t="shared" si="1"/>
        <v>-46132</v>
      </c>
      <c r="AE63" s="117">
        <f t="shared" si="3"/>
        <v>0</v>
      </c>
    </row>
    <row r="64" spans="2:32" ht="15.75" customHeight="1" thickBot="1" x14ac:dyDescent="0.25">
      <c r="B64" s="161" t="str">
        <f>"CAPACIDAD RESIDUAL DE CONTRATACIÓN INTEGRANTE 1: "&amp;$F$15</f>
        <v xml:space="preserve">CAPACIDAD RESIDUAL DE CONTRATACIÓN INTEGRANTE 1: </v>
      </c>
      <c r="C64" s="161"/>
      <c r="D64" s="161"/>
      <c r="E64" s="161"/>
      <c r="F64" s="161"/>
      <c r="G64" s="161"/>
      <c r="H64" s="161"/>
      <c r="I64" s="161"/>
      <c r="J64" s="161"/>
      <c r="K64" s="161"/>
      <c r="L64" s="167">
        <f>L62-L63</f>
        <v>426630400</v>
      </c>
      <c r="M64" s="167"/>
      <c r="N64" s="167"/>
      <c r="T64" s="113">
        <f t="shared" si="4"/>
        <v>40</v>
      </c>
      <c r="U64" s="113" t="s">
        <v>193</v>
      </c>
      <c r="V64" s="114"/>
      <c r="W64" s="114"/>
      <c r="X64" s="114"/>
      <c r="Y64" s="115"/>
      <c r="Z64" s="116"/>
      <c r="AA64" s="117">
        <f t="shared" si="2"/>
        <v>0</v>
      </c>
      <c r="AB64" s="118">
        <f t="shared" si="5"/>
        <v>1</v>
      </c>
      <c r="AC64" s="118">
        <f t="shared" si="6"/>
        <v>46133</v>
      </c>
      <c r="AD64" s="118">
        <f t="shared" si="1"/>
        <v>-46132</v>
      </c>
      <c r="AE64" s="117">
        <f t="shared" si="3"/>
        <v>0</v>
      </c>
    </row>
    <row r="65" spans="2:31" ht="15.75" customHeight="1" thickBot="1" x14ac:dyDescent="0.25">
      <c r="B65" s="127"/>
      <c r="C65" s="127"/>
      <c r="D65" s="127"/>
      <c r="E65" s="127"/>
      <c r="F65" s="127"/>
      <c r="G65" s="127"/>
      <c r="H65" s="127"/>
      <c r="I65" s="127"/>
      <c r="J65" s="127"/>
      <c r="K65" s="127"/>
      <c r="L65" s="128"/>
      <c r="M65" s="128"/>
      <c r="N65" s="128"/>
      <c r="T65" s="113">
        <f t="shared" si="4"/>
        <v>41</v>
      </c>
      <c r="U65" s="113" t="s">
        <v>194</v>
      </c>
      <c r="V65" s="114"/>
      <c r="W65" s="114"/>
      <c r="X65" s="114"/>
      <c r="Y65" s="115"/>
      <c r="Z65" s="116"/>
      <c r="AA65" s="117">
        <f t="shared" si="2"/>
        <v>0</v>
      </c>
      <c r="AB65" s="118">
        <f t="shared" si="5"/>
        <v>1</v>
      </c>
      <c r="AC65" s="118">
        <f t="shared" si="6"/>
        <v>46133</v>
      </c>
      <c r="AD65" s="118">
        <f t="shared" si="1"/>
        <v>-46132</v>
      </c>
      <c r="AE65" s="117">
        <f t="shared" si="3"/>
        <v>0</v>
      </c>
    </row>
    <row r="66" spans="2:31" ht="15.75" customHeight="1" thickBot="1" x14ac:dyDescent="0.3">
      <c r="B66" s="220" t="str">
        <f>"INTEGRANTE 1: "&amp;$C$5&amp;" PRESENTA ESTADOS FINANCIEROS DICTAMINADOS"</f>
        <v>INTEGRANTE 1: CONSORCIO MANTENIMIENTOS PRESENTA ESTADOS FINANCIEROS DICTAMINADOS</v>
      </c>
      <c r="C66" s="220"/>
      <c r="D66" s="220"/>
      <c r="E66" s="220"/>
      <c r="F66" s="220"/>
      <c r="G66" s="220"/>
      <c r="H66" s="220"/>
      <c r="I66" s="220"/>
      <c r="J66" s="220"/>
      <c r="K66" s="220"/>
      <c r="L66" s="215" t="str">
        <f>IF(L67="","",IF(L68="","",IF(AND(L67="si",L68="si")=TRUE,"CUMPLE","NO CUMPLE")))</f>
        <v/>
      </c>
      <c r="M66" s="215"/>
      <c r="N66" s="215"/>
      <c r="T66" s="113">
        <f t="shared" si="4"/>
        <v>42</v>
      </c>
      <c r="U66" s="113" t="s">
        <v>195</v>
      </c>
      <c r="V66" s="114"/>
      <c r="W66" s="114"/>
      <c r="X66" s="114"/>
      <c r="Y66" s="115"/>
      <c r="Z66" s="116"/>
      <c r="AA66" s="117">
        <f t="shared" si="2"/>
        <v>0</v>
      </c>
      <c r="AB66" s="118">
        <f t="shared" si="5"/>
        <v>1</v>
      </c>
      <c r="AC66" s="118">
        <f t="shared" si="6"/>
        <v>46133</v>
      </c>
      <c r="AD66" s="118">
        <f t="shared" si="1"/>
        <v>-46132</v>
      </c>
      <c r="AE66" s="117">
        <f t="shared" si="3"/>
        <v>0</v>
      </c>
    </row>
    <row r="67" spans="2:31" ht="62.25" customHeight="1" thickBot="1" x14ac:dyDescent="0.3">
      <c r="B67" s="163" t="s">
        <v>196</v>
      </c>
      <c r="C67" s="163"/>
      <c r="D67" s="163"/>
      <c r="E67" s="163"/>
      <c r="F67" s="163"/>
      <c r="G67" s="163"/>
      <c r="H67" s="163"/>
      <c r="I67" s="163"/>
      <c r="J67" s="163"/>
      <c r="K67" s="163"/>
      <c r="L67" s="164"/>
      <c r="M67" s="164"/>
      <c r="N67" s="164"/>
      <c r="T67" s="113"/>
      <c r="U67" s="113"/>
      <c r="V67" s="114"/>
      <c r="W67" s="114"/>
      <c r="X67" s="114"/>
      <c r="Y67" s="115"/>
      <c r="Z67" s="116"/>
      <c r="AA67" s="117"/>
      <c r="AB67" s="118"/>
      <c r="AC67" s="118"/>
      <c r="AD67" s="118"/>
      <c r="AE67" s="117"/>
    </row>
    <row r="68" spans="2:31" ht="32.25" customHeight="1" thickBot="1" x14ac:dyDescent="0.3">
      <c r="B68" s="163" t="s">
        <v>197</v>
      </c>
      <c r="C68" s="163"/>
      <c r="D68" s="163"/>
      <c r="E68" s="163"/>
      <c r="F68" s="163"/>
      <c r="G68" s="163"/>
      <c r="H68" s="163"/>
      <c r="I68" s="163"/>
      <c r="J68" s="163"/>
      <c r="K68" s="163"/>
      <c r="L68" s="164"/>
      <c r="M68" s="164"/>
      <c r="N68" s="164"/>
      <c r="T68" s="113"/>
      <c r="U68" s="113"/>
      <c r="V68" s="114"/>
      <c r="W68" s="114"/>
      <c r="X68" s="114"/>
      <c r="Y68" s="115"/>
      <c r="Z68" s="116"/>
      <c r="AA68" s="117"/>
      <c r="AB68" s="118"/>
      <c r="AC68" s="118"/>
      <c r="AD68" s="118"/>
      <c r="AE68" s="117"/>
    </row>
    <row r="69" spans="2:31" ht="15.75" customHeight="1" thickBot="1" x14ac:dyDescent="0.3">
      <c r="T69" s="113">
        <f>T66+1</f>
        <v>43</v>
      </c>
      <c r="U69" s="113" t="s">
        <v>198</v>
      </c>
      <c r="V69" s="114"/>
      <c r="W69" s="114"/>
      <c r="X69" s="114"/>
      <c r="Y69" s="115"/>
      <c r="Z69" s="116"/>
      <c r="AA69" s="117">
        <f t="shared" si="2"/>
        <v>0</v>
      </c>
      <c r="AB69" s="118">
        <f t="shared" si="5"/>
        <v>1</v>
      </c>
      <c r="AC69" s="118">
        <f t="shared" si="6"/>
        <v>46133</v>
      </c>
      <c r="AD69" s="118">
        <f t="shared" si="1"/>
        <v>-46132</v>
      </c>
      <c r="AE69" s="117">
        <f t="shared" si="3"/>
        <v>0</v>
      </c>
    </row>
    <row r="70" spans="2:31" ht="15.75" customHeight="1" thickBot="1" x14ac:dyDescent="0.3">
      <c r="B70" s="248" t="s">
        <v>50</v>
      </c>
      <c r="C70" s="248"/>
      <c r="D70" s="248"/>
      <c r="E70" s="248"/>
      <c r="F70" s="248"/>
      <c r="G70" s="248"/>
      <c r="H70" s="248"/>
      <c r="I70" s="248"/>
      <c r="J70" s="248"/>
      <c r="K70" s="248"/>
      <c r="L70" s="248"/>
      <c r="M70" s="248"/>
      <c r="N70" s="248"/>
      <c r="Z70" s="235" t="s">
        <v>199</v>
      </c>
      <c r="AA70" s="235"/>
      <c r="AB70" s="235"/>
      <c r="AC70" s="235"/>
      <c r="AD70" s="235"/>
      <c r="AE70" s="126">
        <f>SUM(AE24:AE69)</f>
        <v>0</v>
      </c>
    </row>
    <row r="71" spans="2:31" ht="69" customHeight="1" thickBot="1" x14ac:dyDescent="0.3">
      <c r="B71" s="242"/>
      <c r="C71" s="243"/>
      <c r="D71" s="243"/>
      <c r="E71" s="243"/>
      <c r="F71" s="243"/>
      <c r="G71" s="243"/>
      <c r="H71" s="243"/>
      <c r="I71" s="243"/>
      <c r="J71" s="243"/>
      <c r="K71" s="243"/>
      <c r="L71" s="243"/>
      <c r="M71" s="243"/>
      <c r="N71" s="244"/>
      <c r="R71" s="130" t="s">
        <v>200</v>
      </c>
      <c r="T71" s="113" t="e">
        <f>#REF!+1</f>
        <v>#REF!</v>
      </c>
      <c r="U71" s="113" t="s">
        <v>198</v>
      </c>
      <c r="V71" s="114"/>
      <c r="W71" s="114" t="e">
        <f>#REF!</f>
        <v>#REF!</v>
      </c>
      <c r="X71" s="114"/>
      <c r="Y71" s="115">
        <v>0</v>
      </c>
      <c r="Z71" s="116">
        <v>1</v>
      </c>
      <c r="AA71" s="117">
        <f t="shared" ref="AA71" si="9">Y71*Z71</f>
        <v>0</v>
      </c>
      <c r="AB71" s="118" t="e">
        <f t="shared" ref="AB71" si="10">DAYS360(V71,W71)+1</f>
        <v>#REF!</v>
      </c>
      <c r="AC71" s="118">
        <f>IF(X71&gt;$R$43,(X71-V71)+1,($U$20-V71)+1)</f>
        <v>46133</v>
      </c>
      <c r="AD71" s="118" t="e">
        <f>IF((AB71-AC71)&gt;$P$26,$P$26,(AB71-AC71))</f>
        <v>#REF!</v>
      </c>
      <c r="AE71" s="117" t="e">
        <f t="shared" ref="AE71" si="11">ROUND((AA71/AB71)*AD71,0)</f>
        <v>#REF!</v>
      </c>
    </row>
    <row r="72" spans="2:31" ht="13.5" thickBot="1" x14ac:dyDescent="0.3">
      <c r="P72" s="82" t="s">
        <v>201</v>
      </c>
      <c r="R72" s="83">
        <v>16</v>
      </c>
      <c r="Z72" s="235" t="s">
        <v>199</v>
      </c>
      <c r="AA72" s="235"/>
      <c r="AB72" s="235"/>
      <c r="AC72" s="235"/>
      <c r="AD72" s="235"/>
      <c r="AE72" s="126" t="e">
        <f>SUM(AE71:AE71)</f>
        <v>#REF!</v>
      </c>
    </row>
    <row r="73" spans="2:31" ht="12.75" x14ac:dyDescent="0.25">
      <c r="P73" s="82" t="s">
        <v>202</v>
      </c>
      <c r="R73" s="83">
        <v>15</v>
      </c>
    </row>
    <row r="74" spans="2:31" ht="15.75" customHeight="1" x14ac:dyDescent="0.25">
      <c r="P74" s="82" t="s">
        <v>203</v>
      </c>
      <c r="R74" s="83">
        <v>19</v>
      </c>
    </row>
    <row r="75" spans="2:31" ht="12.75" x14ac:dyDescent="0.25">
      <c r="P75" s="82" t="s">
        <v>204</v>
      </c>
      <c r="R75" s="83">
        <v>17</v>
      </c>
    </row>
    <row r="76" spans="2:31" ht="15.75" customHeight="1" x14ac:dyDescent="0.25">
      <c r="P76" s="82" t="s">
        <v>205</v>
      </c>
      <c r="R76" s="83">
        <v>19</v>
      </c>
    </row>
    <row r="77" spans="2:31" ht="12.75" x14ac:dyDescent="0.25">
      <c r="P77" s="82" t="s">
        <v>206</v>
      </c>
      <c r="R77" s="83">
        <v>19</v>
      </c>
    </row>
    <row r="79" spans="2:31" ht="12.75" x14ac:dyDescent="0.25"/>
    <row r="80" spans="2:31" ht="12.75" x14ac:dyDescent="0.25">
      <c r="J80" s="111"/>
    </row>
    <row r="83" ht="180" customHeight="1" x14ac:dyDescent="0.25"/>
  </sheetData>
  <sheetProtection selectLockedCells="1"/>
  <mergeCells count="95">
    <mergeCell ref="B10:N10"/>
    <mergeCell ref="B11:E11"/>
    <mergeCell ref="F11:G11"/>
    <mergeCell ref="I11:N11"/>
    <mergeCell ref="B7:K7"/>
    <mergeCell ref="L7:N7"/>
    <mergeCell ref="B2:N2"/>
    <mergeCell ref="B4:F4"/>
    <mergeCell ref="K4:L4"/>
    <mergeCell ref="M4:N4"/>
    <mergeCell ref="B8:K8"/>
    <mergeCell ref="L8:N8"/>
    <mergeCell ref="C5:F5"/>
    <mergeCell ref="K5:L5"/>
    <mergeCell ref="M5:N5"/>
    <mergeCell ref="M6:N6"/>
    <mergeCell ref="B12:E12"/>
    <mergeCell ref="F12:G12"/>
    <mergeCell ref="I12:N12"/>
    <mergeCell ref="B13:H13"/>
    <mergeCell ref="I13:N13"/>
    <mergeCell ref="B16:H16"/>
    <mergeCell ref="I16:N16"/>
    <mergeCell ref="T19:U19"/>
    <mergeCell ref="V19:AA19"/>
    <mergeCell ref="B17:G17"/>
    <mergeCell ref="H17:M17"/>
    <mergeCell ref="H20:M20"/>
    <mergeCell ref="H21:M21"/>
    <mergeCell ref="B22:N22"/>
    <mergeCell ref="W22:W23"/>
    <mergeCell ref="X22:X23"/>
    <mergeCell ref="B18:G21"/>
    <mergeCell ref="H18:M18"/>
    <mergeCell ref="H19:M19"/>
    <mergeCell ref="T22:T23"/>
    <mergeCell ref="U22:U23"/>
    <mergeCell ref="V22:V23"/>
    <mergeCell ref="B23:H23"/>
    <mergeCell ref="I23:N23"/>
    <mergeCell ref="AC22:AC23"/>
    <mergeCell ref="AD22:AD23"/>
    <mergeCell ref="AE22:AE23"/>
    <mergeCell ref="P31:Q31"/>
    <mergeCell ref="N27:N48"/>
    <mergeCell ref="Y22:Y23"/>
    <mergeCell ref="Z22:Z23"/>
    <mergeCell ref="AA22:AA23"/>
    <mergeCell ref="AB22:AB23"/>
    <mergeCell ref="P42:Q42"/>
    <mergeCell ref="P36:Q36"/>
    <mergeCell ref="B24:H24"/>
    <mergeCell ref="I24:N24"/>
    <mergeCell ref="B25:N25"/>
    <mergeCell ref="B26:N26"/>
    <mergeCell ref="B49:I49"/>
    <mergeCell ref="J49:N49"/>
    <mergeCell ref="B50:I50"/>
    <mergeCell ref="J50:N50"/>
    <mergeCell ref="B51:I51"/>
    <mergeCell ref="J51:N51"/>
    <mergeCell ref="M59:N59"/>
    <mergeCell ref="B60:K60"/>
    <mergeCell ref="L60:N60"/>
    <mergeCell ref="B52:K52"/>
    <mergeCell ref="L52:N52"/>
    <mergeCell ref="B53:N53"/>
    <mergeCell ref="B54:G56"/>
    <mergeCell ref="H54:K54"/>
    <mergeCell ref="L54:N54"/>
    <mergeCell ref="H55:K55"/>
    <mergeCell ref="L55:N55"/>
    <mergeCell ref="H56:K56"/>
    <mergeCell ref="L56:N56"/>
    <mergeCell ref="B15:N15"/>
    <mergeCell ref="B66:K66"/>
    <mergeCell ref="L66:N66"/>
    <mergeCell ref="Z72:AD72"/>
    <mergeCell ref="B70:N70"/>
    <mergeCell ref="Z70:AD70"/>
    <mergeCell ref="B62:K62"/>
    <mergeCell ref="L62:N62"/>
    <mergeCell ref="B63:K63"/>
    <mergeCell ref="L63:N63"/>
    <mergeCell ref="B64:K64"/>
    <mergeCell ref="L64:N64"/>
    <mergeCell ref="B57:K57"/>
    <mergeCell ref="L57:N57"/>
    <mergeCell ref="B58:N58"/>
    <mergeCell ref="B59:L59"/>
    <mergeCell ref="B67:K67"/>
    <mergeCell ref="B68:K68"/>
    <mergeCell ref="L67:N67"/>
    <mergeCell ref="L68:N68"/>
    <mergeCell ref="B71:N71"/>
  </mergeCells>
  <conditionalFormatting sqref="G5">
    <cfRule type="expression" dxfId="19" priority="22">
      <formula>SUM($G$5:$G$5)=0</formula>
    </cfRule>
    <cfRule type="expression" dxfId="18" priority="23">
      <formula>SUM($G$5:$G$5)&lt;100%</formula>
    </cfRule>
  </conditionalFormatting>
  <conditionalFormatting sqref="L8 X16:Y16">
    <cfRule type="cellIs" dxfId="17" priority="3" stopIfTrue="1" operator="equal">
      <formula>$Q$25</formula>
    </cfRule>
    <cfRule type="cellIs" dxfId="16" priority="4" stopIfTrue="1" operator="equal">
      <formula>$Q$26</formula>
    </cfRule>
  </conditionalFormatting>
  <dataValidations count="1">
    <dataValidation type="list" allowBlank="1" showInputMessage="1" showErrorMessage="1" sqref="L67:N68" xr:uid="{EBB55E35-C4F9-45FF-A70A-F2DBFB65EEE2}">
      <formula1>$O$1:$O$2</formula1>
    </dataValidation>
  </dataValidations>
  <printOptions horizontalCentered="1"/>
  <pageMargins left="0.70866141732283472" right="0.70866141732283472" top="0.74803149606299213" bottom="0.74803149606299213" header="0.31496062992125984" footer="0.31496062992125984"/>
  <pageSetup paperSize="9" scale="45" orientation="portrait" horizontalDpi="300" verticalDpi="300" r:id="rId1"/>
  <drawing r:id="rId2"/>
  <legacyDrawing r:id="rId3"/>
  <oleObjects>
    <mc:AlternateContent xmlns:mc="http://schemas.openxmlformats.org/markup-compatibility/2006">
      <mc:Choice Requires="x14">
        <oleObject progId="Equation.3" shapeId="7169" r:id="rId4">
          <objectPr defaultSize="0" autoPict="0" r:id="rId5">
            <anchor moveWithCells="1">
              <from>
                <xdr:col>1</xdr:col>
                <xdr:colOff>323850</xdr:colOff>
                <xdr:row>17</xdr:row>
                <xdr:rowOff>171450</xdr:rowOff>
              </from>
              <to>
                <xdr:col>5</xdr:col>
                <xdr:colOff>133350</xdr:colOff>
                <xdr:row>19</xdr:row>
                <xdr:rowOff>152400</xdr:rowOff>
              </to>
            </anchor>
          </objectPr>
        </oleObject>
      </mc:Choice>
      <mc:Fallback>
        <oleObject progId="Equation.3" shapeId="7169" r:id="rId4"/>
      </mc:Fallback>
    </mc:AlternateContent>
    <mc:AlternateContent xmlns:mc="http://schemas.openxmlformats.org/markup-compatibility/2006">
      <mc:Choice Requires="x14">
        <oleObject progId="Equation.3" shapeId="7170" r:id="rId6">
          <objectPr defaultSize="0" autoPict="0" r:id="rId7">
            <anchor moveWithCells="1">
              <from>
                <xdr:col>2</xdr:col>
                <xdr:colOff>9525</xdr:colOff>
                <xdr:row>53</xdr:row>
                <xdr:rowOff>85725</xdr:rowOff>
              </from>
              <to>
                <xdr:col>5</xdr:col>
                <xdr:colOff>0</xdr:colOff>
                <xdr:row>55</xdr:row>
                <xdr:rowOff>123825</xdr:rowOff>
              </to>
            </anchor>
          </objectPr>
        </oleObject>
      </mc:Choice>
      <mc:Fallback>
        <oleObject progId="Equation.3" shapeId="7170" r:id="rId6"/>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G138"/>
  <sheetViews>
    <sheetView showGridLines="0" view="pageBreakPreview" topLeftCell="H118" zoomScaleNormal="100" zoomScaleSheetLayoutView="100" workbookViewId="0">
      <selection activeCell="L124" sqref="L124:N124"/>
    </sheetView>
  </sheetViews>
  <sheetFormatPr baseColWidth="10" defaultColWidth="5.85546875" defaultRowHeight="15.75" customHeight="1" x14ac:dyDescent="0.25"/>
  <cols>
    <col min="1" max="1" width="5" style="81" customWidth="1"/>
    <col min="2" max="2" width="5.85546875" style="81"/>
    <col min="3" max="3" width="19.140625" style="81" customWidth="1"/>
    <col min="4" max="4" width="5.85546875" style="81"/>
    <col min="5" max="5" width="16" style="81" customWidth="1"/>
    <col min="6" max="6" width="6.85546875" style="81" customWidth="1"/>
    <col min="7" max="7" width="14.28515625" style="81" customWidth="1"/>
    <col min="8" max="8" width="19.5703125" style="81" customWidth="1"/>
    <col min="9" max="9" width="18.42578125" style="81" customWidth="1"/>
    <col min="10" max="10" width="16.42578125" style="81" customWidth="1"/>
    <col min="11" max="11" width="18.5703125" style="81" customWidth="1"/>
    <col min="12" max="12" width="11.7109375" style="81" customWidth="1"/>
    <col min="13" max="13" width="21.140625" style="81" customWidth="1"/>
    <col min="14" max="14" width="9.28515625" style="81" customWidth="1"/>
    <col min="15" max="15" width="4.7109375" style="81" hidden="1" customWidth="1"/>
    <col min="16" max="16" width="14.85546875" style="81" hidden="1" customWidth="1"/>
    <col min="17" max="17" width="10.7109375" style="81" hidden="1" customWidth="1"/>
    <col min="18" max="18" width="17.5703125" style="81" hidden="1" customWidth="1"/>
    <col min="19" max="19" width="5.85546875" style="81" hidden="1" customWidth="1"/>
    <col min="20" max="20" width="10" style="81" hidden="1" customWidth="1"/>
    <col min="21" max="21" width="13.28515625" style="81" hidden="1" customWidth="1"/>
    <col min="22" max="27" width="20.7109375" style="81" hidden="1" customWidth="1"/>
    <col min="28" max="28" width="18.28515625" style="81" hidden="1" customWidth="1"/>
    <col min="29" max="29" width="14.5703125" style="81" hidden="1" customWidth="1"/>
    <col min="30" max="30" width="15" style="81" hidden="1" customWidth="1"/>
    <col min="31" max="31" width="20.7109375" style="81" hidden="1" customWidth="1"/>
    <col min="32" max="43" width="20.7109375" style="81" customWidth="1"/>
    <col min="44" max="16384" width="5.85546875" style="81"/>
  </cols>
  <sheetData>
    <row r="1" spans="1:32" ht="15.75" customHeight="1" x14ac:dyDescent="0.25">
      <c r="A1" s="88" t="s">
        <v>0</v>
      </c>
      <c r="O1" s="88" t="s">
        <v>2</v>
      </c>
    </row>
    <row r="2" spans="1:32" ht="33" customHeight="1" x14ac:dyDescent="0.25">
      <c r="A2" s="88" t="s">
        <v>3</v>
      </c>
      <c r="B2" s="245" t="s">
        <v>88</v>
      </c>
      <c r="C2" s="246"/>
      <c r="D2" s="246"/>
      <c r="E2" s="246"/>
      <c r="F2" s="246"/>
      <c r="G2" s="246"/>
      <c r="H2" s="246"/>
      <c r="I2" s="246"/>
      <c r="J2" s="246"/>
      <c r="K2" s="246"/>
      <c r="L2" s="246"/>
      <c r="M2" s="246"/>
      <c r="N2" s="247"/>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12.75" x14ac:dyDescent="0.25">
      <c r="A4" s="88"/>
      <c r="B4" s="212" t="s">
        <v>207</v>
      </c>
      <c r="C4" s="212"/>
      <c r="D4" s="212"/>
      <c r="E4" s="212"/>
      <c r="F4" s="249" t="str">
        <f>'EVALUACIÓN EXPERIENCIA'!$G$3</f>
        <v>CONSORCIO MANTENIMIENTOS</v>
      </c>
      <c r="G4" s="249"/>
      <c r="H4" s="249"/>
      <c r="I4" s="249"/>
      <c r="J4" s="249"/>
      <c r="K4" s="249"/>
      <c r="L4" s="249"/>
      <c r="M4" s="249"/>
      <c r="N4" s="249"/>
      <c r="U4" s="89"/>
      <c r="Y4" s="89"/>
      <c r="Z4" s="89"/>
      <c r="AA4" s="89"/>
    </row>
    <row r="5" spans="1:32" ht="12.75" x14ac:dyDescent="0.25">
      <c r="A5" s="88"/>
      <c r="B5" s="165" t="s">
        <v>208</v>
      </c>
      <c r="C5" s="165"/>
      <c r="D5" s="165"/>
      <c r="E5" s="165"/>
      <c r="F5" s="165"/>
      <c r="G5" s="165"/>
      <c r="H5" s="165"/>
      <c r="I5" s="165"/>
      <c r="J5" s="165"/>
      <c r="K5" s="165"/>
      <c r="L5" s="165"/>
      <c r="M5" s="165"/>
      <c r="N5" s="165"/>
      <c r="U5" s="89"/>
      <c r="Y5" s="89"/>
      <c r="Z5" s="89"/>
      <c r="AA5" s="89"/>
    </row>
    <row r="6" spans="1:32" ht="54.75" customHeight="1" x14ac:dyDescent="0.25">
      <c r="A6" s="88"/>
      <c r="B6" s="199" t="s">
        <v>209</v>
      </c>
      <c r="C6" s="199"/>
      <c r="D6" s="199"/>
      <c r="E6" s="199"/>
      <c r="F6" s="199"/>
      <c r="G6" s="87" t="s">
        <v>90</v>
      </c>
      <c r="H6" s="87" t="s">
        <v>91</v>
      </c>
      <c r="I6" s="87" t="s">
        <v>92</v>
      </c>
      <c r="J6" s="87" t="s">
        <v>93</v>
      </c>
      <c r="K6" s="200" t="s">
        <v>94</v>
      </c>
      <c r="L6" s="200"/>
      <c r="M6" s="200" t="s">
        <v>95</v>
      </c>
      <c r="N6" s="200"/>
      <c r="U6" s="89"/>
      <c r="Y6" s="89"/>
      <c r="Z6" s="89"/>
      <c r="AA6" s="89"/>
    </row>
    <row r="7" spans="1:32" ht="12.75" x14ac:dyDescent="0.25">
      <c r="A7" s="88"/>
      <c r="B7" s="92">
        <v>1</v>
      </c>
      <c r="C7" s="201" t="str">
        <f>'EVALUACIÓN EXPERIENCIA'!$A$29</f>
        <v>Juan Pablo Dorado Martínez</v>
      </c>
      <c r="D7" s="202"/>
      <c r="E7" s="202"/>
      <c r="F7" s="203"/>
      <c r="G7" s="93">
        <f>'EVALUACIÓN EXPERIENCIA'!$H$29</f>
        <v>0.2</v>
      </c>
      <c r="H7" s="94">
        <v>6301341665</v>
      </c>
      <c r="I7" s="94">
        <v>3976034284</v>
      </c>
      <c r="J7" s="94">
        <v>296255314</v>
      </c>
      <c r="K7" s="204">
        <v>1</v>
      </c>
      <c r="L7" s="205"/>
      <c r="M7" s="206">
        <f>191336949+3278231559</f>
        <v>3469568508</v>
      </c>
      <c r="N7" s="207"/>
      <c r="U7" s="89"/>
      <c r="Y7" s="89"/>
      <c r="Z7" s="89"/>
      <c r="AA7" s="89"/>
    </row>
    <row r="8" spans="1:32" ht="12.75" x14ac:dyDescent="0.25">
      <c r="A8" s="88"/>
      <c r="B8" s="92">
        <v>2</v>
      </c>
      <c r="C8" s="201" t="str">
        <f>'EVALUACIÓN EXPERIENCIA'!$A$30</f>
        <v>Dorado Asociados SAS</v>
      </c>
      <c r="D8" s="202"/>
      <c r="E8" s="202"/>
      <c r="F8" s="203"/>
      <c r="G8" s="93">
        <f>'EVALUACIÓN EXPERIENCIA'!$H$30</f>
        <v>0.8</v>
      </c>
      <c r="H8" s="94">
        <v>6053978604</v>
      </c>
      <c r="I8" s="94">
        <v>3451886189</v>
      </c>
      <c r="J8" s="94">
        <v>565973324</v>
      </c>
      <c r="K8" s="208">
        <v>1</v>
      </c>
      <c r="L8" s="209"/>
      <c r="M8" s="206">
        <v>191336949</v>
      </c>
      <c r="N8" s="207"/>
      <c r="U8" s="89"/>
      <c r="Y8" s="89"/>
      <c r="Z8" s="89"/>
      <c r="AA8" s="89"/>
    </row>
    <row r="9" spans="1:32" ht="12.75" x14ac:dyDescent="0.25">
      <c r="A9" s="88"/>
      <c r="B9" s="90"/>
      <c r="C9" s="90"/>
      <c r="D9" s="90"/>
      <c r="E9" s="90"/>
      <c r="F9" s="90"/>
      <c r="G9" s="90"/>
      <c r="H9" s="90"/>
      <c r="I9" s="90"/>
      <c r="J9" s="90"/>
      <c r="K9" s="90"/>
      <c r="L9" s="90"/>
      <c r="M9" s="90"/>
      <c r="N9" s="90"/>
      <c r="U9" s="89"/>
      <c r="Y9" s="89"/>
      <c r="Z9" s="89"/>
      <c r="AA9" s="89"/>
    </row>
    <row r="10" spans="1:32" ht="15.75" customHeight="1" x14ac:dyDescent="0.25">
      <c r="A10" s="88"/>
      <c r="B10" s="165" t="str">
        <f>"CRP INTEGRANTE 1: "&amp;$C$7</f>
        <v>CRP INTEGRANTE 1: Juan Pablo Dorado Martínez</v>
      </c>
      <c r="C10" s="165"/>
      <c r="D10" s="165"/>
      <c r="E10" s="165"/>
      <c r="F10" s="165"/>
      <c r="G10" s="165"/>
      <c r="H10" s="165"/>
      <c r="I10" s="165"/>
      <c r="J10" s="165"/>
      <c r="K10" s="165"/>
      <c r="L10" s="166">
        <f>L69</f>
        <v>7872846489</v>
      </c>
      <c r="M10" s="165"/>
      <c r="N10" s="165"/>
      <c r="U10" s="89"/>
      <c r="Y10" s="89"/>
      <c r="Z10" s="89"/>
      <c r="AA10" s="89"/>
    </row>
    <row r="11" spans="1:32" ht="12.75" x14ac:dyDescent="0.25">
      <c r="A11" s="88"/>
      <c r="B11" s="165" t="str">
        <f>"CRP INTEGRANTE 2: "&amp;$C$8</f>
        <v>CRP INTEGRANTE 2: Dorado Asociados SAS</v>
      </c>
      <c r="C11" s="165"/>
      <c r="D11" s="165"/>
      <c r="E11" s="165"/>
      <c r="F11" s="165"/>
      <c r="G11" s="165"/>
      <c r="H11" s="165"/>
      <c r="I11" s="165"/>
      <c r="J11" s="165"/>
      <c r="K11" s="165"/>
      <c r="L11" s="166">
        <f>L120</f>
        <v>10705824538.200001</v>
      </c>
      <c r="M11" s="165"/>
      <c r="N11" s="165"/>
      <c r="U11" s="89"/>
      <c r="Y11" s="89"/>
      <c r="Z11" s="89"/>
      <c r="AA11" s="89"/>
    </row>
    <row r="12" spans="1:32" ht="15.75" customHeight="1" x14ac:dyDescent="0.25">
      <c r="B12" s="165" t="str">
        <f>"TOTAL CRP PROPONENTE: "&amp;$F$4</f>
        <v>TOTAL CRP PROPONENTE: CONSORCIO MANTENIMIENTOS</v>
      </c>
      <c r="C12" s="165"/>
      <c r="D12" s="165"/>
      <c r="E12" s="165"/>
      <c r="F12" s="165"/>
      <c r="G12" s="165"/>
      <c r="H12" s="165"/>
      <c r="I12" s="165"/>
      <c r="J12" s="165"/>
      <c r="K12" s="165"/>
      <c r="L12" s="167">
        <f>SUM(L10:N11)</f>
        <v>18578671027.200001</v>
      </c>
      <c r="M12" s="167"/>
      <c r="N12" s="167"/>
    </row>
    <row r="13" spans="1:32" ht="22.5" customHeight="1" x14ac:dyDescent="0.2">
      <c r="B13" s="183" t="str">
        <f>"CONDICIÓN DEL PROPONENTE: "&amp;$F$4</f>
        <v>CONDICIÓN DEL PROPONENTE: CONSORCIO MANTENIMIENTOS</v>
      </c>
      <c r="C13" s="184"/>
      <c r="D13" s="184"/>
      <c r="E13" s="184"/>
      <c r="F13" s="184"/>
      <c r="G13" s="184"/>
      <c r="H13" s="184"/>
      <c r="I13" s="184"/>
      <c r="J13" s="184"/>
      <c r="K13" s="185"/>
      <c r="L13" s="215" t="str">
        <f>IF(AND(IF(L122="CUMPLE",TRUE,FALSE),IF(L125="CUMPLE",TRUE,FALSE),IF(IF(L12&lt;I18,Q28,Q27)="CUMPLE",TRUE,FALSE))=TRUE,"CUMPLE",IF(OR(L122="",L125="")=TRUE,"PENDIENTE REVISIÓN","NO CUMPLE"))</f>
        <v>CUMPLE</v>
      </c>
      <c r="M13" s="215"/>
      <c r="N13" s="215"/>
      <c r="O13" s="96"/>
      <c r="P13" s="95"/>
      <c r="Q13" s="95"/>
      <c r="R13" s="95"/>
      <c r="S13" s="95"/>
      <c r="T13" s="95"/>
      <c r="U13" s="95"/>
      <c r="V13" s="95"/>
      <c r="W13" s="95"/>
      <c r="X13" s="95"/>
      <c r="Y13" s="95"/>
      <c r="Z13" s="89"/>
      <c r="AA13" s="89"/>
    </row>
    <row r="14" spans="1:32" ht="15.75" customHeight="1" x14ac:dyDescent="0.2">
      <c r="B14" s="64"/>
      <c r="C14" s="64"/>
      <c r="D14" s="64"/>
      <c r="E14" s="64"/>
      <c r="F14" s="64"/>
      <c r="G14" s="64"/>
      <c r="H14" s="64"/>
      <c r="I14" s="64"/>
      <c r="J14" s="64"/>
      <c r="K14" s="64"/>
      <c r="L14" s="64"/>
      <c r="M14" s="64"/>
      <c r="N14" s="64"/>
      <c r="O14" s="64"/>
      <c r="P14" s="64"/>
      <c r="Q14" s="64"/>
      <c r="R14" s="64"/>
      <c r="S14" s="64"/>
      <c r="T14" s="64"/>
      <c r="Z14" s="64"/>
      <c r="AA14" s="64"/>
      <c r="AB14" s="64"/>
      <c r="AC14" s="64"/>
      <c r="AD14" s="64"/>
      <c r="AE14" s="64"/>
      <c r="AF14" s="64"/>
    </row>
    <row r="15" spans="1:32" ht="15.75" customHeight="1" x14ac:dyDescent="0.2">
      <c r="B15" s="212" t="s">
        <v>96</v>
      </c>
      <c r="C15" s="212"/>
      <c r="D15" s="212"/>
      <c r="E15" s="212"/>
      <c r="F15" s="212"/>
      <c r="G15" s="212"/>
      <c r="H15" s="212"/>
      <c r="I15" s="212"/>
      <c r="J15" s="212"/>
      <c r="K15" s="212"/>
      <c r="L15" s="212"/>
      <c r="M15" s="212"/>
      <c r="N15" s="212"/>
      <c r="P15" s="97"/>
      <c r="Q15" s="97"/>
      <c r="R15" s="97"/>
      <c r="S15" s="97"/>
      <c r="T15" s="97"/>
      <c r="U15" s="97"/>
      <c r="V15" s="97"/>
      <c r="X15" s="98"/>
      <c r="Y15" s="98"/>
      <c r="Z15" s="64"/>
      <c r="AB15" s="64"/>
      <c r="AC15" s="64"/>
      <c r="AD15" s="64"/>
      <c r="AE15" s="64"/>
      <c r="AF15" s="64"/>
    </row>
    <row r="16" spans="1:32" ht="15.75" customHeight="1" x14ac:dyDescent="0.2">
      <c r="B16" s="212" t="s">
        <v>97</v>
      </c>
      <c r="C16" s="212"/>
      <c r="D16" s="212"/>
      <c r="E16" s="212"/>
      <c r="F16" s="212" t="s">
        <v>98</v>
      </c>
      <c r="G16" s="212"/>
      <c r="H16" s="91" t="s">
        <v>99</v>
      </c>
      <c r="I16" s="216" t="s">
        <v>100</v>
      </c>
      <c r="J16" s="216"/>
      <c r="K16" s="216"/>
      <c r="L16" s="216"/>
      <c r="M16" s="216"/>
      <c r="N16" s="216"/>
      <c r="P16" s="97"/>
      <c r="Q16" s="97"/>
      <c r="R16" s="97"/>
      <c r="S16" s="97"/>
      <c r="T16" s="97"/>
      <c r="U16" s="97"/>
      <c r="V16" s="97"/>
      <c r="X16" s="98"/>
      <c r="Y16" s="98"/>
      <c r="Z16" s="64"/>
      <c r="AB16" s="64"/>
      <c r="AC16" s="64"/>
      <c r="AD16" s="64"/>
      <c r="AE16" s="64"/>
      <c r="AF16" s="64"/>
    </row>
    <row r="17" spans="2:33" ht="15.75" customHeight="1" x14ac:dyDescent="0.2">
      <c r="B17" s="224">
        <f>+'EVALUACIÓN EXPERIENCIA'!D5</f>
        <v>724761029</v>
      </c>
      <c r="C17" s="224"/>
      <c r="D17" s="224"/>
      <c r="E17" s="224"/>
      <c r="F17" s="224">
        <f>+B17*25%</f>
        <v>181190257.25</v>
      </c>
      <c r="G17" s="224"/>
      <c r="H17" s="100">
        <v>3</v>
      </c>
      <c r="I17" s="250">
        <f>IFERROR(ROUND(((B17-F17)/H17)*12,0),0)</f>
        <v>2174283087</v>
      </c>
      <c r="J17" s="250"/>
      <c r="K17" s="250"/>
      <c r="L17" s="250"/>
      <c r="M17" s="250"/>
      <c r="N17" s="250"/>
      <c r="P17" s="96"/>
      <c r="Q17" s="96"/>
      <c r="R17" s="96"/>
      <c r="S17" s="96"/>
      <c r="T17" s="96"/>
      <c r="U17" s="96"/>
      <c r="V17" s="96"/>
      <c r="X17" s="98"/>
      <c r="Y17" s="98"/>
      <c r="Z17" s="64"/>
      <c r="AB17" s="64"/>
      <c r="AC17" s="64"/>
      <c r="AD17" s="64"/>
      <c r="AE17" s="64"/>
      <c r="AF17" s="64"/>
    </row>
    <row r="18" spans="2:33" ht="12.75" x14ac:dyDescent="0.2">
      <c r="B18" s="222" t="s">
        <v>101</v>
      </c>
      <c r="C18" s="222"/>
      <c r="D18" s="222"/>
      <c r="E18" s="222"/>
      <c r="F18" s="222"/>
      <c r="G18" s="222"/>
      <c r="H18" s="222"/>
      <c r="I18" s="167">
        <f>SUM(I17:N17)</f>
        <v>2174283087</v>
      </c>
      <c r="J18" s="167"/>
      <c r="K18" s="167"/>
      <c r="L18" s="167"/>
      <c r="M18" s="167"/>
      <c r="N18" s="167"/>
      <c r="P18" s="96"/>
      <c r="Q18" s="96"/>
      <c r="R18" s="96"/>
      <c r="S18" s="96"/>
      <c r="T18" s="96"/>
      <c r="U18" s="96"/>
      <c r="V18" s="96"/>
      <c r="X18" s="64"/>
      <c r="Y18" s="64"/>
      <c r="Z18" s="64"/>
      <c r="AB18" s="64"/>
      <c r="AC18" s="64"/>
      <c r="AD18" s="64"/>
      <c r="AE18" s="64"/>
      <c r="AF18" s="64"/>
    </row>
    <row r="19" spans="2:33" ht="15.75" customHeight="1" x14ac:dyDescent="0.2">
      <c r="B19" s="101"/>
      <c r="C19" s="101"/>
      <c r="D19" s="101"/>
      <c r="E19" s="101"/>
      <c r="F19" s="101"/>
      <c r="G19" s="101"/>
      <c r="H19" s="101"/>
      <c r="I19" s="102"/>
      <c r="J19" s="102"/>
      <c r="K19" s="102"/>
      <c r="L19" s="102"/>
      <c r="M19" s="102"/>
      <c r="N19" s="102"/>
      <c r="P19" s="64"/>
      <c r="Q19" s="64"/>
      <c r="R19" s="64"/>
      <c r="S19" s="64"/>
      <c r="T19" s="64"/>
      <c r="U19" s="64"/>
      <c r="V19" s="64"/>
      <c r="W19" s="64"/>
      <c r="X19" s="64"/>
      <c r="Y19" s="64"/>
      <c r="Z19" s="64"/>
      <c r="AA19" s="64"/>
      <c r="AB19" s="64"/>
      <c r="AC19" s="64"/>
      <c r="AD19" s="64"/>
      <c r="AE19" s="64"/>
      <c r="AF19" s="64"/>
    </row>
    <row r="20" spans="2:33" ht="15.75" customHeight="1" thickBot="1" x14ac:dyDescent="0.25">
      <c r="B20" s="180" t="str">
        <f>"INTEGRANTE 1: "&amp;$C$7</f>
        <v>INTEGRANTE 1: Juan Pablo Dorado Martínez</v>
      </c>
      <c r="C20" s="181"/>
      <c r="D20" s="181"/>
      <c r="E20" s="181"/>
      <c r="F20" s="181"/>
      <c r="G20" s="181"/>
      <c r="H20" s="181"/>
      <c r="I20" s="181"/>
      <c r="J20" s="181"/>
      <c r="K20" s="181"/>
      <c r="L20" s="181"/>
      <c r="M20" s="181"/>
      <c r="N20" s="182"/>
      <c r="P20" s="64"/>
      <c r="Q20" s="64"/>
      <c r="R20" s="64"/>
      <c r="S20" s="64"/>
      <c r="T20" s="64"/>
      <c r="U20" s="64"/>
      <c r="V20" s="64"/>
      <c r="W20" s="64"/>
      <c r="X20" s="64"/>
      <c r="Y20" s="64"/>
      <c r="Z20" s="64"/>
      <c r="AA20" s="64"/>
      <c r="AB20" s="64"/>
      <c r="AC20" s="64"/>
      <c r="AD20" s="64"/>
      <c r="AE20" s="64"/>
      <c r="AF20" s="64"/>
    </row>
    <row r="21" spans="2:33" ht="15.75" customHeight="1" thickBot="1" x14ac:dyDescent="0.3">
      <c r="B21" s="227" t="s">
        <v>102</v>
      </c>
      <c r="C21" s="227"/>
      <c r="D21" s="227"/>
      <c r="E21" s="227"/>
      <c r="F21" s="227"/>
      <c r="G21" s="227"/>
      <c r="H21" s="227"/>
      <c r="I21" s="228">
        <f>$G$7</f>
        <v>0.2</v>
      </c>
      <c r="J21" s="228"/>
      <c r="K21" s="228"/>
      <c r="L21" s="228"/>
      <c r="M21" s="228"/>
      <c r="N21" s="228"/>
      <c r="T21" s="231" t="s">
        <v>108</v>
      </c>
      <c r="U21" s="231"/>
      <c r="V21" s="232" t="str">
        <f>B20</f>
        <v>INTEGRANTE 1: Juan Pablo Dorado Martínez</v>
      </c>
      <c r="W21" s="233"/>
      <c r="X21" s="233"/>
      <c r="Y21" s="233"/>
      <c r="Z21" s="233"/>
      <c r="AA21" s="234"/>
    </row>
    <row r="22" spans="2:33" ht="15.75" customHeight="1" thickBot="1" x14ac:dyDescent="0.3">
      <c r="B22" s="212" t="s">
        <v>103</v>
      </c>
      <c r="C22" s="212"/>
      <c r="D22" s="212"/>
      <c r="E22" s="212"/>
      <c r="F22" s="212"/>
      <c r="G22" s="212"/>
      <c r="H22" s="212" t="s">
        <v>104</v>
      </c>
      <c r="I22" s="212"/>
      <c r="J22" s="212"/>
      <c r="K22" s="212"/>
      <c r="L22" s="212"/>
      <c r="M22" s="212"/>
      <c r="N22" s="91" t="s">
        <v>105</v>
      </c>
      <c r="Q22" s="103" t="s">
        <v>210</v>
      </c>
      <c r="T22" s="104" t="s">
        <v>111</v>
      </c>
      <c r="U22" s="105">
        <v>45614</v>
      </c>
      <c r="AA22" s="106"/>
      <c r="AC22" s="107"/>
      <c r="AE22" s="107"/>
    </row>
    <row r="23" spans="2:33" ht="13.5" thickBot="1" x14ac:dyDescent="0.3">
      <c r="B23" s="186"/>
      <c r="C23" s="187"/>
      <c r="D23" s="187"/>
      <c r="E23" s="187"/>
      <c r="F23" s="187"/>
      <c r="G23" s="188"/>
      <c r="H23" s="217" t="s">
        <v>106</v>
      </c>
      <c r="I23" s="217"/>
      <c r="J23" s="217"/>
      <c r="K23" s="217"/>
      <c r="L23" s="217"/>
      <c r="M23" s="217"/>
      <c r="N23" s="79">
        <v>120</v>
      </c>
      <c r="Q23" s="108">
        <v>1750905</v>
      </c>
      <c r="T23" s="109"/>
      <c r="U23" s="110"/>
      <c r="Y23" s="106"/>
      <c r="AA23" s="107"/>
      <c r="AB23" s="111"/>
      <c r="AE23" s="107"/>
    </row>
    <row r="24" spans="2:33" ht="12.75" x14ac:dyDescent="0.25">
      <c r="B24" s="189"/>
      <c r="C24" s="190"/>
      <c r="D24" s="190"/>
      <c r="E24" s="190"/>
      <c r="F24" s="190"/>
      <c r="G24" s="191"/>
      <c r="H24" s="217" t="s">
        <v>107</v>
      </c>
      <c r="I24" s="217"/>
      <c r="J24" s="217"/>
      <c r="K24" s="217"/>
      <c r="L24" s="217"/>
      <c r="M24" s="217"/>
      <c r="N24" s="79">
        <v>40</v>
      </c>
      <c r="Q24" s="112"/>
      <c r="T24" s="229" t="s">
        <v>113</v>
      </c>
      <c r="U24" s="225" t="s">
        <v>114</v>
      </c>
      <c r="V24" s="225" t="s">
        <v>115</v>
      </c>
      <c r="W24" s="225" t="s">
        <v>116</v>
      </c>
      <c r="X24" s="225" t="s">
        <v>117</v>
      </c>
      <c r="Y24" s="225" t="s">
        <v>118</v>
      </c>
      <c r="Z24" s="225" t="s">
        <v>119</v>
      </c>
      <c r="AA24" s="225" t="s">
        <v>120</v>
      </c>
      <c r="AB24" s="225" t="s">
        <v>121</v>
      </c>
      <c r="AC24" s="225" t="s">
        <v>122</v>
      </c>
      <c r="AD24" s="225" t="s">
        <v>123</v>
      </c>
      <c r="AE24" s="225" t="s">
        <v>124</v>
      </c>
    </row>
    <row r="25" spans="2:33" ht="13.5" thickBot="1" x14ac:dyDescent="0.3">
      <c r="B25" s="189"/>
      <c r="C25" s="190"/>
      <c r="D25" s="190"/>
      <c r="E25" s="190"/>
      <c r="F25" s="190"/>
      <c r="G25" s="191"/>
      <c r="H25" s="217" t="s">
        <v>109</v>
      </c>
      <c r="I25" s="217"/>
      <c r="J25" s="217"/>
      <c r="K25" s="217"/>
      <c r="L25" s="217"/>
      <c r="M25" s="217"/>
      <c r="N25" s="79">
        <v>40</v>
      </c>
      <c r="O25" s="119"/>
      <c r="Q25" s="112"/>
      <c r="T25" s="230"/>
      <c r="U25" s="226"/>
      <c r="V25" s="226"/>
      <c r="W25" s="226"/>
      <c r="X25" s="226"/>
      <c r="Y25" s="226"/>
      <c r="Z25" s="226"/>
      <c r="AA25" s="226"/>
      <c r="AB25" s="226"/>
      <c r="AC25" s="226"/>
      <c r="AD25" s="226"/>
      <c r="AE25" s="226"/>
    </row>
    <row r="26" spans="2:33" ht="15.75" customHeight="1" thickBot="1" x14ac:dyDescent="0.3">
      <c r="B26" s="192"/>
      <c r="C26" s="193"/>
      <c r="D26" s="193"/>
      <c r="E26" s="193"/>
      <c r="F26" s="193"/>
      <c r="G26" s="194"/>
      <c r="H26" s="212" t="s">
        <v>44</v>
      </c>
      <c r="I26" s="212"/>
      <c r="J26" s="212"/>
      <c r="K26" s="212"/>
      <c r="L26" s="212"/>
      <c r="M26" s="212"/>
      <c r="N26" s="79">
        <f>SUM(N23:N25)</f>
        <v>200</v>
      </c>
      <c r="O26" s="119"/>
      <c r="T26" s="113">
        <v>1</v>
      </c>
      <c r="U26" s="113" t="s">
        <v>128</v>
      </c>
      <c r="V26" s="114">
        <v>44995</v>
      </c>
      <c r="W26" s="114">
        <v>45545</v>
      </c>
      <c r="X26" s="114">
        <v>45475</v>
      </c>
      <c r="Y26" s="115">
        <f>2195389085</f>
        <v>2195389085</v>
      </c>
      <c r="Z26" s="116">
        <v>0.9</v>
      </c>
      <c r="AA26" s="117">
        <f>Y26*Z26</f>
        <v>1975850176.5</v>
      </c>
      <c r="AB26" s="118">
        <f>DAYS360(V26,W26)</f>
        <v>540</v>
      </c>
      <c r="AC26" s="118">
        <f>IF(X26&gt;$R$45,(X26-V26),($U$22-V26))</f>
        <v>480</v>
      </c>
      <c r="AD26" s="118">
        <f t="shared" ref="AD26:AD69" si="0">IF((AB26-AC26)&gt;$P$28,$P$28,(AB26-AC26))</f>
        <v>60</v>
      </c>
      <c r="AE26" s="117">
        <f>ROUND((AA26/AB26)*AD26,0)</f>
        <v>219538909</v>
      </c>
    </row>
    <row r="27" spans="2:33" ht="15.75" customHeight="1" thickBot="1" x14ac:dyDescent="0.3">
      <c r="B27" s="218" t="s">
        <v>112</v>
      </c>
      <c r="C27" s="218"/>
      <c r="D27" s="218"/>
      <c r="E27" s="218"/>
      <c r="F27" s="218"/>
      <c r="G27" s="218"/>
      <c r="H27" s="218"/>
      <c r="I27" s="218"/>
      <c r="J27" s="218"/>
      <c r="K27" s="218"/>
      <c r="L27" s="218"/>
      <c r="M27" s="218"/>
      <c r="N27" s="218"/>
      <c r="O27" s="119"/>
      <c r="P27" s="99" t="s">
        <v>130</v>
      </c>
      <c r="Q27" s="99" t="s">
        <v>0</v>
      </c>
      <c r="R27" s="99" t="s">
        <v>131</v>
      </c>
      <c r="T27" s="113">
        <f>T26+1</f>
        <v>2</v>
      </c>
      <c r="U27" s="113" t="s">
        <v>132</v>
      </c>
      <c r="V27" s="114">
        <v>45229</v>
      </c>
      <c r="W27" s="114">
        <f>U22+81</f>
        <v>45695</v>
      </c>
      <c r="X27" s="114"/>
      <c r="Y27" s="115">
        <v>5625559703</v>
      </c>
      <c r="Z27" s="116">
        <v>1</v>
      </c>
      <c r="AA27" s="117">
        <f t="shared" ref="AA27:AA69" si="1">Y27*Z27</f>
        <v>5625559703</v>
      </c>
      <c r="AB27" s="118">
        <f>DAYS360(V27,W27)</f>
        <v>457</v>
      </c>
      <c r="AC27" s="118">
        <f>IF(X27&gt;$R$45,(X27-V27),($U$22-V27))</f>
        <v>385</v>
      </c>
      <c r="AD27" s="118">
        <f t="shared" si="0"/>
        <v>72</v>
      </c>
      <c r="AE27" s="120">
        <v>886496604</v>
      </c>
      <c r="AG27" s="111"/>
    </row>
    <row r="28" spans="2:33" ht="13.5" thickBot="1" x14ac:dyDescent="0.3">
      <c r="B28" s="174" t="s">
        <v>125</v>
      </c>
      <c r="C28" s="175"/>
      <c r="D28" s="175"/>
      <c r="E28" s="175"/>
      <c r="F28" s="175"/>
      <c r="G28" s="175"/>
      <c r="H28" s="176"/>
      <c r="I28" s="171" t="s">
        <v>126</v>
      </c>
      <c r="J28" s="172"/>
      <c r="K28" s="172"/>
      <c r="L28" s="172"/>
      <c r="M28" s="172"/>
      <c r="N28" s="173"/>
      <c r="P28" s="79">
        <v>360</v>
      </c>
      <c r="Q28" s="79" t="s">
        <v>3</v>
      </c>
      <c r="R28" s="79">
        <v>12</v>
      </c>
      <c r="T28" s="113">
        <f t="shared" ref="T28:T69" si="2">T27+1</f>
        <v>3</v>
      </c>
      <c r="U28" s="113" t="s">
        <v>134</v>
      </c>
      <c r="V28" s="114">
        <v>45245</v>
      </c>
      <c r="W28" s="114">
        <v>45762</v>
      </c>
      <c r="X28" s="114"/>
      <c r="Y28" s="115">
        <v>9378471365.0200005</v>
      </c>
      <c r="Z28" s="116">
        <v>0.7</v>
      </c>
      <c r="AA28" s="117">
        <f t="shared" si="1"/>
        <v>6564929955.5139999</v>
      </c>
      <c r="AB28" s="118">
        <f>DAYS360(V28,W28)</f>
        <v>510</v>
      </c>
      <c r="AC28" s="118">
        <f>IF(X28&gt;$R$45,(X28-V28),($U$22-V28))</f>
        <v>369</v>
      </c>
      <c r="AD28" s="118">
        <f t="shared" si="0"/>
        <v>141</v>
      </c>
      <c r="AE28" s="117">
        <f t="shared" ref="AE28:AE69" si="3">ROUND((AA28/AB28)*AD28,0)</f>
        <v>1815010047</v>
      </c>
      <c r="AG28" s="111"/>
    </row>
    <row r="29" spans="2:33" ht="15.75" customHeight="1" thickBot="1" x14ac:dyDescent="0.3">
      <c r="B29" s="177" t="s">
        <v>127</v>
      </c>
      <c r="C29" s="178"/>
      <c r="D29" s="178"/>
      <c r="E29" s="178"/>
      <c r="F29" s="178"/>
      <c r="G29" s="178"/>
      <c r="H29" s="179"/>
      <c r="I29" s="168">
        <f>IF($H$7&gt;$R$31,$H$7,$R$31)</f>
        <v>6301341665</v>
      </c>
      <c r="J29" s="169"/>
      <c r="K29" s="169"/>
      <c r="L29" s="169"/>
      <c r="M29" s="169"/>
      <c r="N29" s="170"/>
      <c r="T29" s="113">
        <f t="shared" si="2"/>
        <v>4</v>
      </c>
      <c r="U29" s="113" t="s">
        <v>138</v>
      </c>
      <c r="V29" s="114"/>
      <c r="W29" s="114">
        <f t="shared" ref="W29:W69" si="4">W28</f>
        <v>45762</v>
      </c>
      <c r="X29" s="114"/>
      <c r="Y29" s="115">
        <v>0</v>
      </c>
      <c r="Z29" s="116">
        <v>1</v>
      </c>
      <c r="AA29" s="117">
        <f t="shared" si="1"/>
        <v>0</v>
      </c>
      <c r="AB29" s="118">
        <f t="shared" ref="AB29:AB69" si="5">DAYS360(V29,W29)+1</f>
        <v>45106</v>
      </c>
      <c r="AC29" s="118">
        <f t="shared" ref="AC29:AC69" si="6">IF(X29&gt;$R$45,(X29-V29)+1,($U$22-V29)+1)</f>
        <v>45615</v>
      </c>
      <c r="AD29" s="118">
        <f t="shared" si="0"/>
        <v>-509</v>
      </c>
      <c r="AE29" s="117">
        <f t="shared" si="3"/>
        <v>0</v>
      </c>
    </row>
    <row r="30" spans="2:33" ht="15.75" customHeight="1" thickBot="1" x14ac:dyDescent="0.3">
      <c r="B30" s="219" t="s">
        <v>129</v>
      </c>
      <c r="C30" s="219"/>
      <c r="D30" s="219"/>
      <c r="E30" s="219"/>
      <c r="F30" s="219"/>
      <c r="G30" s="219"/>
      <c r="H30" s="219"/>
      <c r="I30" s="219"/>
      <c r="J30" s="219"/>
      <c r="K30" s="219"/>
      <c r="L30" s="219"/>
      <c r="M30" s="219"/>
      <c r="N30" s="219"/>
      <c r="P30" s="99" t="s">
        <v>139</v>
      </c>
      <c r="Q30" s="99" t="s">
        <v>140</v>
      </c>
      <c r="R30" s="99" t="s">
        <v>141</v>
      </c>
      <c r="T30" s="113">
        <f t="shared" si="2"/>
        <v>5</v>
      </c>
      <c r="U30" s="113" t="s">
        <v>142</v>
      </c>
      <c r="V30" s="114"/>
      <c r="W30" s="114">
        <f t="shared" si="4"/>
        <v>45762</v>
      </c>
      <c r="X30" s="114"/>
      <c r="Y30" s="115">
        <v>0</v>
      </c>
      <c r="Z30" s="116">
        <v>1</v>
      </c>
      <c r="AA30" s="117">
        <f t="shared" si="1"/>
        <v>0</v>
      </c>
      <c r="AB30" s="118">
        <f t="shared" si="5"/>
        <v>45106</v>
      </c>
      <c r="AC30" s="118">
        <f t="shared" si="6"/>
        <v>45615</v>
      </c>
      <c r="AD30" s="118">
        <f t="shared" si="0"/>
        <v>-509</v>
      </c>
      <c r="AE30" s="117">
        <f t="shared" si="3"/>
        <v>0</v>
      </c>
    </row>
    <row r="31" spans="2:33" ht="15.75" customHeight="1" thickBot="1" x14ac:dyDescent="0.3">
      <c r="B31" s="212" t="s">
        <v>133</v>
      </c>
      <c r="C31" s="212"/>
      <c r="D31" s="212"/>
      <c r="E31" s="212"/>
      <c r="F31" s="212"/>
      <c r="G31" s="212"/>
      <c r="H31" s="212"/>
      <c r="I31" s="212"/>
      <c r="J31" s="212"/>
      <c r="K31" s="212"/>
      <c r="L31" s="212"/>
      <c r="M31" s="212"/>
      <c r="N31" s="212"/>
      <c r="P31" s="121">
        <v>125000</v>
      </c>
      <c r="Q31" s="108">
        <f>533287768/P31</f>
        <v>4266.3021440000002</v>
      </c>
      <c r="R31" s="108">
        <f>ROUNDUP(P31*Q31,-3)</f>
        <v>533288000</v>
      </c>
      <c r="T31" s="113">
        <f t="shared" si="2"/>
        <v>6</v>
      </c>
      <c r="U31" s="113" t="s">
        <v>143</v>
      </c>
      <c r="V31" s="114"/>
      <c r="W31" s="114">
        <f t="shared" si="4"/>
        <v>45762</v>
      </c>
      <c r="X31" s="114"/>
      <c r="Y31" s="115">
        <v>0</v>
      </c>
      <c r="Z31" s="116">
        <v>1</v>
      </c>
      <c r="AA31" s="117">
        <f t="shared" si="1"/>
        <v>0</v>
      </c>
      <c r="AB31" s="118">
        <f t="shared" si="5"/>
        <v>45106</v>
      </c>
      <c r="AC31" s="118">
        <f t="shared" si="6"/>
        <v>45615</v>
      </c>
      <c r="AD31" s="118">
        <f t="shared" si="0"/>
        <v>-509</v>
      </c>
      <c r="AE31" s="117">
        <f t="shared" si="3"/>
        <v>0</v>
      </c>
    </row>
    <row r="32" spans="2:33" ht="15.75" customHeight="1" thickBot="1" x14ac:dyDescent="0.25">
      <c r="B32" s="122" t="s">
        <v>135</v>
      </c>
      <c r="C32" s="160" t="s">
        <v>136</v>
      </c>
      <c r="D32" s="122" t="s">
        <v>135</v>
      </c>
      <c r="E32" s="160" t="s">
        <v>136</v>
      </c>
      <c r="F32" s="122" t="s">
        <v>135</v>
      </c>
      <c r="G32" s="160" t="s">
        <v>136</v>
      </c>
      <c r="H32" s="122" t="s">
        <v>135</v>
      </c>
      <c r="I32" s="160" t="s">
        <v>136</v>
      </c>
      <c r="J32" s="122" t="s">
        <v>135</v>
      </c>
      <c r="K32" s="160" t="s">
        <v>136</v>
      </c>
      <c r="L32" s="122" t="s">
        <v>135</v>
      </c>
      <c r="M32" s="160" t="s">
        <v>136</v>
      </c>
      <c r="N32" s="195" t="s">
        <v>137</v>
      </c>
      <c r="Q32" s="81" t="s">
        <v>144</v>
      </c>
      <c r="T32" s="113">
        <f t="shared" si="2"/>
        <v>7</v>
      </c>
      <c r="U32" s="113" t="s">
        <v>145</v>
      </c>
      <c r="V32" s="114"/>
      <c r="W32" s="114">
        <f t="shared" si="4"/>
        <v>45762</v>
      </c>
      <c r="X32" s="114"/>
      <c r="Y32" s="115">
        <v>0</v>
      </c>
      <c r="Z32" s="116">
        <v>1</v>
      </c>
      <c r="AA32" s="117">
        <f t="shared" si="1"/>
        <v>0</v>
      </c>
      <c r="AB32" s="118">
        <f t="shared" si="5"/>
        <v>45106</v>
      </c>
      <c r="AC32" s="118">
        <f t="shared" si="6"/>
        <v>45615</v>
      </c>
      <c r="AD32" s="118">
        <f t="shared" si="0"/>
        <v>-509</v>
      </c>
      <c r="AE32" s="117">
        <f t="shared" si="3"/>
        <v>0</v>
      </c>
    </row>
    <row r="33" spans="2:31" ht="15.75" customHeight="1" thickBot="1" x14ac:dyDescent="0.25">
      <c r="B33" s="123">
        <v>1</v>
      </c>
      <c r="C33" s="159">
        <v>31.53</v>
      </c>
      <c r="D33" s="123">
        <v>22</v>
      </c>
      <c r="E33" s="159">
        <v>96.103999999999999</v>
      </c>
      <c r="F33" s="123">
        <v>43</v>
      </c>
      <c r="G33" s="158">
        <v>248.77</v>
      </c>
      <c r="H33" s="123">
        <v>64</v>
      </c>
      <c r="I33" s="158">
        <v>1999.01</v>
      </c>
      <c r="J33" s="123">
        <v>85</v>
      </c>
      <c r="K33" s="158">
        <v>653.52499999999998</v>
      </c>
      <c r="L33" s="123">
        <v>106</v>
      </c>
      <c r="M33" s="158">
        <v>378.91</v>
      </c>
      <c r="N33" s="196"/>
      <c r="P33" s="212" t="s">
        <v>146</v>
      </c>
      <c r="Q33" s="212"/>
      <c r="R33" s="99" t="s">
        <v>147</v>
      </c>
      <c r="T33" s="113">
        <f t="shared" si="2"/>
        <v>8</v>
      </c>
      <c r="U33" s="113" t="s">
        <v>148</v>
      </c>
      <c r="V33" s="114"/>
      <c r="W33" s="114">
        <f t="shared" si="4"/>
        <v>45762</v>
      </c>
      <c r="X33" s="114"/>
      <c r="Y33" s="115">
        <v>0</v>
      </c>
      <c r="Z33" s="116">
        <v>1</v>
      </c>
      <c r="AA33" s="117">
        <f t="shared" si="1"/>
        <v>0</v>
      </c>
      <c r="AB33" s="118">
        <f t="shared" si="5"/>
        <v>45106</v>
      </c>
      <c r="AC33" s="118">
        <f t="shared" si="6"/>
        <v>45615</v>
      </c>
      <c r="AD33" s="118">
        <f t="shared" si="0"/>
        <v>-509</v>
      </c>
      <c r="AE33" s="117">
        <f t="shared" si="3"/>
        <v>0</v>
      </c>
    </row>
    <row r="34" spans="2:31" ht="15.75" customHeight="1" thickBot="1" x14ac:dyDescent="0.25">
      <c r="B34" s="123">
        <f>+B33+1</f>
        <v>2</v>
      </c>
      <c r="C34" s="159">
        <v>556.94000000000005</v>
      </c>
      <c r="D34" s="123">
        <f>+D33+1</f>
        <v>23</v>
      </c>
      <c r="E34" s="159">
        <v>167.77599999999998</v>
      </c>
      <c r="F34" s="123">
        <f>+F33+1</f>
        <v>44</v>
      </c>
      <c r="G34" s="158">
        <v>2669.46</v>
      </c>
      <c r="H34" s="123">
        <f>+H33+1</f>
        <v>65</v>
      </c>
      <c r="I34" s="158">
        <v>299.41000000000003</v>
      </c>
      <c r="J34" s="123">
        <f>+J33+1</f>
        <v>86</v>
      </c>
      <c r="K34" s="158">
        <v>155.84</v>
      </c>
      <c r="L34" s="123">
        <f>+L33+1</f>
        <v>107</v>
      </c>
      <c r="M34" s="158">
        <v>35.01</v>
      </c>
      <c r="N34" s="196"/>
      <c r="P34" s="79">
        <v>0</v>
      </c>
      <c r="Q34" s="79">
        <v>3</v>
      </c>
      <c r="R34" s="79">
        <v>60</v>
      </c>
      <c r="T34" s="113">
        <f t="shared" si="2"/>
        <v>9</v>
      </c>
      <c r="U34" s="113" t="s">
        <v>149</v>
      </c>
      <c r="V34" s="114"/>
      <c r="W34" s="114">
        <f t="shared" si="4"/>
        <v>45762</v>
      </c>
      <c r="X34" s="114"/>
      <c r="Y34" s="115">
        <v>0</v>
      </c>
      <c r="Z34" s="116">
        <v>1</v>
      </c>
      <c r="AA34" s="117">
        <f t="shared" si="1"/>
        <v>0</v>
      </c>
      <c r="AB34" s="118">
        <f t="shared" si="5"/>
        <v>45106</v>
      </c>
      <c r="AC34" s="118">
        <f t="shared" si="6"/>
        <v>45615</v>
      </c>
      <c r="AD34" s="118">
        <f t="shared" si="0"/>
        <v>-509</v>
      </c>
      <c r="AE34" s="117">
        <f t="shared" si="3"/>
        <v>0</v>
      </c>
    </row>
    <row r="35" spans="2:31" ht="15.75" customHeight="1" thickBot="1" x14ac:dyDescent="0.25">
      <c r="B35" s="123">
        <f t="shared" ref="B35:B53" si="7">+B34+1</f>
        <v>3</v>
      </c>
      <c r="C35" s="159">
        <v>225.61</v>
      </c>
      <c r="D35" s="123">
        <f t="shared" ref="D35:L53" si="8">+D34+1</f>
        <v>24</v>
      </c>
      <c r="E35" s="159">
        <v>144.91</v>
      </c>
      <c r="F35" s="123">
        <f t="shared" si="8"/>
        <v>45</v>
      </c>
      <c r="G35" s="158">
        <v>425.4</v>
      </c>
      <c r="H35" s="123">
        <f t="shared" si="8"/>
        <v>66</v>
      </c>
      <c r="I35" s="158">
        <v>110.961</v>
      </c>
      <c r="J35" s="123">
        <f t="shared" si="8"/>
        <v>87</v>
      </c>
      <c r="K35" s="158">
        <v>148.1</v>
      </c>
      <c r="L35" s="123">
        <f t="shared" si="8"/>
        <v>108</v>
      </c>
      <c r="M35" s="158">
        <v>2239.73</v>
      </c>
      <c r="N35" s="196"/>
      <c r="P35" s="79">
        <v>3</v>
      </c>
      <c r="Q35" s="79">
        <v>6</v>
      </c>
      <c r="R35" s="79">
        <v>80</v>
      </c>
      <c r="T35" s="113">
        <f t="shared" si="2"/>
        <v>10</v>
      </c>
      <c r="U35" s="113" t="s">
        <v>150</v>
      </c>
      <c r="V35" s="114"/>
      <c r="W35" s="114">
        <f t="shared" si="4"/>
        <v>45762</v>
      </c>
      <c r="X35" s="114"/>
      <c r="Y35" s="115">
        <v>0</v>
      </c>
      <c r="Z35" s="116">
        <v>1</v>
      </c>
      <c r="AA35" s="117">
        <f t="shared" si="1"/>
        <v>0</v>
      </c>
      <c r="AB35" s="118">
        <f t="shared" si="5"/>
        <v>45106</v>
      </c>
      <c r="AC35" s="118">
        <f t="shared" si="6"/>
        <v>45615</v>
      </c>
      <c r="AD35" s="118">
        <f t="shared" si="0"/>
        <v>-509</v>
      </c>
      <c r="AE35" s="117">
        <f t="shared" si="3"/>
        <v>0</v>
      </c>
    </row>
    <row r="36" spans="2:31" ht="15.75" customHeight="1" thickBot="1" x14ac:dyDescent="0.25">
      <c r="B36" s="123">
        <f t="shared" si="7"/>
        <v>4</v>
      </c>
      <c r="C36" s="159">
        <v>157.97</v>
      </c>
      <c r="D36" s="123">
        <f t="shared" si="8"/>
        <v>25</v>
      </c>
      <c r="E36" s="159">
        <v>76.64</v>
      </c>
      <c r="F36" s="123">
        <f t="shared" si="8"/>
        <v>46</v>
      </c>
      <c r="G36" s="158">
        <v>172.91049999999998</v>
      </c>
      <c r="H36" s="123">
        <f t="shared" si="8"/>
        <v>67</v>
      </c>
      <c r="I36" s="158">
        <v>42.234000000000002</v>
      </c>
      <c r="J36" s="123">
        <f t="shared" si="8"/>
        <v>88</v>
      </c>
      <c r="K36" s="158">
        <v>144.9</v>
      </c>
      <c r="L36" s="123">
        <f t="shared" si="8"/>
        <v>109</v>
      </c>
      <c r="M36" s="158">
        <v>183.74020000000002</v>
      </c>
      <c r="N36" s="196"/>
      <c r="P36" s="79">
        <v>6</v>
      </c>
      <c r="Q36" s="79">
        <v>10</v>
      </c>
      <c r="R36" s="79">
        <v>100</v>
      </c>
      <c r="T36" s="113">
        <f t="shared" si="2"/>
        <v>11</v>
      </c>
      <c r="U36" s="113" t="s">
        <v>151</v>
      </c>
      <c r="V36" s="114"/>
      <c r="W36" s="114">
        <f t="shared" si="4"/>
        <v>45762</v>
      </c>
      <c r="X36" s="114"/>
      <c r="Y36" s="115">
        <v>0</v>
      </c>
      <c r="Z36" s="116">
        <v>1</v>
      </c>
      <c r="AA36" s="117">
        <f t="shared" si="1"/>
        <v>0</v>
      </c>
      <c r="AB36" s="118">
        <f t="shared" si="5"/>
        <v>45106</v>
      </c>
      <c r="AC36" s="118">
        <f t="shared" si="6"/>
        <v>45615</v>
      </c>
      <c r="AD36" s="118">
        <f t="shared" si="0"/>
        <v>-509</v>
      </c>
      <c r="AE36" s="117">
        <f t="shared" si="3"/>
        <v>0</v>
      </c>
    </row>
    <row r="37" spans="2:31" ht="15.75" customHeight="1" thickBot="1" x14ac:dyDescent="0.25">
      <c r="B37" s="123">
        <f t="shared" si="7"/>
        <v>5</v>
      </c>
      <c r="C37" s="159">
        <v>63.48</v>
      </c>
      <c r="D37" s="123">
        <f t="shared" si="8"/>
        <v>26</v>
      </c>
      <c r="E37" s="159">
        <v>10.925000000000001</v>
      </c>
      <c r="F37" s="123">
        <f t="shared" si="8"/>
        <v>47</v>
      </c>
      <c r="G37" s="158">
        <v>3599.5340999999999</v>
      </c>
      <c r="H37" s="123">
        <f t="shared" si="8"/>
        <v>68</v>
      </c>
      <c r="I37" s="158">
        <v>1735.86</v>
      </c>
      <c r="J37" s="123">
        <f t="shared" si="8"/>
        <v>89</v>
      </c>
      <c r="K37" s="158">
        <v>56.19</v>
      </c>
      <c r="L37" s="123">
        <f t="shared" si="8"/>
        <v>110</v>
      </c>
      <c r="M37" s="158">
        <v>123.78</v>
      </c>
      <c r="N37" s="196"/>
      <c r="P37" s="79">
        <v>10</v>
      </c>
      <c r="Q37" s="79"/>
      <c r="R37" s="79">
        <v>120</v>
      </c>
      <c r="T37" s="113">
        <f t="shared" si="2"/>
        <v>12</v>
      </c>
      <c r="U37" s="113" t="s">
        <v>152</v>
      </c>
      <c r="V37" s="114"/>
      <c r="W37" s="114">
        <f t="shared" si="4"/>
        <v>45762</v>
      </c>
      <c r="X37" s="114"/>
      <c r="Y37" s="115">
        <v>0</v>
      </c>
      <c r="Z37" s="116">
        <v>1</v>
      </c>
      <c r="AA37" s="117">
        <f t="shared" si="1"/>
        <v>0</v>
      </c>
      <c r="AB37" s="118">
        <f t="shared" si="5"/>
        <v>45106</v>
      </c>
      <c r="AC37" s="118">
        <f t="shared" si="6"/>
        <v>45615</v>
      </c>
      <c r="AD37" s="118">
        <f t="shared" si="0"/>
        <v>-509</v>
      </c>
      <c r="AE37" s="117">
        <f t="shared" si="3"/>
        <v>0</v>
      </c>
    </row>
    <row r="38" spans="2:31" ht="15.75" customHeight="1" thickBot="1" x14ac:dyDescent="0.25">
      <c r="B38" s="123">
        <f t="shared" si="7"/>
        <v>6</v>
      </c>
      <c r="C38" s="159">
        <v>105.44</v>
      </c>
      <c r="D38" s="123">
        <f t="shared" si="8"/>
        <v>27</v>
      </c>
      <c r="E38" s="159">
        <v>304.39</v>
      </c>
      <c r="F38" s="123">
        <f t="shared" si="8"/>
        <v>48</v>
      </c>
      <c r="G38" s="158">
        <v>17.611000000000001</v>
      </c>
      <c r="H38" s="123">
        <f t="shared" si="8"/>
        <v>69</v>
      </c>
      <c r="I38" s="158">
        <v>267.54000000000002</v>
      </c>
      <c r="J38" s="123">
        <f t="shared" si="8"/>
        <v>90</v>
      </c>
      <c r="K38" s="158">
        <v>98.43</v>
      </c>
      <c r="L38" s="123">
        <f t="shared" si="8"/>
        <v>111</v>
      </c>
      <c r="M38" s="158">
        <v>101.80239999999999</v>
      </c>
      <c r="N38" s="196"/>
      <c r="P38" s="212" t="s">
        <v>153</v>
      </c>
      <c r="Q38" s="212"/>
      <c r="R38" s="99" t="s">
        <v>147</v>
      </c>
      <c r="T38" s="113">
        <f t="shared" si="2"/>
        <v>13</v>
      </c>
      <c r="U38" s="113" t="s">
        <v>154</v>
      </c>
      <c r="V38" s="114"/>
      <c r="W38" s="114">
        <f t="shared" si="4"/>
        <v>45762</v>
      </c>
      <c r="X38" s="114"/>
      <c r="Y38" s="115">
        <v>0</v>
      </c>
      <c r="Z38" s="116">
        <v>1</v>
      </c>
      <c r="AA38" s="117">
        <f t="shared" si="1"/>
        <v>0</v>
      </c>
      <c r="AB38" s="118">
        <f t="shared" si="5"/>
        <v>45106</v>
      </c>
      <c r="AC38" s="118">
        <f t="shared" si="6"/>
        <v>45615</v>
      </c>
      <c r="AD38" s="118">
        <f t="shared" si="0"/>
        <v>-509</v>
      </c>
      <c r="AE38" s="117">
        <f t="shared" si="3"/>
        <v>0</v>
      </c>
    </row>
    <row r="39" spans="2:31" ht="15.75" customHeight="1" thickBot="1" x14ac:dyDescent="0.25">
      <c r="B39" s="123">
        <f t="shared" si="7"/>
        <v>7</v>
      </c>
      <c r="C39" s="159">
        <v>294.88</v>
      </c>
      <c r="D39" s="123">
        <f t="shared" si="8"/>
        <v>28</v>
      </c>
      <c r="E39" s="159">
        <v>1792.5882000000001</v>
      </c>
      <c r="F39" s="123">
        <f t="shared" si="8"/>
        <v>49</v>
      </c>
      <c r="G39" s="158">
        <v>246.88</v>
      </c>
      <c r="H39" s="123">
        <f t="shared" si="8"/>
        <v>70</v>
      </c>
      <c r="I39" s="158">
        <v>61.64</v>
      </c>
      <c r="J39" s="123">
        <f t="shared" si="8"/>
        <v>91</v>
      </c>
      <c r="K39" s="158">
        <v>136.69999999999999</v>
      </c>
      <c r="L39" s="123">
        <f t="shared" si="8"/>
        <v>112</v>
      </c>
      <c r="M39" s="158">
        <v>83.31</v>
      </c>
      <c r="N39" s="196"/>
      <c r="P39" s="124">
        <v>0</v>
      </c>
      <c r="Q39" s="124">
        <v>0.5</v>
      </c>
      <c r="R39" s="79">
        <v>20</v>
      </c>
      <c r="T39" s="113">
        <f t="shared" si="2"/>
        <v>14</v>
      </c>
      <c r="U39" s="113" t="s">
        <v>155</v>
      </c>
      <c r="V39" s="114"/>
      <c r="W39" s="114">
        <f t="shared" si="4"/>
        <v>45762</v>
      </c>
      <c r="X39" s="114"/>
      <c r="Y39" s="115">
        <v>0</v>
      </c>
      <c r="Z39" s="116">
        <v>1</v>
      </c>
      <c r="AA39" s="117">
        <f t="shared" si="1"/>
        <v>0</v>
      </c>
      <c r="AB39" s="118">
        <f t="shared" si="5"/>
        <v>45106</v>
      </c>
      <c r="AC39" s="118">
        <f t="shared" si="6"/>
        <v>45615</v>
      </c>
      <c r="AD39" s="118">
        <f t="shared" si="0"/>
        <v>-509</v>
      </c>
      <c r="AE39" s="117">
        <f t="shared" si="3"/>
        <v>0</v>
      </c>
    </row>
    <row r="40" spans="2:31" ht="15.75" customHeight="1" thickBot="1" x14ac:dyDescent="0.25">
      <c r="B40" s="123">
        <f t="shared" si="7"/>
        <v>8</v>
      </c>
      <c r="C40" s="159">
        <v>124.25</v>
      </c>
      <c r="D40" s="123">
        <f t="shared" si="8"/>
        <v>29</v>
      </c>
      <c r="E40" s="159">
        <v>909.42</v>
      </c>
      <c r="F40" s="123">
        <f t="shared" si="8"/>
        <v>50</v>
      </c>
      <c r="G40" s="158">
        <v>669.10199999999998</v>
      </c>
      <c r="H40" s="123">
        <f t="shared" si="8"/>
        <v>71</v>
      </c>
      <c r="I40" s="158">
        <v>49.17</v>
      </c>
      <c r="J40" s="123">
        <f t="shared" si="8"/>
        <v>92</v>
      </c>
      <c r="K40" s="158">
        <v>166.19</v>
      </c>
      <c r="L40" s="123">
        <f t="shared" si="8"/>
        <v>113</v>
      </c>
      <c r="M40" s="158">
        <v>177.88</v>
      </c>
      <c r="N40" s="196"/>
      <c r="P40" s="124">
        <v>0.5</v>
      </c>
      <c r="Q40" s="124">
        <v>0.75</v>
      </c>
      <c r="R40" s="79">
        <v>25</v>
      </c>
      <c r="T40" s="113">
        <f t="shared" si="2"/>
        <v>15</v>
      </c>
      <c r="U40" s="113" t="s">
        <v>156</v>
      </c>
      <c r="V40" s="114"/>
      <c r="W40" s="114">
        <f t="shared" si="4"/>
        <v>45762</v>
      </c>
      <c r="X40" s="114"/>
      <c r="Y40" s="115">
        <v>0</v>
      </c>
      <c r="Z40" s="116">
        <v>1</v>
      </c>
      <c r="AA40" s="117">
        <f t="shared" si="1"/>
        <v>0</v>
      </c>
      <c r="AB40" s="118">
        <f t="shared" si="5"/>
        <v>45106</v>
      </c>
      <c r="AC40" s="118">
        <f t="shared" si="6"/>
        <v>45615</v>
      </c>
      <c r="AD40" s="118">
        <f t="shared" si="0"/>
        <v>-509</v>
      </c>
      <c r="AE40" s="117">
        <f t="shared" si="3"/>
        <v>0</v>
      </c>
    </row>
    <row r="41" spans="2:31" ht="15.75" customHeight="1" thickBot="1" x14ac:dyDescent="0.25">
      <c r="B41" s="123">
        <f t="shared" si="7"/>
        <v>9</v>
      </c>
      <c r="C41" s="159">
        <v>7.702</v>
      </c>
      <c r="D41" s="123">
        <f t="shared" si="8"/>
        <v>30</v>
      </c>
      <c r="E41" s="159">
        <v>832.24</v>
      </c>
      <c r="F41" s="123">
        <f t="shared" si="8"/>
        <v>51</v>
      </c>
      <c r="G41" s="158">
        <v>172.3</v>
      </c>
      <c r="H41" s="123">
        <f t="shared" si="8"/>
        <v>72</v>
      </c>
      <c r="I41" s="158">
        <v>1010.63</v>
      </c>
      <c r="J41" s="123">
        <f t="shared" si="8"/>
        <v>93</v>
      </c>
      <c r="K41" s="158">
        <v>350.83240000000001</v>
      </c>
      <c r="L41" s="123">
        <f t="shared" si="8"/>
        <v>114</v>
      </c>
      <c r="M41" s="158">
        <v>393.11</v>
      </c>
      <c r="N41" s="196"/>
      <c r="P41" s="124">
        <v>0.75</v>
      </c>
      <c r="Q41" s="124">
        <v>1</v>
      </c>
      <c r="R41" s="79">
        <v>30</v>
      </c>
      <c r="T41" s="113">
        <f t="shared" si="2"/>
        <v>16</v>
      </c>
      <c r="U41" s="113" t="s">
        <v>157</v>
      </c>
      <c r="V41" s="114"/>
      <c r="W41" s="114">
        <f t="shared" si="4"/>
        <v>45762</v>
      </c>
      <c r="X41" s="114"/>
      <c r="Y41" s="115">
        <v>0</v>
      </c>
      <c r="Z41" s="116">
        <v>1</v>
      </c>
      <c r="AA41" s="117">
        <f t="shared" si="1"/>
        <v>0</v>
      </c>
      <c r="AB41" s="118">
        <f t="shared" si="5"/>
        <v>45106</v>
      </c>
      <c r="AC41" s="118">
        <f t="shared" si="6"/>
        <v>45615</v>
      </c>
      <c r="AD41" s="118">
        <f t="shared" si="0"/>
        <v>-509</v>
      </c>
      <c r="AE41" s="117">
        <f t="shared" si="3"/>
        <v>0</v>
      </c>
    </row>
    <row r="42" spans="2:31" ht="15.75" customHeight="1" thickBot="1" x14ac:dyDescent="0.25">
      <c r="B42" s="123">
        <f t="shared" si="7"/>
        <v>10</v>
      </c>
      <c r="C42" s="159">
        <v>851.19</v>
      </c>
      <c r="D42" s="123">
        <f t="shared" si="8"/>
        <v>31</v>
      </c>
      <c r="E42" s="159">
        <v>103.18</v>
      </c>
      <c r="F42" s="123">
        <f t="shared" si="8"/>
        <v>52</v>
      </c>
      <c r="G42" s="158">
        <v>758.62199999999996</v>
      </c>
      <c r="H42" s="123">
        <f t="shared" si="8"/>
        <v>73</v>
      </c>
      <c r="I42" s="158">
        <v>4483.95</v>
      </c>
      <c r="J42" s="123">
        <f t="shared" si="8"/>
        <v>94</v>
      </c>
      <c r="K42" s="158">
        <v>990.61500000000001</v>
      </c>
      <c r="L42" s="123">
        <f t="shared" si="8"/>
        <v>115</v>
      </c>
      <c r="M42" s="158">
        <v>1042.655</v>
      </c>
      <c r="N42" s="196"/>
      <c r="P42" s="124">
        <v>1</v>
      </c>
      <c r="Q42" s="124">
        <v>1.5</v>
      </c>
      <c r="R42" s="79">
        <v>35</v>
      </c>
      <c r="T42" s="113">
        <f t="shared" si="2"/>
        <v>17</v>
      </c>
      <c r="U42" s="113" t="s">
        <v>158</v>
      </c>
      <c r="V42" s="114"/>
      <c r="W42" s="114">
        <f t="shared" si="4"/>
        <v>45762</v>
      </c>
      <c r="X42" s="114"/>
      <c r="Y42" s="115">
        <v>0</v>
      </c>
      <c r="Z42" s="116">
        <v>1</v>
      </c>
      <c r="AA42" s="117">
        <f t="shared" si="1"/>
        <v>0</v>
      </c>
      <c r="AB42" s="118">
        <f t="shared" si="5"/>
        <v>45106</v>
      </c>
      <c r="AC42" s="118">
        <f t="shared" si="6"/>
        <v>45615</v>
      </c>
      <c r="AD42" s="118">
        <f t="shared" si="0"/>
        <v>-509</v>
      </c>
      <c r="AE42" s="117">
        <f t="shared" si="3"/>
        <v>0</v>
      </c>
    </row>
    <row r="43" spans="2:31" ht="15.75" customHeight="1" thickBot="1" x14ac:dyDescent="0.25">
      <c r="B43" s="123">
        <f t="shared" si="7"/>
        <v>11</v>
      </c>
      <c r="C43" s="158">
        <v>587.29999999999995</v>
      </c>
      <c r="D43" s="123">
        <f t="shared" si="8"/>
        <v>32</v>
      </c>
      <c r="E43" s="158">
        <v>379.98500000000001</v>
      </c>
      <c r="F43" s="123">
        <f t="shared" si="8"/>
        <v>53</v>
      </c>
      <c r="G43" s="158">
        <v>868.995</v>
      </c>
      <c r="H43" s="123">
        <f t="shared" si="8"/>
        <v>74</v>
      </c>
      <c r="I43" s="158">
        <v>144.07</v>
      </c>
      <c r="J43" s="123">
        <f t="shared" si="8"/>
        <v>95</v>
      </c>
      <c r="K43" s="158">
        <v>215.36</v>
      </c>
      <c r="L43" s="123">
        <f t="shared" si="8"/>
        <v>116</v>
      </c>
      <c r="M43" s="158">
        <v>1713.45</v>
      </c>
      <c r="N43" s="196"/>
      <c r="P43" s="124">
        <v>1.5</v>
      </c>
      <c r="Q43" s="124"/>
      <c r="R43" s="79">
        <v>40</v>
      </c>
      <c r="T43" s="113">
        <f t="shared" si="2"/>
        <v>18</v>
      </c>
      <c r="U43" s="113" t="s">
        <v>159</v>
      </c>
      <c r="V43" s="114"/>
      <c r="W43" s="114">
        <f t="shared" si="4"/>
        <v>45762</v>
      </c>
      <c r="X43" s="114"/>
      <c r="Y43" s="115">
        <v>0</v>
      </c>
      <c r="Z43" s="116">
        <v>1</v>
      </c>
      <c r="AA43" s="117">
        <f t="shared" si="1"/>
        <v>0</v>
      </c>
      <c r="AB43" s="118">
        <f t="shared" si="5"/>
        <v>45106</v>
      </c>
      <c r="AC43" s="118">
        <f t="shared" si="6"/>
        <v>45615</v>
      </c>
      <c r="AD43" s="118">
        <f t="shared" si="0"/>
        <v>-509</v>
      </c>
      <c r="AE43" s="117">
        <f t="shared" si="3"/>
        <v>0</v>
      </c>
    </row>
    <row r="44" spans="2:31" ht="15.75" customHeight="1" thickBot="1" x14ac:dyDescent="0.25">
      <c r="B44" s="123">
        <f t="shared" si="7"/>
        <v>12</v>
      </c>
      <c r="C44" s="158">
        <v>832.24</v>
      </c>
      <c r="D44" s="123">
        <f t="shared" si="8"/>
        <v>33</v>
      </c>
      <c r="E44" s="158">
        <v>858.98</v>
      </c>
      <c r="F44" s="123">
        <f t="shared" si="8"/>
        <v>54</v>
      </c>
      <c r="G44" s="158">
        <v>1498.038</v>
      </c>
      <c r="H44" s="123">
        <f t="shared" si="8"/>
        <v>75</v>
      </c>
      <c r="I44" s="158">
        <v>1445.15</v>
      </c>
      <c r="J44" s="123">
        <f t="shared" si="8"/>
        <v>96</v>
      </c>
      <c r="K44" s="158">
        <v>271.52999999999997</v>
      </c>
      <c r="L44" s="123">
        <f t="shared" si="8"/>
        <v>117</v>
      </c>
      <c r="M44" s="158">
        <v>27.465</v>
      </c>
      <c r="N44" s="196"/>
      <c r="P44" s="212" t="s">
        <v>160</v>
      </c>
      <c r="Q44" s="212"/>
      <c r="R44" s="99" t="s">
        <v>147</v>
      </c>
      <c r="T44" s="113">
        <f t="shared" si="2"/>
        <v>19</v>
      </c>
      <c r="U44" s="113" t="s">
        <v>161</v>
      </c>
      <c r="V44" s="114"/>
      <c r="W44" s="114">
        <f t="shared" si="4"/>
        <v>45762</v>
      </c>
      <c r="X44" s="114"/>
      <c r="Y44" s="115">
        <v>0</v>
      </c>
      <c r="Z44" s="116">
        <v>1</v>
      </c>
      <c r="AA44" s="117">
        <f t="shared" si="1"/>
        <v>0</v>
      </c>
      <c r="AB44" s="118">
        <f t="shared" si="5"/>
        <v>45106</v>
      </c>
      <c r="AC44" s="118">
        <f t="shared" si="6"/>
        <v>45615</v>
      </c>
      <c r="AD44" s="118">
        <f t="shared" si="0"/>
        <v>-509</v>
      </c>
      <c r="AE44" s="117">
        <f t="shared" si="3"/>
        <v>0</v>
      </c>
    </row>
    <row r="45" spans="2:31" ht="15.75" customHeight="1" thickBot="1" x14ac:dyDescent="0.25">
      <c r="B45" s="123">
        <f t="shared" si="7"/>
        <v>13</v>
      </c>
      <c r="C45" s="158">
        <v>518.84</v>
      </c>
      <c r="D45" s="123">
        <f t="shared" si="8"/>
        <v>34</v>
      </c>
      <c r="E45" s="158">
        <v>82.21</v>
      </c>
      <c r="F45" s="123">
        <f t="shared" si="8"/>
        <v>55</v>
      </c>
      <c r="G45" s="158">
        <v>149.46690000000001</v>
      </c>
      <c r="H45" s="123">
        <f t="shared" si="8"/>
        <v>76</v>
      </c>
      <c r="I45" s="158">
        <v>968.41</v>
      </c>
      <c r="J45" s="123">
        <f t="shared" si="8"/>
        <v>97</v>
      </c>
      <c r="K45" s="158">
        <v>108.26</v>
      </c>
      <c r="L45" s="123">
        <f t="shared" si="8"/>
        <v>118</v>
      </c>
      <c r="M45" s="158">
        <v>108.52200000000001</v>
      </c>
      <c r="N45" s="196"/>
      <c r="P45" s="79"/>
      <c r="Q45" s="79"/>
      <c r="R45" s="79">
        <v>0</v>
      </c>
      <c r="T45" s="113">
        <f t="shared" si="2"/>
        <v>20</v>
      </c>
      <c r="U45" s="113" t="s">
        <v>162</v>
      </c>
      <c r="V45" s="114"/>
      <c r="W45" s="114">
        <f t="shared" si="4"/>
        <v>45762</v>
      </c>
      <c r="X45" s="114"/>
      <c r="Y45" s="115">
        <v>0</v>
      </c>
      <c r="Z45" s="116">
        <v>1</v>
      </c>
      <c r="AA45" s="117">
        <f t="shared" si="1"/>
        <v>0</v>
      </c>
      <c r="AB45" s="118">
        <f t="shared" si="5"/>
        <v>45106</v>
      </c>
      <c r="AC45" s="118">
        <f t="shared" si="6"/>
        <v>45615</v>
      </c>
      <c r="AD45" s="118">
        <f t="shared" si="0"/>
        <v>-509</v>
      </c>
      <c r="AE45" s="117">
        <f t="shared" si="3"/>
        <v>0</v>
      </c>
    </row>
    <row r="46" spans="2:31" ht="15.75" customHeight="1" thickBot="1" x14ac:dyDescent="0.25">
      <c r="B46" s="123">
        <f t="shared" si="7"/>
        <v>14</v>
      </c>
      <c r="C46" s="158">
        <v>386.22</v>
      </c>
      <c r="D46" s="123">
        <f t="shared" si="8"/>
        <v>35</v>
      </c>
      <c r="E46" s="158">
        <v>53.21</v>
      </c>
      <c r="F46" s="123">
        <f t="shared" si="8"/>
        <v>56</v>
      </c>
      <c r="G46" s="158">
        <v>3.9250000000000003</v>
      </c>
      <c r="H46" s="123">
        <f t="shared" si="8"/>
        <v>77</v>
      </c>
      <c r="I46" s="158">
        <v>46.58</v>
      </c>
      <c r="J46" s="123">
        <f t="shared" si="8"/>
        <v>98</v>
      </c>
      <c r="K46" s="158">
        <v>185.8</v>
      </c>
      <c r="L46" s="123">
        <f t="shared" si="8"/>
        <v>119</v>
      </c>
      <c r="M46" s="158">
        <v>27.698999999999998</v>
      </c>
      <c r="N46" s="196"/>
      <c r="P46" s="79">
        <v>0</v>
      </c>
      <c r="Q46" s="79">
        <v>5</v>
      </c>
      <c r="R46" s="79">
        <v>20</v>
      </c>
      <c r="T46" s="113">
        <f t="shared" si="2"/>
        <v>21</v>
      </c>
      <c r="U46" s="113" t="s">
        <v>163</v>
      </c>
      <c r="V46" s="114"/>
      <c r="W46" s="114">
        <f t="shared" si="4"/>
        <v>45762</v>
      </c>
      <c r="X46" s="114"/>
      <c r="Y46" s="115">
        <v>0</v>
      </c>
      <c r="Z46" s="116">
        <v>1</v>
      </c>
      <c r="AA46" s="117">
        <f t="shared" si="1"/>
        <v>0</v>
      </c>
      <c r="AB46" s="118">
        <f t="shared" si="5"/>
        <v>45106</v>
      </c>
      <c r="AC46" s="118">
        <f t="shared" si="6"/>
        <v>45615</v>
      </c>
      <c r="AD46" s="118">
        <f t="shared" si="0"/>
        <v>-509</v>
      </c>
      <c r="AE46" s="117">
        <f t="shared" si="3"/>
        <v>0</v>
      </c>
    </row>
    <row r="47" spans="2:31" ht="15.75" customHeight="1" thickBot="1" x14ac:dyDescent="0.25">
      <c r="B47" s="123">
        <f t="shared" si="7"/>
        <v>15</v>
      </c>
      <c r="C47" s="158">
        <v>729.68</v>
      </c>
      <c r="D47" s="123">
        <f t="shared" si="8"/>
        <v>36</v>
      </c>
      <c r="E47" s="158">
        <v>63.41</v>
      </c>
      <c r="F47" s="123">
        <f t="shared" si="8"/>
        <v>57</v>
      </c>
      <c r="G47" s="158">
        <v>159.94999999999999</v>
      </c>
      <c r="H47" s="123">
        <f t="shared" si="8"/>
        <v>78</v>
      </c>
      <c r="I47" s="158">
        <v>131.74</v>
      </c>
      <c r="J47" s="123">
        <f t="shared" si="8"/>
        <v>99</v>
      </c>
      <c r="K47" s="158">
        <v>47.685000000000002</v>
      </c>
      <c r="L47" s="123">
        <f t="shared" si="8"/>
        <v>120</v>
      </c>
      <c r="M47" s="158">
        <v>59.813999999999993</v>
      </c>
      <c r="N47" s="196"/>
      <c r="O47" s="125"/>
      <c r="P47" s="79">
        <v>5</v>
      </c>
      <c r="Q47" s="79">
        <v>10</v>
      </c>
      <c r="R47" s="79">
        <v>30</v>
      </c>
      <c r="T47" s="113">
        <f t="shared" si="2"/>
        <v>22</v>
      </c>
      <c r="U47" s="113" t="s">
        <v>164</v>
      </c>
      <c r="V47" s="114"/>
      <c r="W47" s="114">
        <f t="shared" si="4"/>
        <v>45762</v>
      </c>
      <c r="X47" s="114"/>
      <c r="Y47" s="115">
        <v>0</v>
      </c>
      <c r="Z47" s="116">
        <v>1</v>
      </c>
      <c r="AA47" s="117">
        <f t="shared" si="1"/>
        <v>0</v>
      </c>
      <c r="AB47" s="118">
        <f t="shared" si="5"/>
        <v>45106</v>
      </c>
      <c r="AC47" s="118">
        <f t="shared" si="6"/>
        <v>45615</v>
      </c>
      <c r="AD47" s="118">
        <f t="shared" si="0"/>
        <v>-509</v>
      </c>
      <c r="AE47" s="117">
        <f t="shared" si="3"/>
        <v>0</v>
      </c>
    </row>
    <row r="48" spans="2:31" ht="15.75" customHeight="1" thickBot="1" x14ac:dyDescent="0.25">
      <c r="B48" s="123">
        <f t="shared" si="7"/>
        <v>16</v>
      </c>
      <c r="C48" s="158">
        <v>2761.893</v>
      </c>
      <c r="D48" s="123">
        <f t="shared" si="8"/>
        <v>37</v>
      </c>
      <c r="E48" s="158">
        <v>175.18</v>
      </c>
      <c r="F48" s="123">
        <f t="shared" si="8"/>
        <v>58</v>
      </c>
      <c r="G48" s="158">
        <v>539.37</v>
      </c>
      <c r="H48" s="123">
        <f t="shared" si="8"/>
        <v>79</v>
      </c>
      <c r="I48" s="158">
        <v>89.68</v>
      </c>
      <c r="J48" s="123">
        <f t="shared" si="8"/>
        <v>100</v>
      </c>
      <c r="K48" s="158">
        <v>27.51</v>
      </c>
      <c r="L48" s="123">
        <f t="shared" si="8"/>
        <v>121</v>
      </c>
      <c r="M48" s="158">
        <v>34.68</v>
      </c>
      <c r="N48" s="196"/>
      <c r="O48" s="125"/>
      <c r="P48" s="79">
        <v>10</v>
      </c>
      <c r="Q48" s="79"/>
      <c r="R48" s="79">
        <v>40</v>
      </c>
      <c r="T48" s="113">
        <f t="shared" si="2"/>
        <v>23</v>
      </c>
      <c r="U48" s="113" t="s">
        <v>165</v>
      </c>
      <c r="V48" s="114"/>
      <c r="W48" s="114">
        <f t="shared" si="4"/>
        <v>45762</v>
      </c>
      <c r="X48" s="114"/>
      <c r="Y48" s="115">
        <v>0</v>
      </c>
      <c r="Z48" s="116">
        <v>1</v>
      </c>
      <c r="AA48" s="117">
        <f t="shared" si="1"/>
        <v>0</v>
      </c>
      <c r="AB48" s="118">
        <f t="shared" si="5"/>
        <v>45106</v>
      </c>
      <c r="AC48" s="118">
        <f t="shared" si="6"/>
        <v>45615</v>
      </c>
      <c r="AD48" s="118">
        <f t="shared" si="0"/>
        <v>-509</v>
      </c>
      <c r="AE48" s="117">
        <f t="shared" si="3"/>
        <v>0</v>
      </c>
    </row>
    <row r="49" spans="2:31" ht="15.75" customHeight="1" thickBot="1" x14ac:dyDescent="0.25">
      <c r="B49" s="123">
        <f t="shared" si="7"/>
        <v>17</v>
      </c>
      <c r="C49" s="158">
        <v>310.06799999999998</v>
      </c>
      <c r="D49" s="123">
        <f t="shared" si="8"/>
        <v>38</v>
      </c>
      <c r="E49" s="158">
        <v>55.34</v>
      </c>
      <c r="F49" s="123">
        <f t="shared" si="8"/>
        <v>59</v>
      </c>
      <c r="G49" s="158">
        <v>446.24660000000006</v>
      </c>
      <c r="H49" s="123">
        <f t="shared" si="8"/>
        <v>80</v>
      </c>
      <c r="I49" s="158">
        <v>142.79400000000001</v>
      </c>
      <c r="J49" s="123">
        <f t="shared" si="8"/>
        <v>101</v>
      </c>
      <c r="K49" s="158">
        <v>421.04</v>
      </c>
      <c r="L49" s="123">
        <f t="shared" si="8"/>
        <v>122</v>
      </c>
      <c r="M49" s="158"/>
      <c r="N49" s="196"/>
      <c r="O49" s="125"/>
      <c r="T49" s="113">
        <f t="shared" si="2"/>
        <v>24</v>
      </c>
      <c r="U49" s="113" t="s">
        <v>166</v>
      </c>
      <c r="V49" s="114"/>
      <c r="W49" s="114">
        <f t="shared" si="4"/>
        <v>45762</v>
      </c>
      <c r="X49" s="114"/>
      <c r="Y49" s="115">
        <v>0</v>
      </c>
      <c r="Z49" s="116">
        <v>1</v>
      </c>
      <c r="AA49" s="117">
        <f t="shared" si="1"/>
        <v>0</v>
      </c>
      <c r="AB49" s="118">
        <f t="shared" si="5"/>
        <v>45106</v>
      </c>
      <c r="AC49" s="118">
        <f t="shared" si="6"/>
        <v>45615</v>
      </c>
      <c r="AD49" s="118">
        <f t="shared" si="0"/>
        <v>-509</v>
      </c>
      <c r="AE49" s="117">
        <f t="shared" si="3"/>
        <v>0</v>
      </c>
    </row>
    <row r="50" spans="2:31" ht="15.75" customHeight="1" thickBot="1" x14ac:dyDescent="0.25">
      <c r="B50" s="123">
        <f t="shared" si="7"/>
        <v>18</v>
      </c>
      <c r="C50" s="158">
        <v>438.71170000000001</v>
      </c>
      <c r="D50" s="123">
        <f t="shared" si="8"/>
        <v>39</v>
      </c>
      <c r="E50" s="158">
        <v>1259.5999999999999</v>
      </c>
      <c r="F50" s="123">
        <f t="shared" si="8"/>
        <v>60</v>
      </c>
      <c r="G50" s="158">
        <v>168.54</v>
      </c>
      <c r="H50" s="123">
        <f t="shared" si="8"/>
        <v>81</v>
      </c>
      <c r="I50" s="158">
        <v>693.02</v>
      </c>
      <c r="J50" s="123">
        <f t="shared" si="8"/>
        <v>102</v>
      </c>
      <c r="K50" s="158">
        <v>296.80699999999996</v>
      </c>
      <c r="L50" s="123">
        <f t="shared" si="8"/>
        <v>123</v>
      </c>
      <c r="M50" s="158"/>
      <c r="N50" s="196"/>
      <c r="O50" s="125"/>
      <c r="T50" s="113">
        <f t="shared" si="2"/>
        <v>25</v>
      </c>
      <c r="U50" s="113" t="s">
        <v>168</v>
      </c>
      <c r="V50" s="114"/>
      <c r="W50" s="114">
        <f t="shared" si="4"/>
        <v>45762</v>
      </c>
      <c r="X50" s="114"/>
      <c r="Y50" s="115">
        <v>0</v>
      </c>
      <c r="Z50" s="116">
        <v>1</v>
      </c>
      <c r="AA50" s="117">
        <f t="shared" si="1"/>
        <v>0</v>
      </c>
      <c r="AB50" s="118">
        <f t="shared" si="5"/>
        <v>45106</v>
      </c>
      <c r="AC50" s="118">
        <f t="shared" si="6"/>
        <v>45615</v>
      </c>
      <c r="AD50" s="118">
        <f t="shared" si="0"/>
        <v>-509</v>
      </c>
      <c r="AE50" s="117">
        <f t="shared" si="3"/>
        <v>0</v>
      </c>
    </row>
    <row r="51" spans="2:31" ht="15.75" customHeight="1" thickBot="1" x14ac:dyDescent="0.25">
      <c r="B51" s="123">
        <f t="shared" si="7"/>
        <v>19</v>
      </c>
      <c r="C51" s="158">
        <v>1967.4450000000002</v>
      </c>
      <c r="D51" s="123">
        <f t="shared" si="8"/>
        <v>40</v>
      </c>
      <c r="E51" s="158">
        <v>1540.64</v>
      </c>
      <c r="F51" s="123">
        <f t="shared" si="8"/>
        <v>61</v>
      </c>
      <c r="G51" s="158">
        <v>7.2629999999999999</v>
      </c>
      <c r="H51" s="123">
        <f t="shared" si="8"/>
        <v>82</v>
      </c>
      <c r="I51" s="158">
        <v>1.7480000000000002</v>
      </c>
      <c r="J51" s="123">
        <f t="shared" si="8"/>
        <v>103</v>
      </c>
      <c r="K51" s="158">
        <v>25.23</v>
      </c>
      <c r="L51" s="123">
        <f t="shared" si="8"/>
        <v>124</v>
      </c>
      <c r="M51" s="158"/>
      <c r="N51" s="196"/>
      <c r="O51" s="125"/>
      <c r="T51" s="113">
        <f t="shared" si="2"/>
        <v>26</v>
      </c>
      <c r="U51" s="113" t="s">
        <v>170</v>
      </c>
      <c r="V51" s="114"/>
      <c r="W51" s="114">
        <f t="shared" si="4"/>
        <v>45762</v>
      </c>
      <c r="X51" s="114"/>
      <c r="Y51" s="115">
        <v>0</v>
      </c>
      <c r="Z51" s="116">
        <v>1</v>
      </c>
      <c r="AA51" s="117">
        <f t="shared" si="1"/>
        <v>0</v>
      </c>
      <c r="AB51" s="118">
        <f t="shared" si="5"/>
        <v>45106</v>
      </c>
      <c r="AC51" s="118">
        <f t="shared" si="6"/>
        <v>45615</v>
      </c>
      <c r="AD51" s="118">
        <f t="shared" si="0"/>
        <v>-509</v>
      </c>
      <c r="AE51" s="117">
        <f t="shared" si="3"/>
        <v>0</v>
      </c>
    </row>
    <row r="52" spans="2:31" ht="15.75" customHeight="1" thickBot="1" x14ac:dyDescent="0.25">
      <c r="B52" s="123">
        <f t="shared" si="7"/>
        <v>20</v>
      </c>
      <c r="C52" s="158">
        <v>126.345</v>
      </c>
      <c r="D52" s="123">
        <f t="shared" si="8"/>
        <v>41</v>
      </c>
      <c r="E52" s="158">
        <v>199.28</v>
      </c>
      <c r="F52" s="123">
        <f t="shared" si="8"/>
        <v>62</v>
      </c>
      <c r="G52" s="158">
        <v>444.03500000000003</v>
      </c>
      <c r="H52" s="123">
        <f t="shared" si="8"/>
        <v>83</v>
      </c>
      <c r="I52" s="158">
        <v>221.36</v>
      </c>
      <c r="J52" s="123">
        <f t="shared" si="8"/>
        <v>104</v>
      </c>
      <c r="K52" s="158">
        <v>344.36500000000001</v>
      </c>
      <c r="L52" s="123">
        <f t="shared" si="8"/>
        <v>125</v>
      </c>
      <c r="M52" s="158"/>
      <c r="N52" s="196"/>
      <c r="O52" s="125"/>
      <c r="T52" s="113">
        <f t="shared" si="2"/>
        <v>27</v>
      </c>
      <c r="U52" s="113" t="s">
        <v>172</v>
      </c>
      <c r="V52" s="114"/>
      <c r="W52" s="114">
        <f t="shared" si="4"/>
        <v>45762</v>
      </c>
      <c r="X52" s="114"/>
      <c r="Y52" s="115">
        <v>0</v>
      </c>
      <c r="Z52" s="116">
        <v>1</v>
      </c>
      <c r="AA52" s="117">
        <f t="shared" si="1"/>
        <v>0</v>
      </c>
      <c r="AB52" s="118">
        <f t="shared" si="5"/>
        <v>45106</v>
      </c>
      <c r="AC52" s="118">
        <f t="shared" si="6"/>
        <v>45615</v>
      </c>
      <c r="AD52" s="118">
        <f t="shared" si="0"/>
        <v>-509</v>
      </c>
      <c r="AE52" s="117">
        <f t="shared" si="3"/>
        <v>0</v>
      </c>
    </row>
    <row r="53" spans="2:31" ht="15.75" customHeight="1" thickBot="1" x14ac:dyDescent="0.25">
      <c r="B53" s="123">
        <f t="shared" si="7"/>
        <v>21</v>
      </c>
      <c r="C53" s="158">
        <v>158.58500000000001</v>
      </c>
      <c r="D53" s="123">
        <f t="shared" si="8"/>
        <v>42</v>
      </c>
      <c r="E53" s="158">
        <v>1216.79</v>
      </c>
      <c r="F53" s="123">
        <f t="shared" si="8"/>
        <v>63</v>
      </c>
      <c r="G53" s="158">
        <v>20.975000000000001</v>
      </c>
      <c r="H53" s="123">
        <f t="shared" si="8"/>
        <v>84</v>
      </c>
      <c r="I53" s="158">
        <v>2344.3979999999997</v>
      </c>
      <c r="J53" s="123">
        <f t="shared" si="8"/>
        <v>105</v>
      </c>
      <c r="K53" s="158">
        <v>643.67999999999995</v>
      </c>
      <c r="L53" s="123">
        <f t="shared" si="8"/>
        <v>126</v>
      </c>
      <c r="M53" s="158"/>
      <c r="N53" s="197"/>
      <c r="T53" s="113">
        <f t="shared" si="2"/>
        <v>28</v>
      </c>
      <c r="U53" s="113" t="s">
        <v>174</v>
      </c>
      <c r="V53" s="114"/>
      <c r="W53" s="114">
        <f t="shared" si="4"/>
        <v>45762</v>
      </c>
      <c r="X53" s="114"/>
      <c r="Y53" s="115">
        <v>0</v>
      </c>
      <c r="Z53" s="116">
        <v>1</v>
      </c>
      <c r="AA53" s="117">
        <f t="shared" si="1"/>
        <v>0</v>
      </c>
      <c r="AB53" s="118">
        <f t="shared" si="5"/>
        <v>45106</v>
      </c>
      <c r="AC53" s="118">
        <f t="shared" si="6"/>
        <v>45615</v>
      </c>
      <c r="AD53" s="118">
        <f t="shared" si="0"/>
        <v>-509</v>
      </c>
      <c r="AE53" s="117">
        <f t="shared" si="3"/>
        <v>0</v>
      </c>
    </row>
    <row r="54" spans="2:31" ht="15.75" customHeight="1" thickBot="1" x14ac:dyDescent="0.25">
      <c r="B54" s="161" t="s">
        <v>167</v>
      </c>
      <c r="C54" s="161"/>
      <c r="D54" s="161"/>
      <c r="E54" s="161"/>
      <c r="F54" s="161"/>
      <c r="G54" s="161"/>
      <c r="H54" s="161"/>
      <c r="I54" s="161"/>
      <c r="J54" s="198">
        <f>SUM(C33:C53,G33:G53,K33:K53,E33:E53,I33:I53,K33:K53,M33:M53)</f>
        <v>68844.603399999978</v>
      </c>
      <c r="K54" s="198"/>
      <c r="L54" s="198"/>
      <c r="M54" s="198"/>
      <c r="N54" s="198"/>
      <c r="T54" s="113">
        <f t="shared" si="2"/>
        <v>29</v>
      </c>
      <c r="U54" s="113" t="s">
        <v>176</v>
      </c>
      <c r="V54" s="114"/>
      <c r="W54" s="114">
        <f t="shared" si="4"/>
        <v>45762</v>
      </c>
      <c r="X54" s="114"/>
      <c r="Y54" s="115">
        <v>0</v>
      </c>
      <c r="Z54" s="116">
        <v>1</v>
      </c>
      <c r="AA54" s="117">
        <f t="shared" si="1"/>
        <v>0</v>
      </c>
      <c r="AB54" s="118">
        <f t="shared" si="5"/>
        <v>45106</v>
      </c>
      <c r="AC54" s="118">
        <f t="shared" si="6"/>
        <v>45615</v>
      </c>
      <c r="AD54" s="118">
        <f t="shared" si="0"/>
        <v>-509</v>
      </c>
      <c r="AE54" s="117">
        <f t="shared" si="3"/>
        <v>0</v>
      </c>
    </row>
    <row r="55" spans="2:31" ht="15.75" customHeight="1" thickBot="1" x14ac:dyDescent="0.25">
      <c r="B55" s="161" t="s">
        <v>169</v>
      </c>
      <c r="C55" s="161"/>
      <c r="D55" s="161"/>
      <c r="E55" s="161"/>
      <c r="F55" s="161"/>
      <c r="G55" s="161"/>
      <c r="H55" s="161"/>
      <c r="I55" s="161"/>
      <c r="J55" s="162">
        <f>$J$54*$Q$23</f>
        <v>120540360316.07697</v>
      </c>
      <c r="K55" s="162"/>
      <c r="L55" s="162"/>
      <c r="M55" s="162"/>
      <c r="N55" s="162"/>
      <c r="T55" s="113"/>
      <c r="U55" s="113"/>
      <c r="V55" s="114"/>
      <c r="W55" s="114"/>
      <c r="X55" s="114"/>
      <c r="Y55" s="115"/>
      <c r="Z55" s="116"/>
      <c r="AA55" s="117"/>
      <c r="AB55" s="118"/>
      <c r="AC55" s="118"/>
      <c r="AD55" s="118"/>
      <c r="AE55" s="117"/>
    </row>
    <row r="56" spans="2:31" ht="15.75" customHeight="1" thickBot="1" x14ac:dyDescent="0.25">
      <c r="B56" s="161" t="s">
        <v>171</v>
      </c>
      <c r="C56" s="161"/>
      <c r="D56" s="161"/>
      <c r="E56" s="161"/>
      <c r="F56" s="161"/>
      <c r="G56" s="161"/>
      <c r="H56" s="161"/>
      <c r="I56" s="161"/>
      <c r="J56" s="212">
        <f>IFERROR($J$55/(($B$17)*I21),0)</f>
        <v>831.58693343648974</v>
      </c>
      <c r="K56" s="212"/>
      <c r="L56" s="212"/>
      <c r="M56" s="212"/>
      <c r="N56" s="212"/>
      <c r="T56" s="113">
        <f>T54+1</f>
        <v>30</v>
      </c>
      <c r="U56" s="113" t="s">
        <v>178</v>
      </c>
      <c r="V56" s="114"/>
      <c r="W56" s="114">
        <f>W54</f>
        <v>45762</v>
      </c>
      <c r="X56" s="114"/>
      <c r="Y56" s="115">
        <v>0</v>
      </c>
      <c r="Z56" s="116">
        <v>1</v>
      </c>
      <c r="AA56" s="117">
        <f t="shared" si="1"/>
        <v>0</v>
      </c>
      <c r="AB56" s="118">
        <f t="shared" si="5"/>
        <v>45106</v>
      </c>
      <c r="AC56" s="118">
        <f t="shared" si="6"/>
        <v>45615</v>
      </c>
      <c r="AD56" s="118">
        <f t="shared" si="0"/>
        <v>-509</v>
      </c>
      <c r="AE56" s="117">
        <f t="shared" si="3"/>
        <v>0</v>
      </c>
    </row>
    <row r="57" spans="2:31" ht="15.75" customHeight="1" thickBot="1" x14ac:dyDescent="0.25">
      <c r="B57" s="161" t="s">
        <v>173</v>
      </c>
      <c r="C57" s="161"/>
      <c r="D57" s="161"/>
      <c r="E57" s="161"/>
      <c r="F57" s="161"/>
      <c r="G57" s="161"/>
      <c r="H57" s="161"/>
      <c r="I57" s="161"/>
      <c r="J57" s="161"/>
      <c r="K57" s="161"/>
      <c r="L57" s="211">
        <f>IF(J56&gt;P37,R37,IF(J56&gt;P36,R36,IF(J56&gt;P35,R35,R34)))</f>
        <v>120</v>
      </c>
      <c r="M57" s="211"/>
      <c r="N57" s="211"/>
      <c r="O57" s="125"/>
      <c r="T57" s="113">
        <f t="shared" si="2"/>
        <v>31</v>
      </c>
      <c r="U57" s="113" t="s">
        <v>180</v>
      </c>
      <c r="V57" s="114"/>
      <c r="W57" s="114">
        <f t="shared" si="4"/>
        <v>45762</v>
      </c>
      <c r="X57" s="114"/>
      <c r="Y57" s="115">
        <v>0</v>
      </c>
      <c r="Z57" s="116">
        <v>1</v>
      </c>
      <c r="AA57" s="117">
        <f t="shared" si="1"/>
        <v>0</v>
      </c>
      <c r="AB57" s="118">
        <f t="shared" si="5"/>
        <v>45106</v>
      </c>
      <c r="AC57" s="118">
        <f t="shared" si="6"/>
        <v>45615</v>
      </c>
      <c r="AD57" s="118">
        <f t="shared" si="0"/>
        <v>-509</v>
      </c>
      <c r="AE57" s="117">
        <f t="shared" si="3"/>
        <v>0</v>
      </c>
    </row>
    <row r="58" spans="2:31" ht="15.75" customHeight="1" thickBot="1" x14ac:dyDescent="0.3">
      <c r="B58" s="212" t="s">
        <v>175</v>
      </c>
      <c r="C58" s="212"/>
      <c r="D58" s="212"/>
      <c r="E58" s="212"/>
      <c r="F58" s="212"/>
      <c r="G58" s="212"/>
      <c r="H58" s="212"/>
      <c r="I58" s="212"/>
      <c r="J58" s="212"/>
      <c r="K58" s="212"/>
      <c r="L58" s="212"/>
      <c r="M58" s="212"/>
      <c r="N58" s="212"/>
      <c r="O58" s="125"/>
      <c r="T58" s="113">
        <f t="shared" si="2"/>
        <v>32</v>
      </c>
      <c r="U58" s="113" t="s">
        <v>182</v>
      </c>
      <c r="V58" s="114"/>
      <c r="W58" s="114">
        <f t="shared" si="4"/>
        <v>45762</v>
      </c>
      <c r="X58" s="114"/>
      <c r="Y58" s="115">
        <v>0</v>
      </c>
      <c r="Z58" s="116">
        <v>1</v>
      </c>
      <c r="AA58" s="117">
        <f t="shared" si="1"/>
        <v>0</v>
      </c>
      <c r="AB58" s="118">
        <f t="shared" si="5"/>
        <v>45106</v>
      </c>
      <c r="AC58" s="118">
        <f t="shared" si="6"/>
        <v>45615</v>
      </c>
      <c r="AD58" s="118">
        <f t="shared" si="0"/>
        <v>-509</v>
      </c>
      <c r="AE58" s="117">
        <f t="shared" si="3"/>
        <v>0</v>
      </c>
    </row>
    <row r="59" spans="2:31" ht="15.75" customHeight="1" thickBot="1" x14ac:dyDescent="0.25">
      <c r="B59" s="186"/>
      <c r="C59" s="187"/>
      <c r="D59" s="187"/>
      <c r="E59" s="187"/>
      <c r="F59" s="187"/>
      <c r="G59" s="188"/>
      <c r="H59" s="223" t="s">
        <v>177</v>
      </c>
      <c r="I59" s="223"/>
      <c r="J59" s="223"/>
      <c r="K59" s="223"/>
      <c r="L59" s="224">
        <f>$I$7</f>
        <v>3976034284</v>
      </c>
      <c r="M59" s="224"/>
      <c r="N59" s="224"/>
      <c r="O59" s="125"/>
      <c r="T59" s="113">
        <f t="shared" si="2"/>
        <v>33</v>
      </c>
      <c r="U59" s="113" t="s">
        <v>184</v>
      </c>
      <c r="V59" s="114"/>
      <c r="W59" s="114">
        <f t="shared" si="4"/>
        <v>45762</v>
      </c>
      <c r="X59" s="114"/>
      <c r="Y59" s="115">
        <v>0</v>
      </c>
      <c r="Z59" s="116">
        <v>1</v>
      </c>
      <c r="AA59" s="117">
        <f t="shared" si="1"/>
        <v>0</v>
      </c>
      <c r="AB59" s="118">
        <f t="shared" si="5"/>
        <v>45106</v>
      </c>
      <c r="AC59" s="118">
        <f t="shared" si="6"/>
        <v>45615</v>
      </c>
      <c r="AD59" s="118">
        <f t="shared" si="0"/>
        <v>-509</v>
      </c>
      <c r="AE59" s="117">
        <f t="shared" si="3"/>
        <v>0</v>
      </c>
    </row>
    <row r="60" spans="2:31" ht="15.75" customHeight="1" thickBot="1" x14ac:dyDescent="0.25">
      <c r="B60" s="189"/>
      <c r="C60" s="190"/>
      <c r="D60" s="190"/>
      <c r="E60" s="190"/>
      <c r="F60" s="190"/>
      <c r="G60" s="191"/>
      <c r="H60" s="223" t="s">
        <v>179</v>
      </c>
      <c r="I60" s="223"/>
      <c r="J60" s="223"/>
      <c r="K60" s="223"/>
      <c r="L60" s="224">
        <f>$J$7</f>
        <v>296255314</v>
      </c>
      <c r="M60" s="224"/>
      <c r="N60" s="224"/>
      <c r="O60" s="125"/>
      <c r="T60" s="113">
        <f t="shared" si="2"/>
        <v>34</v>
      </c>
      <c r="U60" s="113" t="s">
        <v>186</v>
      </c>
      <c r="V60" s="114"/>
      <c r="W60" s="114">
        <f t="shared" si="4"/>
        <v>45762</v>
      </c>
      <c r="X60" s="114"/>
      <c r="Y60" s="115">
        <v>0</v>
      </c>
      <c r="Z60" s="116">
        <v>1</v>
      </c>
      <c r="AA60" s="117">
        <f t="shared" si="1"/>
        <v>0</v>
      </c>
      <c r="AB60" s="118">
        <f t="shared" si="5"/>
        <v>45106</v>
      </c>
      <c r="AC60" s="118">
        <f t="shared" si="6"/>
        <v>45615</v>
      </c>
      <c r="AD60" s="118">
        <f t="shared" si="0"/>
        <v>-509</v>
      </c>
      <c r="AE60" s="117">
        <f t="shared" si="3"/>
        <v>0</v>
      </c>
    </row>
    <row r="61" spans="2:31" ht="15.75" customHeight="1" thickBot="1" x14ac:dyDescent="0.25">
      <c r="B61" s="192"/>
      <c r="C61" s="193"/>
      <c r="D61" s="193"/>
      <c r="E61" s="193"/>
      <c r="F61" s="193"/>
      <c r="G61" s="194"/>
      <c r="H61" s="161" t="s">
        <v>181</v>
      </c>
      <c r="I61" s="161"/>
      <c r="J61" s="161"/>
      <c r="K61" s="161"/>
      <c r="L61" s="210">
        <f>IFERROR(ROUND(L59/L60,2),0)</f>
        <v>13.42</v>
      </c>
      <c r="M61" s="210"/>
      <c r="N61" s="210"/>
      <c r="O61" s="125"/>
      <c r="T61" s="113">
        <f t="shared" si="2"/>
        <v>35</v>
      </c>
      <c r="U61" s="113" t="s">
        <v>187</v>
      </c>
      <c r="V61" s="114"/>
      <c r="W61" s="114">
        <f t="shared" si="4"/>
        <v>45762</v>
      </c>
      <c r="X61" s="114"/>
      <c r="Y61" s="115">
        <v>0</v>
      </c>
      <c r="Z61" s="116">
        <v>1</v>
      </c>
      <c r="AA61" s="117">
        <f t="shared" si="1"/>
        <v>0</v>
      </c>
      <c r="AB61" s="118">
        <f t="shared" si="5"/>
        <v>45106</v>
      </c>
      <c r="AC61" s="118">
        <f t="shared" si="6"/>
        <v>45615</v>
      </c>
      <c r="AD61" s="118">
        <f t="shared" si="0"/>
        <v>-509</v>
      </c>
      <c r="AE61" s="117">
        <f t="shared" si="3"/>
        <v>0</v>
      </c>
    </row>
    <row r="62" spans="2:31" ht="15.75" customHeight="1" thickBot="1" x14ac:dyDescent="0.25">
      <c r="B62" s="161" t="s">
        <v>183</v>
      </c>
      <c r="C62" s="161"/>
      <c r="D62" s="161"/>
      <c r="E62" s="161"/>
      <c r="F62" s="161"/>
      <c r="G62" s="161"/>
      <c r="H62" s="161"/>
      <c r="I62" s="161"/>
      <c r="J62" s="161"/>
      <c r="K62" s="161"/>
      <c r="L62" s="211">
        <f>IF(L61&gt;P43,R43,IF(L61&gt;P42,R42,IF(L61&gt;P41,R41,IF(L61&gt;P40,R40,R39))))</f>
        <v>40</v>
      </c>
      <c r="M62" s="211"/>
      <c r="N62" s="211"/>
      <c r="O62" s="125"/>
      <c r="T62" s="113">
        <f t="shared" si="2"/>
        <v>36</v>
      </c>
      <c r="U62" s="113" t="s">
        <v>189</v>
      </c>
      <c r="V62" s="114"/>
      <c r="W62" s="114">
        <f t="shared" si="4"/>
        <v>45762</v>
      </c>
      <c r="X62" s="114"/>
      <c r="Y62" s="115">
        <v>0</v>
      </c>
      <c r="Z62" s="116">
        <v>1</v>
      </c>
      <c r="AA62" s="117">
        <f t="shared" si="1"/>
        <v>0</v>
      </c>
      <c r="AB62" s="118">
        <f t="shared" si="5"/>
        <v>45106</v>
      </c>
      <c r="AC62" s="118">
        <f t="shared" si="6"/>
        <v>45615</v>
      </c>
      <c r="AD62" s="118">
        <f t="shared" si="0"/>
        <v>-509</v>
      </c>
      <c r="AE62" s="117">
        <f t="shared" si="3"/>
        <v>0</v>
      </c>
    </row>
    <row r="63" spans="2:31" ht="15.75" customHeight="1" thickBot="1" x14ac:dyDescent="0.3">
      <c r="B63" s="212" t="s">
        <v>185</v>
      </c>
      <c r="C63" s="212"/>
      <c r="D63" s="212"/>
      <c r="E63" s="212"/>
      <c r="F63" s="212"/>
      <c r="G63" s="212"/>
      <c r="H63" s="212"/>
      <c r="I63" s="212"/>
      <c r="J63" s="212"/>
      <c r="K63" s="212"/>
      <c r="L63" s="212"/>
      <c r="M63" s="212"/>
      <c r="N63" s="212"/>
      <c r="T63" s="113">
        <f t="shared" si="2"/>
        <v>37</v>
      </c>
      <c r="U63" s="113" t="s">
        <v>190</v>
      </c>
      <c r="V63" s="114"/>
      <c r="W63" s="114">
        <f t="shared" si="4"/>
        <v>45762</v>
      </c>
      <c r="X63" s="114"/>
      <c r="Y63" s="115">
        <v>0</v>
      </c>
      <c r="Z63" s="116">
        <v>1</v>
      </c>
      <c r="AA63" s="117">
        <f t="shared" si="1"/>
        <v>0</v>
      </c>
      <c r="AB63" s="118">
        <f t="shared" si="5"/>
        <v>45106</v>
      </c>
      <c r="AC63" s="118">
        <f t="shared" si="6"/>
        <v>45615</v>
      </c>
      <c r="AD63" s="118">
        <f t="shared" si="0"/>
        <v>-509</v>
      </c>
      <c r="AE63" s="117">
        <f t="shared" si="3"/>
        <v>0</v>
      </c>
    </row>
    <row r="64" spans="2:31" ht="15.75" customHeight="1" thickBot="1" x14ac:dyDescent="0.3">
      <c r="B64" s="220" t="s">
        <v>94</v>
      </c>
      <c r="C64" s="220"/>
      <c r="D64" s="220"/>
      <c r="E64" s="220"/>
      <c r="F64" s="220"/>
      <c r="G64" s="220"/>
      <c r="H64" s="220"/>
      <c r="I64" s="220"/>
      <c r="J64" s="220"/>
      <c r="K64" s="220"/>
      <c r="L64" s="220"/>
      <c r="M64" s="221">
        <f>$K$7</f>
        <v>1</v>
      </c>
      <c r="N64" s="221"/>
      <c r="T64" s="113">
        <f t="shared" si="2"/>
        <v>38</v>
      </c>
      <c r="U64" s="113" t="s">
        <v>191</v>
      </c>
      <c r="V64" s="114"/>
      <c r="W64" s="114">
        <f t="shared" si="4"/>
        <v>45762</v>
      </c>
      <c r="X64" s="114"/>
      <c r="Y64" s="115">
        <v>0</v>
      </c>
      <c r="Z64" s="116">
        <v>1</v>
      </c>
      <c r="AA64" s="117">
        <f t="shared" si="1"/>
        <v>0</v>
      </c>
      <c r="AB64" s="118">
        <f t="shared" si="5"/>
        <v>45106</v>
      </c>
      <c r="AC64" s="118">
        <f t="shared" si="6"/>
        <v>45615</v>
      </c>
      <c r="AD64" s="118">
        <f t="shared" si="0"/>
        <v>-509</v>
      </c>
      <c r="AE64" s="117">
        <f t="shared" si="3"/>
        <v>0</v>
      </c>
    </row>
    <row r="65" spans="2:31" ht="15.75" customHeight="1" thickBot="1" x14ac:dyDescent="0.25">
      <c r="B65" s="161" t="s">
        <v>188</v>
      </c>
      <c r="C65" s="161"/>
      <c r="D65" s="161"/>
      <c r="E65" s="161"/>
      <c r="F65" s="161"/>
      <c r="G65" s="161"/>
      <c r="H65" s="161"/>
      <c r="I65" s="161"/>
      <c r="J65" s="161"/>
      <c r="K65" s="161"/>
      <c r="L65" s="211">
        <f>IF(M64&gt;P48,R48,IF(M64&gt;P47,R47,IF(M64&gt;P46,R46,R45)))</f>
        <v>20</v>
      </c>
      <c r="M65" s="211"/>
      <c r="N65" s="211"/>
      <c r="T65" s="113">
        <f t="shared" si="2"/>
        <v>39</v>
      </c>
      <c r="U65" s="113" t="s">
        <v>192</v>
      </c>
      <c r="V65" s="114"/>
      <c r="W65" s="114">
        <f t="shared" si="4"/>
        <v>45762</v>
      </c>
      <c r="X65" s="114"/>
      <c r="Y65" s="115">
        <v>0</v>
      </c>
      <c r="Z65" s="116">
        <v>1</v>
      </c>
      <c r="AA65" s="117">
        <f t="shared" si="1"/>
        <v>0</v>
      </c>
      <c r="AB65" s="118">
        <f t="shared" si="5"/>
        <v>45106</v>
      </c>
      <c r="AC65" s="118">
        <f t="shared" si="6"/>
        <v>45615</v>
      </c>
      <c r="AD65" s="118">
        <f t="shared" si="0"/>
        <v>-509</v>
      </c>
      <c r="AE65" s="117">
        <f t="shared" si="3"/>
        <v>0</v>
      </c>
    </row>
    <row r="66" spans="2:31" ht="15.75" customHeight="1" thickBot="1" x14ac:dyDescent="0.3">
      <c r="T66" s="113">
        <f t="shared" si="2"/>
        <v>40</v>
      </c>
      <c r="U66" s="113" t="s">
        <v>193</v>
      </c>
      <c r="V66" s="114"/>
      <c r="W66" s="114">
        <f t="shared" si="4"/>
        <v>45762</v>
      </c>
      <c r="X66" s="114"/>
      <c r="Y66" s="115">
        <v>0</v>
      </c>
      <c r="Z66" s="116">
        <v>1</v>
      </c>
      <c r="AA66" s="117">
        <f t="shared" si="1"/>
        <v>0</v>
      </c>
      <c r="AB66" s="118">
        <f t="shared" si="5"/>
        <v>45106</v>
      </c>
      <c r="AC66" s="118">
        <f t="shared" si="6"/>
        <v>45615</v>
      </c>
      <c r="AD66" s="118">
        <f t="shared" si="0"/>
        <v>-509</v>
      </c>
      <c r="AE66" s="117">
        <f t="shared" si="3"/>
        <v>0</v>
      </c>
    </row>
    <row r="67" spans="2:31" ht="15.75" customHeight="1" thickBot="1" x14ac:dyDescent="0.25">
      <c r="B67" s="161" t="str">
        <f>"CAPACIDAD DE CONTRATACIÓN INTEGRANTE 1: "&amp;$F$20</f>
        <v xml:space="preserve">CAPACIDAD DE CONTRATACIÓN INTEGRANTE 1: </v>
      </c>
      <c r="C67" s="161"/>
      <c r="D67" s="161"/>
      <c r="E67" s="161"/>
      <c r="F67" s="161"/>
      <c r="G67" s="161"/>
      <c r="H67" s="161"/>
      <c r="I67" s="161"/>
      <c r="J67" s="161"/>
      <c r="K67" s="161"/>
      <c r="L67" s="167">
        <f>I29*((L57+L62+L65)/100)</f>
        <v>11342414997</v>
      </c>
      <c r="M67" s="167"/>
      <c r="N67" s="167"/>
      <c r="T67" s="113">
        <f t="shared" si="2"/>
        <v>41</v>
      </c>
      <c r="U67" s="113" t="s">
        <v>194</v>
      </c>
      <c r="V67" s="114"/>
      <c r="W67" s="114">
        <f t="shared" si="4"/>
        <v>45762</v>
      </c>
      <c r="X67" s="114"/>
      <c r="Y67" s="115">
        <v>0</v>
      </c>
      <c r="Z67" s="116">
        <v>1</v>
      </c>
      <c r="AA67" s="117">
        <f t="shared" si="1"/>
        <v>0</v>
      </c>
      <c r="AB67" s="118">
        <f t="shared" si="5"/>
        <v>45106</v>
      </c>
      <c r="AC67" s="118">
        <f t="shared" si="6"/>
        <v>45615</v>
      </c>
      <c r="AD67" s="118">
        <f t="shared" si="0"/>
        <v>-509</v>
      </c>
      <c r="AE67" s="117">
        <f t="shared" si="3"/>
        <v>0</v>
      </c>
    </row>
    <row r="68" spans="2:31" ht="15.75" customHeight="1" thickBot="1" x14ac:dyDescent="0.25">
      <c r="B68" s="161" t="str">
        <f>"SALDO DE LOS CONTRATOS EN EJECUCIÓN INTEGRANTE 1: "&amp;$F$20</f>
        <v xml:space="preserve">SALDO DE LOS CONTRATOS EN EJECUCIÓN INTEGRANTE 1: </v>
      </c>
      <c r="C68" s="161"/>
      <c r="D68" s="161"/>
      <c r="E68" s="161"/>
      <c r="F68" s="161"/>
      <c r="G68" s="161"/>
      <c r="H68" s="161"/>
      <c r="I68" s="161"/>
      <c r="J68" s="161"/>
      <c r="K68" s="161"/>
      <c r="L68" s="167">
        <f>$M$7</f>
        <v>3469568508</v>
      </c>
      <c r="M68" s="167"/>
      <c r="N68" s="167"/>
      <c r="T68" s="113">
        <f t="shared" si="2"/>
        <v>42</v>
      </c>
      <c r="U68" s="113" t="s">
        <v>195</v>
      </c>
      <c r="V68" s="114"/>
      <c r="W68" s="114">
        <f t="shared" si="4"/>
        <v>45762</v>
      </c>
      <c r="X68" s="114"/>
      <c r="Y68" s="115">
        <v>0</v>
      </c>
      <c r="Z68" s="116">
        <v>1</v>
      </c>
      <c r="AA68" s="117">
        <f t="shared" si="1"/>
        <v>0</v>
      </c>
      <c r="AB68" s="118">
        <f t="shared" si="5"/>
        <v>45106</v>
      </c>
      <c r="AC68" s="118">
        <f t="shared" si="6"/>
        <v>45615</v>
      </c>
      <c r="AD68" s="118">
        <f t="shared" si="0"/>
        <v>-509</v>
      </c>
      <c r="AE68" s="117">
        <f t="shared" si="3"/>
        <v>0</v>
      </c>
    </row>
    <row r="69" spans="2:31" ht="15.75" customHeight="1" thickBot="1" x14ac:dyDescent="0.25">
      <c r="B69" s="161" t="str">
        <f>"CAPACIDAD RESIDUAL DE CONTRATACIÓN INTEGRANTE 1: "&amp;$F$20</f>
        <v xml:space="preserve">CAPACIDAD RESIDUAL DE CONTRATACIÓN INTEGRANTE 1: </v>
      </c>
      <c r="C69" s="161"/>
      <c r="D69" s="161"/>
      <c r="E69" s="161"/>
      <c r="F69" s="161"/>
      <c r="G69" s="161"/>
      <c r="H69" s="161"/>
      <c r="I69" s="161"/>
      <c r="J69" s="161"/>
      <c r="K69" s="161"/>
      <c r="L69" s="167">
        <f>L67-L68</f>
        <v>7872846489</v>
      </c>
      <c r="M69" s="167"/>
      <c r="N69" s="167"/>
      <c r="T69" s="113">
        <f t="shared" si="2"/>
        <v>43</v>
      </c>
      <c r="U69" s="113" t="s">
        <v>198</v>
      </c>
      <c r="V69" s="114"/>
      <c r="W69" s="114">
        <f t="shared" si="4"/>
        <v>45762</v>
      </c>
      <c r="X69" s="114"/>
      <c r="Y69" s="115">
        <v>0</v>
      </c>
      <c r="Z69" s="116">
        <v>1</v>
      </c>
      <c r="AA69" s="117">
        <f t="shared" si="1"/>
        <v>0</v>
      </c>
      <c r="AB69" s="118">
        <f t="shared" si="5"/>
        <v>45106</v>
      </c>
      <c r="AC69" s="118">
        <f t="shared" si="6"/>
        <v>45615</v>
      </c>
      <c r="AD69" s="118">
        <f t="shared" si="0"/>
        <v>-509</v>
      </c>
      <c r="AE69" s="117">
        <f t="shared" si="3"/>
        <v>0</v>
      </c>
    </row>
    <row r="70" spans="2:31" ht="15.75" customHeight="1" thickBot="1" x14ac:dyDescent="0.25">
      <c r="B70" s="127"/>
      <c r="C70" s="127"/>
      <c r="D70" s="127"/>
      <c r="E70" s="127"/>
      <c r="F70" s="127"/>
      <c r="G70" s="127"/>
      <c r="H70" s="127"/>
      <c r="I70" s="127"/>
      <c r="J70" s="127"/>
      <c r="K70" s="127"/>
      <c r="L70" s="128"/>
      <c r="M70" s="128"/>
      <c r="N70" s="128"/>
      <c r="Z70" s="235" t="s">
        <v>199</v>
      </c>
      <c r="AA70" s="235"/>
      <c r="AB70" s="235"/>
      <c r="AC70" s="235"/>
      <c r="AD70" s="235"/>
      <c r="AE70" s="126">
        <f>SUM(AE26:AE69)</f>
        <v>2921045560</v>
      </c>
    </row>
    <row r="71" spans="2:31" ht="15.75" customHeight="1" x14ac:dyDescent="0.25">
      <c r="B71" s="180" t="str">
        <f>"INTEGRANTE 2: "&amp;$C$8</f>
        <v>INTEGRANTE 2: Dorado Asociados SAS</v>
      </c>
      <c r="C71" s="181"/>
      <c r="D71" s="181"/>
      <c r="E71" s="181"/>
      <c r="F71" s="181"/>
      <c r="G71" s="181"/>
      <c r="H71" s="181"/>
      <c r="I71" s="181"/>
      <c r="J71" s="181"/>
      <c r="K71" s="181"/>
      <c r="L71" s="181"/>
      <c r="M71" s="181"/>
      <c r="N71" s="182"/>
    </row>
    <row r="72" spans="2:31" ht="15.75" customHeight="1" thickBot="1" x14ac:dyDescent="0.25">
      <c r="B72" s="167" t="s">
        <v>102</v>
      </c>
      <c r="C72" s="167"/>
      <c r="D72" s="167"/>
      <c r="E72" s="167"/>
      <c r="F72" s="167"/>
      <c r="G72" s="167"/>
      <c r="H72" s="167"/>
      <c r="I72" s="228">
        <f>$G$8</f>
        <v>0.8</v>
      </c>
      <c r="J72" s="228"/>
      <c r="K72" s="228"/>
      <c r="L72" s="228"/>
      <c r="M72" s="228"/>
      <c r="N72" s="228"/>
      <c r="P72" s="64"/>
    </row>
    <row r="73" spans="2:31" ht="15.75" customHeight="1" thickBot="1" x14ac:dyDescent="0.3">
      <c r="B73" s="212" t="s">
        <v>103</v>
      </c>
      <c r="C73" s="212"/>
      <c r="D73" s="212"/>
      <c r="E73" s="212"/>
      <c r="F73" s="212"/>
      <c r="G73" s="212"/>
      <c r="H73" s="212" t="s">
        <v>104</v>
      </c>
      <c r="I73" s="212"/>
      <c r="J73" s="212"/>
      <c r="K73" s="212"/>
      <c r="L73" s="212"/>
      <c r="M73" s="212"/>
      <c r="N73" s="91" t="s">
        <v>105</v>
      </c>
      <c r="T73" s="231" t="s">
        <v>108</v>
      </c>
      <c r="U73" s="231"/>
      <c r="V73" s="232" t="str">
        <f>B71</f>
        <v>INTEGRANTE 2: Dorado Asociados SAS</v>
      </c>
      <c r="W73" s="233"/>
      <c r="X73" s="233"/>
      <c r="Y73" s="233"/>
      <c r="Z73" s="233"/>
      <c r="AA73" s="234"/>
    </row>
    <row r="74" spans="2:31" ht="15.75" customHeight="1" thickBot="1" x14ac:dyDescent="0.3">
      <c r="B74" s="186"/>
      <c r="C74" s="187"/>
      <c r="D74" s="187"/>
      <c r="E74" s="187"/>
      <c r="F74" s="187"/>
      <c r="G74" s="188"/>
      <c r="H74" s="217" t="s">
        <v>106</v>
      </c>
      <c r="I74" s="217"/>
      <c r="J74" s="217"/>
      <c r="K74" s="217"/>
      <c r="L74" s="217"/>
      <c r="M74" s="217"/>
      <c r="N74" s="79">
        <v>120</v>
      </c>
      <c r="T74" s="104" t="s">
        <v>111</v>
      </c>
      <c r="U74" s="129">
        <f>U22</f>
        <v>45614</v>
      </c>
    </row>
    <row r="75" spans="2:31" ht="15.75" customHeight="1" thickBot="1" x14ac:dyDescent="0.3">
      <c r="B75" s="189"/>
      <c r="C75" s="190"/>
      <c r="D75" s="190"/>
      <c r="E75" s="190"/>
      <c r="F75" s="190"/>
      <c r="G75" s="191"/>
      <c r="H75" s="217" t="s">
        <v>107</v>
      </c>
      <c r="I75" s="217"/>
      <c r="J75" s="217"/>
      <c r="K75" s="217"/>
      <c r="L75" s="217"/>
      <c r="M75" s="217"/>
      <c r="N75" s="79">
        <v>40</v>
      </c>
      <c r="T75" s="109"/>
      <c r="U75" s="110"/>
    </row>
    <row r="76" spans="2:31" ht="18.75" customHeight="1" x14ac:dyDescent="0.25">
      <c r="B76" s="189"/>
      <c r="C76" s="190"/>
      <c r="D76" s="190"/>
      <c r="E76" s="190"/>
      <c r="F76" s="190"/>
      <c r="G76" s="191"/>
      <c r="H76" s="217" t="s">
        <v>109</v>
      </c>
      <c r="I76" s="217"/>
      <c r="J76" s="217"/>
      <c r="K76" s="217"/>
      <c r="L76" s="217"/>
      <c r="M76" s="217"/>
      <c r="N76" s="79">
        <v>40</v>
      </c>
      <c r="O76" s="119"/>
      <c r="Q76" s="103" t="s">
        <v>210</v>
      </c>
      <c r="T76" s="229" t="s">
        <v>113</v>
      </c>
      <c r="U76" s="225" t="s">
        <v>114</v>
      </c>
      <c r="V76" s="225" t="s">
        <v>115</v>
      </c>
      <c r="W76" s="225" t="s">
        <v>116</v>
      </c>
      <c r="X76" s="225" t="s">
        <v>117</v>
      </c>
      <c r="Y76" s="225" t="s">
        <v>118</v>
      </c>
      <c r="Z76" s="225" t="s">
        <v>119</v>
      </c>
      <c r="AA76" s="225" t="s">
        <v>120</v>
      </c>
      <c r="AB76" s="225" t="s">
        <v>121</v>
      </c>
      <c r="AC76" s="225" t="s">
        <v>122</v>
      </c>
      <c r="AD76" s="225" t="s">
        <v>123</v>
      </c>
      <c r="AE76" s="225" t="s">
        <v>124</v>
      </c>
    </row>
    <row r="77" spans="2:31" ht="15.75" customHeight="1" thickBot="1" x14ac:dyDescent="0.3">
      <c r="B77" s="192"/>
      <c r="C77" s="193"/>
      <c r="D77" s="193"/>
      <c r="E77" s="193"/>
      <c r="F77" s="193"/>
      <c r="G77" s="194"/>
      <c r="H77" s="212" t="s">
        <v>44</v>
      </c>
      <c r="I77" s="212"/>
      <c r="J77" s="212"/>
      <c r="K77" s="212"/>
      <c r="L77" s="212"/>
      <c r="M77" s="212"/>
      <c r="N77" s="79">
        <f>SUM(N74:N76)</f>
        <v>200</v>
      </c>
      <c r="O77" s="119"/>
      <c r="Q77" s="108">
        <v>1423500</v>
      </c>
      <c r="T77" s="230"/>
      <c r="U77" s="226"/>
      <c r="V77" s="226"/>
      <c r="W77" s="226"/>
      <c r="X77" s="226"/>
      <c r="Y77" s="226"/>
      <c r="Z77" s="226"/>
      <c r="AA77" s="226"/>
      <c r="AB77" s="226"/>
      <c r="AC77" s="226"/>
      <c r="AD77" s="226"/>
      <c r="AE77" s="226"/>
    </row>
    <row r="78" spans="2:31" ht="15.75" customHeight="1" thickBot="1" x14ac:dyDescent="0.3">
      <c r="B78" s="212" t="s">
        <v>211</v>
      </c>
      <c r="C78" s="212"/>
      <c r="D78" s="212"/>
      <c r="E78" s="212"/>
      <c r="F78" s="212"/>
      <c r="G78" s="212"/>
      <c r="H78" s="212"/>
      <c r="I78" s="212"/>
      <c r="J78" s="212"/>
      <c r="K78" s="212"/>
      <c r="L78" s="212"/>
      <c r="M78" s="212"/>
      <c r="N78" s="212"/>
      <c r="O78" s="119"/>
      <c r="T78" s="113">
        <v>1</v>
      </c>
      <c r="U78" s="113" t="s">
        <v>128</v>
      </c>
      <c r="V78" s="114">
        <v>42095</v>
      </c>
      <c r="W78" s="114">
        <v>42124</v>
      </c>
      <c r="X78" s="114">
        <v>42099</v>
      </c>
      <c r="Y78" s="115">
        <v>30000000</v>
      </c>
      <c r="Z78" s="116">
        <v>1</v>
      </c>
      <c r="AA78" s="117">
        <f>Y78*Z78</f>
        <v>30000000</v>
      </c>
      <c r="AB78" s="118">
        <f>DAYS360(V78,W78)+1</f>
        <v>30</v>
      </c>
      <c r="AC78" s="118">
        <f t="shared" ref="AC78:AC121" si="9">IF(X78&gt;$R$45,(X78-V78)+1,($U$22-V78)+1)</f>
        <v>5</v>
      </c>
      <c r="AD78" s="118">
        <f>IF((AB78-AC78)&gt;$P$28,$P$28,(AB78-AC78))</f>
        <v>25</v>
      </c>
      <c r="AE78" s="117">
        <f>ROUND((AA78/AB78)*AD78,0)</f>
        <v>25000000</v>
      </c>
    </row>
    <row r="79" spans="2:31" ht="15.75" customHeight="1" thickBot="1" x14ac:dyDescent="0.3">
      <c r="B79" s="239" t="s">
        <v>125</v>
      </c>
      <c r="C79" s="240"/>
      <c r="D79" s="240"/>
      <c r="E79" s="240"/>
      <c r="F79" s="240"/>
      <c r="G79" s="240"/>
      <c r="H79" s="241"/>
      <c r="I79" s="183" t="s">
        <v>126</v>
      </c>
      <c r="J79" s="184"/>
      <c r="K79" s="184"/>
      <c r="L79" s="184"/>
      <c r="M79" s="184"/>
      <c r="N79" s="185"/>
      <c r="P79" s="99" t="s">
        <v>130</v>
      </c>
      <c r="Q79" s="99" t="s">
        <v>0</v>
      </c>
      <c r="R79" s="99" t="s">
        <v>131</v>
      </c>
      <c r="T79" s="113">
        <f>T78+1</f>
        <v>2</v>
      </c>
      <c r="U79" s="113" t="s">
        <v>132</v>
      </c>
      <c r="V79" s="114"/>
      <c r="W79" s="114">
        <f>U74</f>
        <v>45614</v>
      </c>
      <c r="X79" s="114"/>
      <c r="Y79" s="115">
        <v>0</v>
      </c>
      <c r="Z79" s="116">
        <v>1</v>
      </c>
      <c r="AA79" s="117">
        <f t="shared" ref="AA79:AA121" si="10">Y79*Z79</f>
        <v>0</v>
      </c>
      <c r="AB79" s="118">
        <f t="shared" ref="AB79:AB121" si="11">DAYS360(V79,W79)+1</f>
        <v>44959</v>
      </c>
      <c r="AC79" s="118">
        <f t="shared" si="9"/>
        <v>45615</v>
      </c>
      <c r="AD79" s="118">
        <f t="shared" ref="AD79:AD121" si="12">IF((AB79-AC79)&gt;$P$28,$P$28,(AB79-AC79))</f>
        <v>-656</v>
      </c>
      <c r="AE79" s="117">
        <f t="shared" ref="AE79:AE121" si="13">ROUND((AA79/AB79)*AD79,0)</f>
        <v>0</v>
      </c>
    </row>
    <row r="80" spans="2:31" ht="15.75" customHeight="1" thickBot="1" x14ac:dyDescent="0.3">
      <c r="B80" s="236" t="s">
        <v>127</v>
      </c>
      <c r="C80" s="237"/>
      <c r="D80" s="237"/>
      <c r="E80" s="237"/>
      <c r="F80" s="237"/>
      <c r="G80" s="237"/>
      <c r="H80" s="238"/>
      <c r="I80" s="168">
        <f>IF($H$8&gt;$R$31,$H$8,$R$31)</f>
        <v>6053978604</v>
      </c>
      <c r="J80" s="169"/>
      <c r="K80" s="169"/>
      <c r="L80" s="169"/>
      <c r="M80" s="169"/>
      <c r="N80" s="170"/>
      <c r="P80" s="79">
        <v>360</v>
      </c>
      <c r="Q80" s="79" t="s">
        <v>3</v>
      </c>
      <c r="R80" s="79">
        <v>12</v>
      </c>
      <c r="T80" s="113">
        <f t="shared" ref="T80:T121" si="14">T79+1</f>
        <v>3</v>
      </c>
      <c r="U80" s="113" t="s">
        <v>134</v>
      </c>
      <c r="V80" s="114"/>
      <c r="W80" s="114">
        <f t="shared" ref="W80:W121" si="15">W79</f>
        <v>45614</v>
      </c>
      <c r="X80" s="114"/>
      <c r="Y80" s="115">
        <v>0</v>
      </c>
      <c r="Z80" s="116">
        <v>1</v>
      </c>
      <c r="AA80" s="117">
        <f t="shared" si="10"/>
        <v>0</v>
      </c>
      <c r="AB80" s="118">
        <f t="shared" si="11"/>
        <v>44959</v>
      </c>
      <c r="AC80" s="118">
        <f t="shared" si="9"/>
        <v>45615</v>
      </c>
      <c r="AD80" s="118">
        <f t="shared" si="12"/>
        <v>-656</v>
      </c>
      <c r="AE80" s="117">
        <f t="shared" si="13"/>
        <v>0</v>
      </c>
    </row>
    <row r="81" spans="2:31" ht="15.75" customHeight="1" thickBot="1" x14ac:dyDescent="0.3">
      <c r="B81" s="212" t="s">
        <v>212</v>
      </c>
      <c r="C81" s="212"/>
      <c r="D81" s="212"/>
      <c r="E81" s="212"/>
      <c r="F81" s="212"/>
      <c r="G81" s="212"/>
      <c r="H81" s="212"/>
      <c r="I81" s="212"/>
      <c r="J81" s="212"/>
      <c r="K81" s="212"/>
      <c r="L81" s="212"/>
      <c r="M81" s="212"/>
      <c r="N81" s="212"/>
      <c r="T81" s="113">
        <f t="shared" si="14"/>
        <v>4</v>
      </c>
      <c r="U81" s="113" t="s">
        <v>138</v>
      </c>
      <c r="V81" s="114"/>
      <c r="W81" s="114">
        <f t="shared" si="15"/>
        <v>45614</v>
      </c>
      <c r="X81" s="114"/>
      <c r="Y81" s="115">
        <v>0</v>
      </c>
      <c r="Z81" s="116">
        <v>1</v>
      </c>
      <c r="AA81" s="117">
        <f t="shared" si="10"/>
        <v>0</v>
      </c>
      <c r="AB81" s="118">
        <f t="shared" si="11"/>
        <v>44959</v>
      </c>
      <c r="AC81" s="118">
        <f t="shared" si="9"/>
        <v>45615</v>
      </c>
      <c r="AD81" s="118">
        <f t="shared" si="12"/>
        <v>-656</v>
      </c>
      <c r="AE81" s="117">
        <f t="shared" si="13"/>
        <v>0</v>
      </c>
    </row>
    <row r="82" spans="2:31" ht="15.75" customHeight="1" thickBot="1" x14ac:dyDescent="0.3">
      <c r="B82" s="212" t="s">
        <v>133</v>
      </c>
      <c r="C82" s="212"/>
      <c r="D82" s="212"/>
      <c r="E82" s="212"/>
      <c r="F82" s="212"/>
      <c r="G82" s="212"/>
      <c r="H82" s="212"/>
      <c r="I82" s="212"/>
      <c r="J82" s="212"/>
      <c r="K82" s="212"/>
      <c r="L82" s="212"/>
      <c r="M82" s="212"/>
      <c r="N82" s="212"/>
      <c r="P82" s="99" t="s">
        <v>139</v>
      </c>
      <c r="Q82" s="99" t="s">
        <v>140</v>
      </c>
      <c r="R82" s="99" t="s">
        <v>141</v>
      </c>
      <c r="T82" s="113">
        <f t="shared" si="14"/>
        <v>5</v>
      </c>
      <c r="U82" s="113" t="s">
        <v>142</v>
      </c>
      <c r="V82" s="114"/>
      <c r="W82" s="114">
        <f t="shared" si="15"/>
        <v>45614</v>
      </c>
      <c r="X82" s="114"/>
      <c r="Y82" s="115">
        <v>0</v>
      </c>
      <c r="Z82" s="116">
        <v>1</v>
      </c>
      <c r="AA82" s="117">
        <f t="shared" si="10"/>
        <v>0</v>
      </c>
      <c r="AB82" s="118">
        <f t="shared" si="11"/>
        <v>44959</v>
      </c>
      <c r="AC82" s="118">
        <f t="shared" si="9"/>
        <v>45615</v>
      </c>
      <c r="AD82" s="118">
        <f t="shared" si="12"/>
        <v>-656</v>
      </c>
      <c r="AE82" s="117">
        <f t="shared" si="13"/>
        <v>0</v>
      </c>
    </row>
    <row r="83" spans="2:31" ht="15.75" customHeight="1" thickBot="1" x14ac:dyDescent="0.25">
      <c r="B83" s="122" t="s">
        <v>135</v>
      </c>
      <c r="C83" s="160" t="s">
        <v>136</v>
      </c>
      <c r="D83" s="122" t="s">
        <v>135</v>
      </c>
      <c r="E83" s="160" t="s">
        <v>136</v>
      </c>
      <c r="F83" s="122" t="s">
        <v>135</v>
      </c>
      <c r="G83" s="160" t="s">
        <v>136</v>
      </c>
      <c r="H83" s="122" t="s">
        <v>135</v>
      </c>
      <c r="I83" s="160" t="s">
        <v>136</v>
      </c>
      <c r="J83" s="122" t="s">
        <v>135</v>
      </c>
      <c r="K83" s="160" t="s">
        <v>136</v>
      </c>
      <c r="L83" s="122" t="s">
        <v>135</v>
      </c>
      <c r="M83" s="160" t="s">
        <v>136</v>
      </c>
      <c r="N83" s="195" t="s">
        <v>137</v>
      </c>
      <c r="P83" s="121">
        <v>125000</v>
      </c>
      <c r="Q83" s="108">
        <f>533287768/P83</f>
        <v>4266.3021440000002</v>
      </c>
      <c r="R83" s="108">
        <f>ROUNDUP(P83*Q83,-3)</f>
        <v>533288000</v>
      </c>
      <c r="T83" s="113">
        <f t="shared" si="14"/>
        <v>6</v>
      </c>
      <c r="U83" s="113" t="s">
        <v>143</v>
      </c>
      <c r="V83" s="114"/>
      <c r="W83" s="114">
        <f t="shared" si="15"/>
        <v>45614</v>
      </c>
      <c r="X83" s="114"/>
      <c r="Y83" s="115">
        <v>0</v>
      </c>
      <c r="Z83" s="116">
        <v>1</v>
      </c>
      <c r="AA83" s="117">
        <f t="shared" si="10"/>
        <v>0</v>
      </c>
      <c r="AB83" s="118">
        <f t="shared" si="11"/>
        <v>44959</v>
      </c>
      <c r="AC83" s="118">
        <f t="shared" si="9"/>
        <v>45615</v>
      </c>
      <c r="AD83" s="118">
        <f t="shared" si="12"/>
        <v>-656</v>
      </c>
      <c r="AE83" s="117">
        <f t="shared" si="13"/>
        <v>0</v>
      </c>
    </row>
    <row r="84" spans="2:31" ht="15.75" customHeight="1" thickBot="1" x14ac:dyDescent="0.25">
      <c r="B84" s="123">
        <v>1</v>
      </c>
      <c r="C84" s="159">
        <v>141.61500000000001</v>
      </c>
      <c r="D84" s="123">
        <v>22</v>
      </c>
      <c r="E84" s="159">
        <v>588.303</v>
      </c>
      <c r="F84" s="123">
        <v>43</v>
      </c>
      <c r="G84" s="158">
        <v>168.63</v>
      </c>
      <c r="H84" s="123">
        <v>64</v>
      </c>
      <c r="I84" s="158"/>
      <c r="J84" s="123">
        <v>85</v>
      </c>
      <c r="K84" s="158"/>
      <c r="L84" s="123">
        <v>106</v>
      </c>
      <c r="M84" s="158"/>
      <c r="N84" s="196"/>
      <c r="Q84" s="81" t="s">
        <v>144</v>
      </c>
      <c r="T84" s="113">
        <f t="shared" si="14"/>
        <v>7</v>
      </c>
      <c r="U84" s="113" t="s">
        <v>145</v>
      </c>
      <c r="V84" s="114"/>
      <c r="W84" s="114">
        <f t="shared" si="15"/>
        <v>45614</v>
      </c>
      <c r="X84" s="114"/>
      <c r="Y84" s="115">
        <v>0</v>
      </c>
      <c r="Z84" s="116">
        <v>1</v>
      </c>
      <c r="AA84" s="117">
        <f t="shared" si="10"/>
        <v>0</v>
      </c>
      <c r="AB84" s="118">
        <f t="shared" si="11"/>
        <v>44959</v>
      </c>
      <c r="AC84" s="118">
        <f t="shared" si="9"/>
        <v>45615</v>
      </c>
      <c r="AD84" s="118">
        <f t="shared" si="12"/>
        <v>-656</v>
      </c>
      <c r="AE84" s="117">
        <f t="shared" si="13"/>
        <v>0</v>
      </c>
    </row>
    <row r="85" spans="2:31" ht="15.75" customHeight="1" thickBot="1" x14ac:dyDescent="0.25">
      <c r="B85" s="123">
        <f>+B84+1</f>
        <v>2</v>
      </c>
      <c r="C85" s="159">
        <v>1936.16</v>
      </c>
      <c r="D85" s="123">
        <f>+D84+1</f>
        <v>23</v>
      </c>
      <c r="E85" s="159">
        <v>76.33</v>
      </c>
      <c r="F85" s="123">
        <f>+F84+1</f>
        <v>44</v>
      </c>
      <c r="G85" s="158">
        <v>180.85</v>
      </c>
      <c r="H85" s="123">
        <f>+H84+1</f>
        <v>65</v>
      </c>
      <c r="I85" s="158"/>
      <c r="J85" s="123">
        <f>+J84+1</f>
        <v>86</v>
      </c>
      <c r="K85" s="158"/>
      <c r="L85" s="123">
        <f>+L84+1</f>
        <v>107</v>
      </c>
      <c r="M85" s="158"/>
      <c r="N85" s="196"/>
      <c r="P85" s="212" t="s">
        <v>146</v>
      </c>
      <c r="Q85" s="212"/>
      <c r="R85" s="99" t="s">
        <v>147</v>
      </c>
      <c r="T85" s="113">
        <f t="shared" si="14"/>
        <v>8</v>
      </c>
      <c r="U85" s="113" t="s">
        <v>148</v>
      </c>
      <c r="V85" s="114"/>
      <c r="W85" s="114">
        <f t="shared" si="15"/>
        <v>45614</v>
      </c>
      <c r="X85" s="114"/>
      <c r="Y85" s="115">
        <v>0</v>
      </c>
      <c r="Z85" s="116">
        <v>1</v>
      </c>
      <c r="AA85" s="117">
        <f t="shared" si="10"/>
        <v>0</v>
      </c>
      <c r="AB85" s="118">
        <f t="shared" si="11"/>
        <v>44959</v>
      </c>
      <c r="AC85" s="118">
        <f t="shared" si="9"/>
        <v>45615</v>
      </c>
      <c r="AD85" s="118">
        <f t="shared" si="12"/>
        <v>-656</v>
      </c>
      <c r="AE85" s="117">
        <f t="shared" si="13"/>
        <v>0</v>
      </c>
    </row>
    <row r="86" spans="2:31" ht="15.75" customHeight="1" thickBot="1" x14ac:dyDescent="0.25">
      <c r="B86" s="123">
        <f t="shared" ref="B86:B104" si="16">+B85+1</f>
        <v>3</v>
      </c>
      <c r="C86" s="159">
        <v>39.67</v>
      </c>
      <c r="D86" s="123">
        <f t="shared" ref="D86:L104" si="17">+D85+1</f>
        <v>24</v>
      </c>
      <c r="E86" s="159">
        <v>604.12799999999993</v>
      </c>
      <c r="F86" s="123">
        <f t="shared" si="17"/>
        <v>45</v>
      </c>
      <c r="G86" s="158">
        <v>42.6</v>
      </c>
      <c r="H86" s="123">
        <f t="shared" si="17"/>
        <v>66</v>
      </c>
      <c r="I86" s="158"/>
      <c r="J86" s="123">
        <f t="shared" si="17"/>
        <v>87</v>
      </c>
      <c r="K86" s="158"/>
      <c r="L86" s="123">
        <f t="shared" si="17"/>
        <v>108</v>
      </c>
      <c r="M86" s="158"/>
      <c r="N86" s="196"/>
      <c r="P86" s="79">
        <v>0</v>
      </c>
      <c r="Q86" s="79">
        <v>3</v>
      </c>
      <c r="R86" s="79">
        <v>60</v>
      </c>
      <c r="T86" s="113">
        <f t="shared" si="14"/>
        <v>9</v>
      </c>
      <c r="U86" s="113" t="s">
        <v>149</v>
      </c>
      <c r="V86" s="114"/>
      <c r="W86" s="114">
        <f t="shared" si="15"/>
        <v>45614</v>
      </c>
      <c r="X86" s="114"/>
      <c r="Y86" s="115">
        <v>0</v>
      </c>
      <c r="Z86" s="116">
        <v>1</v>
      </c>
      <c r="AA86" s="117">
        <f t="shared" si="10"/>
        <v>0</v>
      </c>
      <c r="AB86" s="118">
        <f t="shared" si="11"/>
        <v>44959</v>
      </c>
      <c r="AC86" s="118">
        <f t="shared" si="9"/>
        <v>45615</v>
      </c>
      <c r="AD86" s="118">
        <f t="shared" si="12"/>
        <v>-656</v>
      </c>
      <c r="AE86" s="117">
        <f t="shared" si="13"/>
        <v>0</v>
      </c>
    </row>
    <row r="87" spans="2:31" ht="15.75" customHeight="1" thickBot="1" x14ac:dyDescent="0.25">
      <c r="B87" s="123">
        <f t="shared" si="16"/>
        <v>4</v>
      </c>
      <c r="C87" s="159">
        <v>123.256</v>
      </c>
      <c r="D87" s="123">
        <f t="shared" si="17"/>
        <v>25</v>
      </c>
      <c r="E87" s="159">
        <v>229.93600000000001</v>
      </c>
      <c r="F87" s="123">
        <f t="shared" si="17"/>
        <v>46</v>
      </c>
      <c r="G87" s="158">
        <v>87.04</v>
      </c>
      <c r="H87" s="123">
        <f t="shared" si="17"/>
        <v>67</v>
      </c>
      <c r="I87" s="158"/>
      <c r="J87" s="123">
        <f t="shared" si="17"/>
        <v>88</v>
      </c>
      <c r="K87" s="158"/>
      <c r="L87" s="123">
        <f t="shared" si="17"/>
        <v>109</v>
      </c>
      <c r="M87" s="158"/>
      <c r="N87" s="196"/>
      <c r="P87" s="79">
        <v>3</v>
      </c>
      <c r="Q87" s="79">
        <v>6</v>
      </c>
      <c r="R87" s="79">
        <v>80</v>
      </c>
      <c r="T87" s="113">
        <f t="shared" si="14"/>
        <v>10</v>
      </c>
      <c r="U87" s="113" t="s">
        <v>150</v>
      </c>
      <c r="V87" s="114"/>
      <c r="W87" s="114">
        <f t="shared" si="15"/>
        <v>45614</v>
      </c>
      <c r="X87" s="114"/>
      <c r="Y87" s="115">
        <v>0</v>
      </c>
      <c r="Z87" s="116">
        <v>1</v>
      </c>
      <c r="AA87" s="117">
        <f t="shared" si="10"/>
        <v>0</v>
      </c>
      <c r="AB87" s="118">
        <f t="shared" si="11"/>
        <v>44959</v>
      </c>
      <c r="AC87" s="118">
        <f t="shared" si="9"/>
        <v>45615</v>
      </c>
      <c r="AD87" s="118">
        <f t="shared" si="12"/>
        <v>-656</v>
      </c>
      <c r="AE87" s="117">
        <f t="shared" si="13"/>
        <v>0</v>
      </c>
    </row>
    <row r="88" spans="2:31" ht="15.75" customHeight="1" thickBot="1" x14ac:dyDescent="0.25">
      <c r="B88" s="123">
        <f t="shared" si="16"/>
        <v>5</v>
      </c>
      <c r="C88" s="159">
        <v>77.518000000000001</v>
      </c>
      <c r="D88" s="123">
        <f t="shared" si="17"/>
        <v>26</v>
      </c>
      <c r="E88" s="159">
        <v>777.44100000000003</v>
      </c>
      <c r="F88" s="123">
        <f t="shared" si="17"/>
        <v>47</v>
      </c>
      <c r="G88" s="158">
        <v>393.11</v>
      </c>
      <c r="H88" s="123">
        <f t="shared" si="17"/>
        <v>68</v>
      </c>
      <c r="I88" s="158"/>
      <c r="J88" s="123">
        <f t="shared" si="17"/>
        <v>89</v>
      </c>
      <c r="K88" s="158"/>
      <c r="L88" s="123">
        <f t="shared" si="17"/>
        <v>110</v>
      </c>
      <c r="M88" s="158"/>
      <c r="N88" s="196"/>
      <c r="P88" s="79">
        <v>6</v>
      </c>
      <c r="Q88" s="79">
        <v>10</v>
      </c>
      <c r="R88" s="79">
        <v>100</v>
      </c>
      <c r="T88" s="113">
        <f t="shared" si="14"/>
        <v>11</v>
      </c>
      <c r="U88" s="113" t="s">
        <v>151</v>
      </c>
      <c r="V88" s="114"/>
      <c r="W88" s="114">
        <f t="shared" si="15"/>
        <v>45614</v>
      </c>
      <c r="X88" s="114"/>
      <c r="Y88" s="115">
        <v>0</v>
      </c>
      <c r="Z88" s="116">
        <v>1</v>
      </c>
      <c r="AA88" s="117">
        <f t="shared" si="10"/>
        <v>0</v>
      </c>
      <c r="AB88" s="118">
        <f t="shared" si="11"/>
        <v>44959</v>
      </c>
      <c r="AC88" s="118">
        <f t="shared" si="9"/>
        <v>45615</v>
      </c>
      <c r="AD88" s="118">
        <f t="shared" si="12"/>
        <v>-656</v>
      </c>
      <c r="AE88" s="117">
        <f t="shared" si="13"/>
        <v>0</v>
      </c>
    </row>
    <row r="89" spans="2:31" ht="15.75" customHeight="1" thickBot="1" x14ac:dyDescent="0.25">
      <c r="B89" s="123">
        <f t="shared" si="16"/>
        <v>6</v>
      </c>
      <c r="C89" s="159">
        <v>30.815999999999999</v>
      </c>
      <c r="D89" s="123">
        <f t="shared" si="17"/>
        <v>27</v>
      </c>
      <c r="E89" s="159">
        <v>268.35000000000002</v>
      </c>
      <c r="F89" s="123">
        <f t="shared" si="17"/>
        <v>48</v>
      </c>
      <c r="G89" s="158">
        <v>1042.655</v>
      </c>
      <c r="H89" s="123">
        <f t="shared" si="17"/>
        <v>69</v>
      </c>
      <c r="I89" s="158"/>
      <c r="J89" s="123">
        <f t="shared" si="17"/>
        <v>90</v>
      </c>
      <c r="K89" s="158"/>
      <c r="L89" s="123">
        <f t="shared" si="17"/>
        <v>111</v>
      </c>
      <c r="M89" s="158"/>
      <c r="N89" s="196"/>
      <c r="P89" s="79">
        <v>10</v>
      </c>
      <c r="Q89" s="79"/>
      <c r="R89" s="79">
        <v>120</v>
      </c>
      <c r="T89" s="113">
        <f t="shared" si="14"/>
        <v>12</v>
      </c>
      <c r="U89" s="113" t="s">
        <v>152</v>
      </c>
      <c r="V89" s="114"/>
      <c r="W89" s="114">
        <f t="shared" si="15"/>
        <v>45614</v>
      </c>
      <c r="X89" s="114"/>
      <c r="Y89" s="115">
        <v>0</v>
      </c>
      <c r="Z89" s="116">
        <v>1</v>
      </c>
      <c r="AA89" s="117">
        <f t="shared" si="10"/>
        <v>0</v>
      </c>
      <c r="AB89" s="118">
        <f t="shared" si="11"/>
        <v>44959</v>
      </c>
      <c r="AC89" s="118">
        <f t="shared" si="9"/>
        <v>45615</v>
      </c>
      <c r="AD89" s="118">
        <f t="shared" si="12"/>
        <v>-656</v>
      </c>
      <c r="AE89" s="117">
        <f t="shared" si="13"/>
        <v>0</v>
      </c>
    </row>
    <row r="90" spans="2:31" ht="15.75" customHeight="1" thickBot="1" x14ac:dyDescent="0.25">
      <c r="B90" s="123">
        <f t="shared" si="16"/>
        <v>7</v>
      </c>
      <c r="C90" s="159">
        <v>29.126999999999999</v>
      </c>
      <c r="D90" s="123">
        <f t="shared" si="17"/>
        <v>28</v>
      </c>
      <c r="E90" s="159">
        <v>181.71</v>
      </c>
      <c r="F90" s="123">
        <f t="shared" si="17"/>
        <v>49</v>
      </c>
      <c r="G90" s="158">
        <v>1019.02</v>
      </c>
      <c r="H90" s="123">
        <f t="shared" si="17"/>
        <v>70</v>
      </c>
      <c r="I90" s="158"/>
      <c r="J90" s="123">
        <f t="shared" si="17"/>
        <v>91</v>
      </c>
      <c r="K90" s="158"/>
      <c r="L90" s="123">
        <f t="shared" si="17"/>
        <v>112</v>
      </c>
      <c r="M90" s="158"/>
      <c r="N90" s="196"/>
      <c r="P90" s="212" t="s">
        <v>153</v>
      </c>
      <c r="Q90" s="212"/>
      <c r="R90" s="99" t="s">
        <v>147</v>
      </c>
      <c r="T90" s="113">
        <f t="shared" si="14"/>
        <v>13</v>
      </c>
      <c r="U90" s="113" t="s">
        <v>154</v>
      </c>
      <c r="V90" s="114"/>
      <c r="W90" s="114">
        <f t="shared" si="15"/>
        <v>45614</v>
      </c>
      <c r="X90" s="114"/>
      <c r="Y90" s="115">
        <v>0</v>
      </c>
      <c r="Z90" s="116">
        <v>1</v>
      </c>
      <c r="AA90" s="117">
        <f t="shared" si="10"/>
        <v>0</v>
      </c>
      <c r="AB90" s="118">
        <f t="shared" si="11"/>
        <v>44959</v>
      </c>
      <c r="AC90" s="118">
        <f t="shared" si="9"/>
        <v>45615</v>
      </c>
      <c r="AD90" s="118">
        <f t="shared" si="12"/>
        <v>-656</v>
      </c>
      <c r="AE90" s="117">
        <f t="shared" si="13"/>
        <v>0</v>
      </c>
    </row>
    <row r="91" spans="2:31" ht="15.75" customHeight="1" thickBot="1" x14ac:dyDescent="0.25">
      <c r="B91" s="123">
        <f t="shared" si="16"/>
        <v>8</v>
      </c>
      <c r="C91" s="159">
        <v>216.23399999999998</v>
      </c>
      <c r="D91" s="123">
        <f t="shared" si="17"/>
        <v>29</v>
      </c>
      <c r="E91" s="159">
        <v>11.44</v>
      </c>
      <c r="F91" s="123">
        <f t="shared" si="17"/>
        <v>50</v>
      </c>
      <c r="G91" s="158">
        <v>27.465</v>
      </c>
      <c r="H91" s="123">
        <f t="shared" si="17"/>
        <v>71</v>
      </c>
      <c r="I91" s="158"/>
      <c r="J91" s="123">
        <f t="shared" si="17"/>
        <v>92</v>
      </c>
      <c r="K91" s="158"/>
      <c r="L91" s="123">
        <f t="shared" si="17"/>
        <v>113</v>
      </c>
      <c r="M91" s="158"/>
      <c r="N91" s="196"/>
      <c r="P91" s="124">
        <v>0</v>
      </c>
      <c r="Q91" s="124">
        <v>0.5</v>
      </c>
      <c r="R91" s="79">
        <v>20</v>
      </c>
      <c r="T91" s="113">
        <f t="shared" si="14"/>
        <v>14</v>
      </c>
      <c r="U91" s="113" t="s">
        <v>155</v>
      </c>
      <c r="V91" s="114"/>
      <c r="W91" s="114">
        <f t="shared" si="15"/>
        <v>45614</v>
      </c>
      <c r="X91" s="114"/>
      <c r="Y91" s="115">
        <v>0</v>
      </c>
      <c r="Z91" s="116">
        <v>1</v>
      </c>
      <c r="AA91" s="117">
        <f t="shared" si="10"/>
        <v>0</v>
      </c>
      <c r="AB91" s="118">
        <f t="shared" si="11"/>
        <v>44959</v>
      </c>
      <c r="AC91" s="118">
        <f t="shared" si="9"/>
        <v>45615</v>
      </c>
      <c r="AD91" s="118">
        <f t="shared" si="12"/>
        <v>-656</v>
      </c>
      <c r="AE91" s="117">
        <f t="shared" si="13"/>
        <v>0</v>
      </c>
    </row>
    <row r="92" spans="2:31" ht="15.75" customHeight="1" thickBot="1" x14ac:dyDescent="0.25">
      <c r="B92" s="123">
        <f t="shared" si="16"/>
        <v>9</v>
      </c>
      <c r="C92" s="159">
        <v>729.68</v>
      </c>
      <c r="D92" s="123">
        <f t="shared" si="17"/>
        <v>30</v>
      </c>
      <c r="E92" s="159">
        <v>430.60499999999996</v>
      </c>
      <c r="F92" s="123">
        <f t="shared" si="17"/>
        <v>51</v>
      </c>
      <c r="G92" s="158">
        <v>116.38</v>
      </c>
      <c r="H92" s="123">
        <f t="shared" si="17"/>
        <v>72</v>
      </c>
      <c r="I92" s="158"/>
      <c r="J92" s="123">
        <f t="shared" si="17"/>
        <v>93</v>
      </c>
      <c r="K92" s="158"/>
      <c r="L92" s="123">
        <f t="shared" si="17"/>
        <v>114</v>
      </c>
      <c r="M92" s="158"/>
      <c r="N92" s="196"/>
      <c r="P92" s="124">
        <v>0.5</v>
      </c>
      <c r="Q92" s="124">
        <v>0.75</v>
      </c>
      <c r="R92" s="79">
        <v>25</v>
      </c>
      <c r="T92" s="113">
        <f t="shared" si="14"/>
        <v>15</v>
      </c>
      <c r="U92" s="113" t="s">
        <v>156</v>
      </c>
      <c r="V92" s="114"/>
      <c r="W92" s="114">
        <f t="shared" si="15"/>
        <v>45614</v>
      </c>
      <c r="X92" s="114"/>
      <c r="Y92" s="115">
        <v>0</v>
      </c>
      <c r="Z92" s="116">
        <v>1</v>
      </c>
      <c r="AA92" s="117">
        <f t="shared" si="10"/>
        <v>0</v>
      </c>
      <c r="AB92" s="118">
        <f t="shared" si="11"/>
        <v>44959</v>
      </c>
      <c r="AC92" s="118">
        <f t="shared" si="9"/>
        <v>45615</v>
      </c>
      <c r="AD92" s="118">
        <f t="shared" si="12"/>
        <v>-656</v>
      </c>
      <c r="AE92" s="117">
        <f t="shared" si="13"/>
        <v>0</v>
      </c>
    </row>
    <row r="93" spans="2:31" ht="15.75" customHeight="1" thickBot="1" x14ac:dyDescent="0.25">
      <c r="B93" s="123">
        <f t="shared" si="16"/>
        <v>10</v>
      </c>
      <c r="C93" s="159">
        <v>127.035</v>
      </c>
      <c r="D93" s="123">
        <f t="shared" si="17"/>
        <v>31</v>
      </c>
      <c r="E93" s="159">
        <v>653.52499999999998</v>
      </c>
      <c r="F93" s="123">
        <f t="shared" si="17"/>
        <v>52</v>
      </c>
      <c r="G93" s="158">
        <v>325.654</v>
      </c>
      <c r="H93" s="123">
        <f t="shared" si="17"/>
        <v>73</v>
      </c>
      <c r="I93" s="158"/>
      <c r="J93" s="123">
        <f t="shared" si="17"/>
        <v>94</v>
      </c>
      <c r="K93" s="158"/>
      <c r="L93" s="123">
        <f t="shared" si="17"/>
        <v>115</v>
      </c>
      <c r="M93" s="158"/>
      <c r="N93" s="196"/>
      <c r="P93" s="124">
        <v>0.75</v>
      </c>
      <c r="Q93" s="124">
        <v>1</v>
      </c>
      <c r="R93" s="79">
        <v>30</v>
      </c>
      <c r="T93" s="113">
        <f t="shared" si="14"/>
        <v>16</v>
      </c>
      <c r="U93" s="113" t="s">
        <v>157</v>
      </c>
      <c r="V93" s="114"/>
      <c r="W93" s="114">
        <f t="shared" si="15"/>
        <v>45614</v>
      </c>
      <c r="X93" s="114"/>
      <c r="Y93" s="115">
        <v>0</v>
      </c>
      <c r="Z93" s="116">
        <v>1</v>
      </c>
      <c r="AA93" s="117">
        <f t="shared" si="10"/>
        <v>0</v>
      </c>
      <c r="AB93" s="118">
        <f t="shared" si="11"/>
        <v>44959</v>
      </c>
      <c r="AC93" s="118">
        <f t="shared" si="9"/>
        <v>45615</v>
      </c>
      <c r="AD93" s="118">
        <f t="shared" si="12"/>
        <v>-656</v>
      </c>
      <c r="AE93" s="117">
        <f t="shared" si="13"/>
        <v>0</v>
      </c>
    </row>
    <row r="94" spans="2:31" ht="15.75" customHeight="1" thickBot="1" x14ac:dyDescent="0.25">
      <c r="B94" s="123">
        <f t="shared" si="16"/>
        <v>11</v>
      </c>
      <c r="C94" s="158">
        <v>223.68</v>
      </c>
      <c r="D94" s="123">
        <f t="shared" si="17"/>
        <v>32</v>
      </c>
      <c r="E94" s="158">
        <v>330.49830000000003</v>
      </c>
      <c r="F94" s="123">
        <f t="shared" si="17"/>
        <v>53</v>
      </c>
      <c r="G94" s="158">
        <v>590.85599999999999</v>
      </c>
      <c r="H94" s="123">
        <f t="shared" si="17"/>
        <v>74</v>
      </c>
      <c r="I94" s="158"/>
      <c r="J94" s="123">
        <f t="shared" si="17"/>
        <v>95</v>
      </c>
      <c r="K94" s="158"/>
      <c r="L94" s="123">
        <f t="shared" si="17"/>
        <v>116</v>
      </c>
      <c r="M94" s="158"/>
      <c r="N94" s="196"/>
      <c r="P94" s="124">
        <v>1</v>
      </c>
      <c r="Q94" s="124">
        <v>1.5</v>
      </c>
      <c r="R94" s="79">
        <v>35</v>
      </c>
      <c r="T94" s="113">
        <f t="shared" si="14"/>
        <v>17</v>
      </c>
      <c r="U94" s="113" t="s">
        <v>158</v>
      </c>
      <c r="V94" s="114"/>
      <c r="W94" s="114">
        <f t="shared" si="15"/>
        <v>45614</v>
      </c>
      <c r="X94" s="114"/>
      <c r="Y94" s="115">
        <v>0</v>
      </c>
      <c r="Z94" s="116">
        <v>1</v>
      </c>
      <c r="AA94" s="117">
        <f t="shared" si="10"/>
        <v>0</v>
      </c>
      <c r="AB94" s="118">
        <f t="shared" si="11"/>
        <v>44959</v>
      </c>
      <c r="AC94" s="118">
        <f t="shared" si="9"/>
        <v>45615</v>
      </c>
      <c r="AD94" s="118">
        <f t="shared" si="12"/>
        <v>-656</v>
      </c>
      <c r="AE94" s="117">
        <f t="shared" si="13"/>
        <v>0</v>
      </c>
    </row>
    <row r="95" spans="2:31" ht="15.75" customHeight="1" thickBot="1" x14ac:dyDescent="0.25">
      <c r="B95" s="123">
        <f t="shared" si="16"/>
        <v>12</v>
      </c>
      <c r="C95" s="158">
        <v>170.77</v>
      </c>
      <c r="D95" s="123">
        <f t="shared" si="17"/>
        <v>33</v>
      </c>
      <c r="E95" s="158">
        <v>990.61500000000001</v>
      </c>
      <c r="F95" s="123">
        <f t="shared" si="17"/>
        <v>54</v>
      </c>
      <c r="G95" s="158">
        <v>150.80799999999999</v>
      </c>
      <c r="H95" s="123">
        <f t="shared" si="17"/>
        <v>75</v>
      </c>
      <c r="I95" s="158"/>
      <c r="J95" s="123">
        <f t="shared" si="17"/>
        <v>96</v>
      </c>
      <c r="K95" s="158"/>
      <c r="L95" s="123">
        <f t="shared" si="17"/>
        <v>117</v>
      </c>
      <c r="M95" s="158"/>
      <c r="N95" s="196"/>
      <c r="P95" s="124">
        <v>1.5</v>
      </c>
      <c r="Q95" s="124"/>
      <c r="R95" s="79">
        <v>40</v>
      </c>
      <c r="T95" s="113">
        <f t="shared" si="14"/>
        <v>18</v>
      </c>
      <c r="U95" s="113" t="s">
        <v>159</v>
      </c>
      <c r="V95" s="114"/>
      <c r="W95" s="114">
        <f t="shared" si="15"/>
        <v>45614</v>
      </c>
      <c r="X95" s="114"/>
      <c r="Y95" s="115">
        <v>0</v>
      </c>
      <c r="Z95" s="116">
        <v>1</v>
      </c>
      <c r="AA95" s="117">
        <f t="shared" si="10"/>
        <v>0</v>
      </c>
      <c r="AB95" s="118">
        <f t="shared" si="11"/>
        <v>44959</v>
      </c>
      <c r="AC95" s="118">
        <f t="shared" si="9"/>
        <v>45615</v>
      </c>
      <c r="AD95" s="118">
        <f t="shared" si="12"/>
        <v>-656</v>
      </c>
      <c r="AE95" s="117">
        <f t="shared" si="13"/>
        <v>0</v>
      </c>
    </row>
    <row r="96" spans="2:31" ht="15.75" customHeight="1" thickBot="1" x14ac:dyDescent="0.25">
      <c r="B96" s="123">
        <f t="shared" si="16"/>
        <v>13</v>
      </c>
      <c r="C96" s="158">
        <v>1426.5</v>
      </c>
      <c r="D96" s="123">
        <f t="shared" si="17"/>
        <v>34</v>
      </c>
      <c r="E96" s="158">
        <v>215.36</v>
      </c>
      <c r="F96" s="123">
        <f t="shared" si="17"/>
        <v>55</v>
      </c>
      <c r="G96" s="158"/>
      <c r="H96" s="123">
        <f t="shared" si="17"/>
        <v>76</v>
      </c>
      <c r="I96" s="158"/>
      <c r="J96" s="123">
        <f t="shared" si="17"/>
        <v>97</v>
      </c>
      <c r="K96" s="158"/>
      <c r="L96" s="123">
        <f t="shared" si="17"/>
        <v>118</v>
      </c>
      <c r="M96" s="158"/>
      <c r="N96" s="196"/>
      <c r="P96" s="212" t="s">
        <v>160</v>
      </c>
      <c r="Q96" s="212"/>
      <c r="R96" s="99" t="s">
        <v>147</v>
      </c>
      <c r="T96" s="113">
        <f t="shared" si="14"/>
        <v>19</v>
      </c>
      <c r="U96" s="113" t="s">
        <v>161</v>
      </c>
      <c r="V96" s="114"/>
      <c r="W96" s="114">
        <f t="shared" si="15"/>
        <v>45614</v>
      </c>
      <c r="X96" s="114"/>
      <c r="Y96" s="115">
        <v>0</v>
      </c>
      <c r="Z96" s="116">
        <v>1</v>
      </c>
      <c r="AA96" s="117">
        <f t="shared" si="10"/>
        <v>0</v>
      </c>
      <c r="AB96" s="118">
        <f t="shared" si="11"/>
        <v>44959</v>
      </c>
      <c r="AC96" s="118">
        <f t="shared" si="9"/>
        <v>45615</v>
      </c>
      <c r="AD96" s="118">
        <f t="shared" si="12"/>
        <v>-656</v>
      </c>
      <c r="AE96" s="117">
        <f t="shared" si="13"/>
        <v>0</v>
      </c>
    </row>
    <row r="97" spans="2:31" ht="15.75" customHeight="1" thickBot="1" x14ac:dyDescent="0.25">
      <c r="B97" s="123">
        <f t="shared" si="16"/>
        <v>14</v>
      </c>
      <c r="C97" s="158">
        <v>408.91</v>
      </c>
      <c r="D97" s="123">
        <f t="shared" si="17"/>
        <v>35</v>
      </c>
      <c r="E97" s="158">
        <v>47.685000000000002</v>
      </c>
      <c r="F97" s="123">
        <f t="shared" si="17"/>
        <v>56</v>
      </c>
      <c r="G97" s="158"/>
      <c r="H97" s="123">
        <f t="shared" si="17"/>
        <v>77</v>
      </c>
      <c r="I97" s="158"/>
      <c r="J97" s="123">
        <f t="shared" si="17"/>
        <v>98</v>
      </c>
      <c r="K97" s="158"/>
      <c r="L97" s="123">
        <f t="shared" si="17"/>
        <v>119</v>
      </c>
      <c r="M97" s="158"/>
      <c r="N97" s="196"/>
      <c r="P97" s="79"/>
      <c r="Q97" s="79"/>
      <c r="R97" s="79">
        <v>0</v>
      </c>
      <c r="T97" s="113">
        <f t="shared" si="14"/>
        <v>20</v>
      </c>
      <c r="U97" s="113" t="s">
        <v>162</v>
      </c>
      <c r="V97" s="114"/>
      <c r="W97" s="114">
        <f t="shared" si="15"/>
        <v>45614</v>
      </c>
      <c r="X97" s="114"/>
      <c r="Y97" s="115">
        <v>0</v>
      </c>
      <c r="Z97" s="116">
        <v>1</v>
      </c>
      <c r="AA97" s="117">
        <f t="shared" si="10"/>
        <v>0</v>
      </c>
      <c r="AB97" s="118">
        <f t="shared" si="11"/>
        <v>44959</v>
      </c>
      <c r="AC97" s="118">
        <f t="shared" si="9"/>
        <v>45615</v>
      </c>
      <c r="AD97" s="118">
        <f t="shared" si="12"/>
        <v>-656</v>
      </c>
      <c r="AE97" s="117">
        <f t="shared" si="13"/>
        <v>0</v>
      </c>
    </row>
    <row r="98" spans="2:31" ht="15.75" customHeight="1" thickBot="1" x14ac:dyDescent="0.25">
      <c r="B98" s="123">
        <f t="shared" si="16"/>
        <v>15</v>
      </c>
      <c r="C98" s="158">
        <v>420.39</v>
      </c>
      <c r="D98" s="123">
        <f t="shared" si="17"/>
        <v>36</v>
      </c>
      <c r="E98" s="158">
        <v>344.36500000000001</v>
      </c>
      <c r="F98" s="123">
        <f t="shared" si="17"/>
        <v>57</v>
      </c>
      <c r="G98" s="158"/>
      <c r="H98" s="123">
        <f t="shared" si="17"/>
        <v>78</v>
      </c>
      <c r="I98" s="158"/>
      <c r="J98" s="123">
        <f t="shared" si="17"/>
        <v>99</v>
      </c>
      <c r="K98" s="158"/>
      <c r="L98" s="123">
        <f t="shared" si="17"/>
        <v>120</v>
      </c>
      <c r="M98" s="158"/>
      <c r="N98" s="196"/>
      <c r="O98" s="125"/>
      <c r="P98" s="79">
        <v>0</v>
      </c>
      <c r="Q98" s="79">
        <v>5</v>
      </c>
      <c r="R98" s="79">
        <v>20</v>
      </c>
      <c r="T98" s="113">
        <f t="shared" si="14"/>
        <v>21</v>
      </c>
      <c r="U98" s="113" t="s">
        <v>163</v>
      </c>
      <c r="V98" s="114"/>
      <c r="W98" s="114">
        <f t="shared" si="15"/>
        <v>45614</v>
      </c>
      <c r="X98" s="114"/>
      <c r="Y98" s="115">
        <v>0</v>
      </c>
      <c r="Z98" s="116">
        <v>1</v>
      </c>
      <c r="AA98" s="117">
        <f t="shared" si="10"/>
        <v>0</v>
      </c>
      <c r="AB98" s="118">
        <f t="shared" si="11"/>
        <v>44959</v>
      </c>
      <c r="AC98" s="118">
        <f t="shared" si="9"/>
        <v>45615</v>
      </c>
      <c r="AD98" s="118">
        <f t="shared" si="12"/>
        <v>-656</v>
      </c>
      <c r="AE98" s="117">
        <f t="shared" si="13"/>
        <v>0</v>
      </c>
    </row>
    <row r="99" spans="2:31" ht="15.75" customHeight="1" thickBot="1" x14ac:dyDescent="0.25">
      <c r="B99" s="123">
        <f t="shared" si="16"/>
        <v>16</v>
      </c>
      <c r="C99" s="158">
        <v>76.87</v>
      </c>
      <c r="D99" s="123">
        <f t="shared" si="17"/>
        <v>37</v>
      </c>
      <c r="E99" s="158">
        <v>643.67999999999995</v>
      </c>
      <c r="F99" s="123">
        <f t="shared" si="17"/>
        <v>58</v>
      </c>
      <c r="G99" s="158"/>
      <c r="H99" s="123">
        <f t="shared" si="17"/>
        <v>79</v>
      </c>
      <c r="I99" s="158"/>
      <c r="J99" s="123">
        <f t="shared" si="17"/>
        <v>100</v>
      </c>
      <c r="K99" s="158"/>
      <c r="L99" s="123">
        <f t="shared" si="17"/>
        <v>121</v>
      </c>
      <c r="M99" s="158"/>
      <c r="N99" s="196"/>
      <c r="O99" s="125"/>
      <c r="P99" s="79">
        <v>5</v>
      </c>
      <c r="Q99" s="79">
        <v>10</v>
      </c>
      <c r="R99" s="79">
        <v>30</v>
      </c>
      <c r="T99" s="113">
        <f t="shared" si="14"/>
        <v>22</v>
      </c>
      <c r="U99" s="113" t="s">
        <v>164</v>
      </c>
      <c r="V99" s="114"/>
      <c r="W99" s="114">
        <f t="shared" si="15"/>
        <v>45614</v>
      </c>
      <c r="X99" s="114"/>
      <c r="Y99" s="115">
        <v>0</v>
      </c>
      <c r="Z99" s="116">
        <v>1</v>
      </c>
      <c r="AA99" s="117">
        <f t="shared" si="10"/>
        <v>0</v>
      </c>
      <c r="AB99" s="118">
        <f t="shared" si="11"/>
        <v>44959</v>
      </c>
      <c r="AC99" s="118">
        <f t="shared" si="9"/>
        <v>45615</v>
      </c>
      <c r="AD99" s="118">
        <f t="shared" si="12"/>
        <v>-656</v>
      </c>
      <c r="AE99" s="117">
        <f t="shared" si="13"/>
        <v>0</v>
      </c>
    </row>
    <row r="100" spans="2:31" ht="15.75" customHeight="1" thickBot="1" x14ac:dyDescent="0.25">
      <c r="B100" s="123">
        <f t="shared" si="16"/>
        <v>17</v>
      </c>
      <c r="C100" s="158">
        <v>439.77</v>
      </c>
      <c r="D100" s="123">
        <f t="shared" si="17"/>
        <v>38</v>
      </c>
      <c r="E100" s="158">
        <v>0</v>
      </c>
      <c r="F100" s="123">
        <f t="shared" si="17"/>
        <v>59</v>
      </c>
      <c r="G100" s="158"/>
      <c r="H100" s="123">
        <f t="shared" si="17"/>
        <v>80</v>
      </c>
      <c r="I100" s="158"/>
      <c r="J100" s="123">
        <f t="shared" si="17"/>
        <v>101</v>
      </c>
      <c r="K100" s="158"/>
      <c r="L100" s="123">
        <f t="shared" si="17"/>
        <v>122</v>
      </c>
      <c r="M100" s="158"/>
      <c r="N100" s="196"/>
      <c r="O100" s="125"/>
      <c r="P100" s="79">
        <v>10</v>
      </c>
      <c r="Q100" s="79"/>
      <c r="R100" s="79">
        <v>40</v>
      </c>
      <c r="T100" s="113">
        <f t="shared" si="14"/>
        <v>23</v>
      </c>
      <c r="U100" s="113" t="s">
        <v>165</v>
      </c>
      <c r="V100" s="114"/>
      <c r="W100" s="114">
        <f t="shared" si="15"/>
        <v>45614</v>
      </c>
      <c r="X100" s="114"/>
      <c r="Y100" s="115">
        <v>0</v>
      </c>
      <c r="Z100" s="116">
        <v>1</v>
      </c>
      <c r="AA100" s="117">
        <f t="shared" si="10"/>
        <v>0</v>
      </c>
      <c r="AB100" s="118">
        <f t="shared" si="11"/>
        <v>44959</v>
      </c>
      <c r="AC100" s="118">
        <f t="shared" si="9"/>
        <v>45615</v>
      </c>
      <c r="AD100" s="118">
        <f t="shared" si="12"/>
        <v>-656</v>
      </c>
      <c r="AE100" s="117">
        <f t="shared" si="13"/>
        <v>0</v>
      </c>
    </row>
    <row r="101" spans="2:31" ht="15.75" customHeight="1" thickBot="1" x14ac:dyDescent="0.25">
      <c r="B101" s="123">
        <f t="shared" si="16"/>
        <v>18</v>
      </c>
      <c r="C101" s="158">
        <v>158.66440000000003</v>
      </c>
      <c r="D101" s="123">
        <f t="shared" si="17"/>
        <v>39</v>
      </c>
      <c r="E101" s="158">
        <v>7.6600000000000001E-2</v>
      </c>
      <c r="F101" s="123">
        <f t="shared" si="17"/>
        <v>60</v>
      </c>
      <c r="G101" s="158"/>
      <c r="H101" s="123">
        <f t="shared" si="17"/>
        <v>81</v>
      </c>
      <c r="I101" s="158"/>
      <c r="J101" s="123">
        <f t="shared" si="17"/>
        <v>102</v>
      </c>
      <c r="K101" s="158"/>
      <c r="L101" s="123">
        <f t="shared" si="17"/>
        <v>123</v>
      </c>
      <c r="M101" s="158"/>
      <c r="N101" s="196"/>
      <c r="O101" s="125"/>
      <c r="T101" s="113">
        <f t="shared" si="14"/>
        <v>24</v>
      </c>
      <c r="U101" s="113" t="s">
        <v>166</v>
      </c>
      <c r="V101" s="114"/>
      <c r="W101" s="114">
        <f t="shared" si="15"/>
        <v>45614</v>
      </c>
      <c r="X101" s="114"/>
      <c r="Y101" s="115">
        <v>0</v>
      </c>
      <c r="Z101" s="116">
        <v>1</v>
      </c>
      <c r="AA101" s="117">
        <f t="shared" si="10"/>
        <v>0</v>
      </c>
      <c r="AB101" s="118">
        <f t="shared" si="11"/>
        <v>44959</v>
      </c>
      <c r="AC101" s="118">
        <f t="shared" si="9"/>
        <v>45615</v>
      </c>
      <c r="AD101" s="118">
        <f t="shared" si="12"/>
        <v>-656</v>
      </c>
      <c r="AE101" s="117">
        <f t="shared" si="13"/>
        <v>0</v>
      </c>
    </row>
    <row r="102" spans="2:31" ht="15.75" customHeight="1" thickBot="1" x14ac:dyDescent="0.25">
      <c r="B102" s="123">
        <f t="shared" si="16"/>
        <v>19</v>
      </c>
      <c r="C102" s="158">
        <v>317.96100000000001</v>
      </c>
      <c r="D102" s="123">
        <f t="shared" si="17"/>
        <v>40</v>
      </c>
      <c r="E102" s="158">
        <v>4.24E-2</v>
      </c>
      <c r="F102" s="123">
        <f t="shared" si="17"/>
        <v>61</v>
      </c>
      <c r="G102" s="158"/>
      <c r="H102" s="123">
        <f t="shared" si="17"/>
        <v>82</v>
      </c>
      <c r="I102" s="158"/>
      <c r="J102" s="123">
        <f t="shared" si="17"/>
        <v>103</v>
      </c>
      <c r="K102" s="158"/>
      <c r="L102" s="123">
        <f t="shared" si="17"/>
        <v>124</v>
      </c>
      <c r="M102" s="158"/>
      <c r="N102" s="196"/>
      <c r="O102" s="125"/>
      <c r="R102" s="130" t="s">
        <v>213</v>
      </c>
      <c r="T102" s="113">
        <f t="shared" si="14"/>
        <v>25</v>
      </c>
      <c r="U102" s="113" t="s">
        <v>168</v>
      </c>
      <c r="V102" s="114"/>
      <c r="W102" s="114">
        <f t="shared" si="15"/>
        <v>45614</v>
      </c>
      <c r="X102" s="114"/>
      <c r="Y102" s="115">
        <v>0</v>
      </c>
      <c r="Z102" s="116">
        <v>1</v>
      </c>
      <c r="AA102" s="117">
        <f t="shared" si="10"/>
        <v>0</v>
      </c>
      <c r="AB102" s="118">
        <f t="shared" si="11"/>
        <v>44959</v>
      </c>
      <c r="AC102" s="118">
        <f t="shared" si="9"/>
        <v>45615</v>
      </c>
      <c r="AD102" s="118">
        <f t="shared" si="12"/>
        <v>-656</v>
      </c>
      <c r="AE102" s="117">
        <f t="shared" si="13"/>
        <v>0</v>
      </c>
    </row>
    <row r="103" spans="2:31" ht="15.75" customHeight="1" thickBot="1" x14ac:dyDescent="0.25">
      <c r="B103" s="123">
        <f t="shared" si="16"/>
        <v>20</v>
      </c>
      <c r="C103" s="158">
        <v>616.07000000000005</v>
      </c>
      <c r="D103" s="123">
        <f t="shared" si="17"/>
        <v>41</v>
      </c>
      <c r="E103" s="158">
        <v>853.9</v>
      </c>
      <c r="F103" s="123">
        <f t="shared" si="17"/>
        <v>62</v>
      </c>
      <c r="G103" s="158"/>
      <c r="H103" s="123">
        <f t="shared" si="17"/>
        <v>83</v>
      </c>
      <c r="I103" s="158"/>
      <c r="J103" s="123">
        <f t="shared" si="17"/>
        <v>104</v>
      </c>
      <c r="K103" s="158"/>
      <c r="L103" s="123">
        <f t="shared" si="17"/>
        <v>125</v>
      </c>
      <c r="M103" s="158"/>
      <c r="N103" s="196"/>
      <c r="O103" s="125"/>
      <c r="P103" s="82" t="s">
        <v>201</v>
      </c>
      <c r="R103" s="131">
        <v>17282722097</v>
      </c>
      <c r="T103" s="113">
        <f t="shared" si="14"/>
        <v>26</v>
      </c>
      <c r="U103" s="113" t="s">
        <v>170</v>
      </c>
      <c r="V103" s="114"/>
      <c r="W103" s="114">
        <f t="shared" si="15"/>
        <v>45614</v>
      </c>
      <c r="X103" s="114"/>
      <c r="Y103" s="115">
        <v>0</v>
      </c>
      <c r="Z103" s="116">
        <v>1</v>
      </c>
      <c r="AA103" s="117">
        <f t="shared" si="10"/>
        <v>0</v>
      </c>
      <c r="AB103" s="118">
        <f t="shared" si="11"/>
        <v>44959</v>
      </c>
      <c r="AC103" s="118">
        <f t="shared" si="9"/>
        <v>45615</v>
      </c>
      <c r="AD103" s="118">
        <f t="shared" si="12"/>
        <v>-656</v>
      </c>
      <c r="AE103" s="117">
        <f t="shared" si="13"/>
        <v>0</v>
      </c>
    </row>
    <row r="104" spans="2:31" ht="15.75" customHeight="1" thickBot="1" x14ac:dyDescent="0.25">
      <c r="B104" s="123">
        <f t="shared" si="16"/>
        <v>21</v>
      </c>
      <c r="C104" s="158">
        <v>1698.9390000000001</v>
      </c>
      <c r="D104" s="123">
        <f t="shared" si="17"/>
        <v>42</v>
      </c>
      <c r="E104" s="158">
        <v>35.94</v>
      </c>
      <c r="F104" s="123">
        <f t="shared" si="17"/>
        <v>63</v>
      </c>
      <c r="G104" s="158"/>
      <c r="H104" s="123">
        <f t="shared" si="17"/>
        <v>84</v>
      </c>
      <c r="I104" s="158"/>
      <c r="J104" s="123">
        <f t="shared" si="17"/>
        <v>105</v>
      </c>
      <c r="K104" s="158"/>
      <c r="L104" s="123">
        <f t="shared" si="17"/>
        <v>126</v>
      </c>
      <c r="M104" s="158"/>
      <c r="N104" s="197"/>
      <c r="P104" s="82" t="s">
        <v>214</v>
      </c>
      <c r="R104" s="131">
        <v>14101948434</v>
      </c>
      <c r="T104" s="113">
        <f t="shared" si="14"/>
        <v>27</v>
      </c>
      <c r="U104" s="113" t="s">
        <v>172</v>
      </c>
      <c r="V104" s="114"/>
      <c r="W104" s="114">
        <f t="shared" si="15"/>
        <v>45614</v>
      </c>
      <c r="X104" s="114"/>
      <c r="Y104" s="115">
        <v>0</v>
      </c>
      <c r="Z104" s="116">
        <v>1</v>
      </c>
      <c r="AA104" s="117">
        <f t="shared" si="10"/>
        <v>0</v>
      </c>
      <c r="AB104" s="118">
        <f t="shared" si="11"/>
        <v>44959</v>
      </c>
      <c r="AC104" s="118">
        <f t="shared" si="9"/>
        <v>45615</v>
      </c>
      <c r="AD104" s="118">
        <f t="shared" si="12"/>
        <v>-656</v>
      </c>
      <c r="AE104" s="117">
        <f t="shared" si="13"/>
        <v>0</v>
      </c>
    </row>
    <row r="105" spans="2:31" ht="15.75" customHeight="1" thickBot="1" x14ac:dyDescent="0.25">
      <c r="B105" s="161" t="s">
        <v>167</v>
      </c>
      <c r="C105" s="161"/>
      <c r="D105" s="161"/>
      <c r="E105" s="161"/>
      <c r="F105" s="161"/>
      <c r="G105" s="161"/>
      <c r="H105" s="161"/>
      <c r="I105" s="161"/>
      <c r="J105" s="198">
        <f>SUM(C84:C104,G84:G104,K84:K104,E84:E104,I84:I104,K84:K104,M84:M104)</f>
        <v>20838.633700000009</v>
      </c>
      <c r="K105" s="198"/>
      <c r="L105" s="198"/>
      <c r="M105" s="198"/>
      <c r="N105" s="198"/>
      <c r="P105" s="82" t="s">
        <v>202</v>
      </c>
      <c r="R105" s="131">
        <v>8860786921</v>
      </c>
      <c r="T105" s="113">
        <f t="shared" si="14"/>
        <v>28</v>
      </c>
      <c r="U105" s="113" t="s">
        <v>174</v>
      </c>
      <c r="V105" s="114"/>
      <c r="W105" s="114">
        <f t="shared" si="15"/>
        <v>45614</v>
      </c>
      <c r="X105" s="114"/>
      <c r="Y105" s="115">
        <v>0</v>
      </c>
      <c r="Z105" s="116">
        <v>1</v>
      </c>
      <c r="AA105" s="117">
        <f t="shared" si="10"/>
        <v>0</v>
      </c>
      <c r="AB105" s="118">
        <f t="shared" si="11"/>
        <v>44959</v>
      </c>
      <c r="AC105" s="118">
        <f t="shared" si="9"/>
        <v>45615</v>
      </c>
      <c r="AD105" s="118">
        <f t="shared" si="12"/>
        <v>-656</v>
      </c>
      <c r="AE105" s="117">
        <f t="shared" si="13"/>
        <v>0</v>
      </c>
    </row>
    <row r="106" spans="2:31" ht="15.75" customHeight="1" thickBot="1" x14ac:dyDescent="0.25">
      <c r="B106" s="161" t="s">
        <v>169</v>
      </c>
      <c r="C106" s="161"/>
      <c r="D106" s="161"/>
      <c r="E106" s="161"/>
      <c r="F106" s="161"/>
      <c r="G106" s="161"/>
      <c r="H106" s="161"/>
      <c r="I106" s="161"/>
      <c r="J106" s="162">
        <f>$J$105*$Q$23</f>
        <v>36486467938.49852</v>
      </c>
      <c r="K106" s="162"/>
      <c r="L106" s="162"/>
      <c r="M106" s="162"/>
      <c r="N106" s="162"/>
      <c r="P106" s="82"/>
      <c r="R106" s="131"/>
      <c r="T106" s="113"/>
      <c r="U106" s="113"/>
      <c r="V106" s="114"/>
      <c r="W106" s="114"/>
      <c r="X106" s="114"/>
      <c r="Y106" s="115"/>
      <c r="Z106" s="116"/>
      <c r="AA106" s="117"/>
      <c r="AB106" s="118"/>
      <c r="AC106" s="118"/>
      <c r="AD106" s="118"/>
      <c r="AE106" s="117"/>
    </row>
    <row r="107" spans="2:31" ht="15.75" customHeight="1" thickBot="1" x14ac:dyDescent="0.25">
      <c r="B107" s="161" t="s">
        <v>171</v>
      </c>
      <c r="C107" s="161"/>
      <c r="D107" s="161"/>
      <c r="E107" s="161"/>
      <c r="F107" s="161"/>
      <c r="G107" s="161"/>
      <c r="H107" s="161"/>
      <c r="I107" s="161"/>
      <c r="J107" s="212">
        <f>IFERROR(J106/(($B$17)*I72),0)</f>
        <v>62.928445512656211</v>
      </c>
      <c r="K107" s="212"/>
      <c r="L107" s="212"/>
      <c r="M107" s="212"/>
      <c r="N107" s="212"/>
      <c r="P107" s="82" t="s">
        <v>203</v>
      </c>
      <c r="R107" s="131">
        <v>19587312969</v>
      </c>
      <c r="T107" s="113">
        <f>T105+1</f>
        <v>29</v>
      </c>
      <c r="U107" s="113" t="s">
        <v>176</v>
      </c>
      <c r="V107" s="114"/>
      <c r="W107" s="114">
        <f>W105</f>
        <v>45614</v>
      </c>
      <c r="X107" s="114"/>
      <c r="Y107" s="115">
        <v>0</v>
      </c>
      <c r="Z107" s="116">
        <v>1</v>
      </c>
      <c r="AA107" s="117">
        <f t="shared" si="10"/>
        <v>0</v>
      </c>
      <c r="AB107" s="118">
        <f t="shared" si="11"/>
        <v>44959</v>
      </c>
      <c r="AC107" s="118">
        <f t="shared" si="9"/>
        <v>45615</v>
      </c>
      <c r="AD107" s="118">
        <f t="shared" si="12"/>
        <v>-656</v>
      </c>
      <c r="AE107" s="117">
        <f t="shared" si="13"/>
        <v>0</v>
      </c>
    </row>
    <row r="108" spans="2:31" ht="15.75" customHeight="1" thickBot="1" x14ac:dyDescent="0.25">
      <c r="B108" s="161" t="s">
        <v>173</v>
      </c>
      <c r="C108" s="161"/>
      <c r="D108" s="161"/>
      <c r="E108" s="161"/>
      <c r="F108" s="161"/>
      <c r="G108" s="161"/>
      <c r="H108" s="161"/>
      <c r="I108" s="161"/>
      <c r="J108" s="161"/>
      <c r="K108" s="161"/>
      <c r="L108" s="211">
        <f>IF(J107&gt;P89,R89,IF(J107&gt;P88,R88,IF(J107&gt;P87,R87,R86)))</f>
        <v>120</v>
      </c>
      <c r="M108" s="211"/>
      <c r="N108" s="211"/>
      <c r="O108" s="125"/>
      <c r="P108" s="82" t="s">
        <v>204</v>
      </c>
      <c r="R108" s="131">
        <v>10049355290</v>
      </c>
      <c r="T108" s="113">
        <f t="shared" si="14"/>
        <v>30</v>
      </c>
      <c r="U108" s="113" t="s">
        <v>178</v>
      </c>
      <c r="V108" s="114"/>
      <c r="W108" s="114">
        <f t="shared" si="15"/>
        <v>45614</v>
      </c>
      <c r="X108" s="114"/>
      <c r="Y108" s="115">
        <v>0</v>
      </c>
      <c r="Z108" s="116">
        <v>1</v>
      </c>
      <c r="AA108" s="117">
        <f t="shared" si="10"/>
        <v>0</v>
      </c>
      <c r="AB108" s="118">
        <f t="shared" si="11"/>
        <v>44959</v>
      </c>
      <c r="AC108" s="118">
        <f t="shared" si="9"/>
        <v>45615</v>
      </c>
      <c r="AD108" s="118">
        <f t="shared" si="12"/>
        <v>-656</v>
      </c>
      <c r="AE108" s="117">
        <f t="shared" si="13"/>
        <v>0</v>
      </c>
    </row>
    <row r="109" spans="2:31" ht="15.75" customHeight="1" thickBot="1" x14ac:dyDescent="0.3">
      <c r="B109" s="212" t="s">
        <v>215</v>
      </c>
      <c r="C109" s="212"/>
      <c r="D109" s="212"/>
      <c r="E109" s="212"/>
      <c r="F109" s="212"/>
      <c r="G109" s="212"/>
      <c r="H109" s="212"/>
      <c r="I109" s="212"/>
      <c r="J109" s="212"/>
      <c r="K109" s="212"/>
      <c r="L109" s="212"/>
      <c r="M109" s="212"/>
      <c r="N109" s="212"/>
      <c r="O109" s="125"/>
      <c r="P109" s="82" t="s">
        <v>205</v>
      </c>
      <c r="R109" s="131">
        <v>16751309190</v>
      </c>
      <c r="T109" s="113">
        <f t="shared" si="14"/>
        <v>31</v>
      </c>
      <c r="U109" s="113" t="s">
        <v>180</v>
      </c>
      <c r="V109" s="114"/>
      <c r="W109" s="114">
        <f t="shared" si="15"/>
        <v>45614</v>
      </c>
      <c r="X109" s="114"/>
      <c r="Y109" s="115">
        <v>0</v>
      </c>
      <c r="Z109" s="116">
        <v>1</v>
      </c>
      <c r="AA109" s="117">
        <f t="shared" si="10"/>
        <v>0</v>
      </c>
      <c r="AB109" s="118">
        <f t="shared" si="11"/>
        <v>44959</v>
      </c>
      <c r="AC109" s="118">
        <f t="shared" si="9"/>
        <v>45615</v>
      </c>
      <c r="AD109" s="118">
        <f t="shared" si="12"/>
        <v>-656</v>
      </c>
      <c r="AE109" s="117">
        <f t="shared" si="13"/>
        <v>0</v>
      </c>
    </row>
    <row r="110" spans="2:31" ht="15.75" customHeight="1" thickBot="1" x14ac:dyDescent="0.25">
      <c r="B110" s="186"/>
      <c r="C110" s="187"/>
      <c r="D110" s="187"/>
      <c r="E110" s="187"/>
      <c r="F110" s="187"/>
      <c r="G110" s="188"/>
      <c r="H110" s="223" t="s">
        <v>177</v>
      </c>
      <c r="I110" s="223"/>
      <c r="J110" s="223"/>
      <c r="K110" s="223"/>
      <c r="L110" s="224">
        <f>$I$8</f>
        <v>3451886189</v>
      </c>
      <c r="M110" s="224"/>
      <c r="N110" s="224"/>
      <c r="O110" s="125"/>
      <c r="P110" s="82" t="s">
        <v>206</v>
      </c>
      <c r="R110" s="131">
        <v>14142724014</v>
      </c>
      <c r="T110" s="113">
        <f t="shared" si="14"/>
        <v>32</v>
      </c>
      <c r="U110" s="113" t="s">
        <v>182</v>
      </c>
      <c r="V110" s="114"/>
      <c r="W110" s="114">
        <f t="shared" si="15"/>
        <v>45614</v>
      </c>
      <c r="X110" s="114"/>
      <c r="Y110" s="115">
        <v>0</v>
      </c>
      <c r="Z110" s="116">
        <v>1</v>
      </c>
      <c r="AA110" s="117">
        <f t="shared" si="10"/>
        <v>0</v>
      </c>
      <c r="AB110" s="118">
        <f t="shared" si="11"/>
        <v>44959</v>
      </c>
      <c r="AC110" s="118">
        <f t="shared" si="9"/>
        <v>45615</v>
      </c>
      <c r="AD110" s="118">
        <f t="shared" si="12"/>
        <v>-656</v>
      </c>
      <c r="AE110" s="117">
        <f t="shared" si="13"/>
        <v>0</v>
      </c>
    </row>
    <row r="111" spans="2:31" ht="15.75" customHeight="1" thickBot="1" x14ac:dyDescent="0.25">
      <c r="B111" s="189"/>
      <c r="C111" s="190"/>
      <c r="D111" s="190"/>
      <c r="E111" s="190"/>
      <c r="F111" s="190"/>
      <c r="G111" s="191"/>
      <c r="H111" s="223" t="s">
        <v>179</v>
      </c>
      <c r="I111" s="223"/>
      <c r="J111" s="223"/>
      <c r="K111" s="223"/>
      <c r="L111" s="224">
        <f>$J$8</f>
        <v>565973324</v>
      </c>
      <c r="M111" s="224"/>
      <c r="N111" s="224"/>
      <c r="O111" s="125"/>
      <c r="T111" s="113">
        <f t="shared" si="14"/>
        <v>33</v>
      </c>
      <c r="U111" s="113" t="s">
        <v>184</v>
      </c>
      <c r="V111" s="114"/>
      <c r="W111" s="114">
        <f t="shared" si="15"/>
        <v>45614</v>
      </c>
      <c r="X111" s="114"/>
      <c r="Y111" s="115">
        <v>0</v>
      </c>
      <c r="Z111" s="116">
        <v>1</v>
      </c>
      <c r="AA111" s="117">
        <f t="shared" si="10"/>
        <v>0</v>
      </c>
      <c r="AB111" s="118">
        <f t="shared" si="11"/>
        <v>44959</v>
      </c>
      <c r="AC111" s="118">
        <f t="shared" si="9"/>
        <v>45615</v>
      </c>
      <c r="AD111" s="118">
        <f t="shared" si="12"/>
        <v>-656</v>
      </c>
      <c r="AE111" s="117">
        <f t="shared" si="13"/>
        <v>0</v>
      </c>
    </row>
    <row r="112" spans="2:31" ht="15.75" customHeight="1" thickBot="1" x14ac:dyDescent="0.25">
      <c r="B112" s="192"/>
      <c r="C112" s="193"/>
      <c r="D112" s="193"/>
      <c r="E112" s="193"/>
      <c r="F112" s="193"/>
      <c r="G112" s="194"/>
      <c r="H112" s="161" t="s">
        <v>181</v>
      </c>
      <c r="I112" s="161"/>
      <c r="J112" s="161"/>
      <c r="K112" s="161"/>
      <c r="L112" s="210">
        <f>IFERROR(ROUND(L110/L111,2),0)</f>
        <v>6.1</v>
      </c>
      <c r="M112" s="210"/>
      <c r="N112" s="210"/>
      <c r="O112" s="125"/>
      <c r="R112" s="130" t="s">
        <v>216</v>
      </c>
      <c r="T112" s="113">
        <f t="shared" si="14"/>
        <v>34</v>
      </c>
      <c r="U112" s="113" t="s">
        <v>186</v>
      </c>
      <c r="V112" s="114"/>
      <c r="W112" s="114">
        <f t="shared" si="15"/>
        <v>45614</v>
      </c>
      <c r="X112" s="114"/>
      <c r="Y112" s="115">
        <v>0</v>
      </c>
      <c r="Z112" s="116">
        <v>1</v>
      </c>
      <c r="AA112" s="117">
        <f t="shared" si="10"/>
        <v>0</v>
      </c>
      <c r="AB112" s="118">
        <f t="shared" si="11"/>
        <v>44959</v>
      </c>
      <c r="AC112" s="118">
        <f t="shared" si="9"/>
        <v>45615</v>
      </c>
      <c r="AD112" s="118">
        <f t="shared" si="12"/>
        <v>-656</v>
      </c>
      <c r="AE112" s="117">
        <f t="shared" si="13"/>
        <v>0</v>
      </c>
    </row>
    <row r="113" spans="2:31" ht="15.75" customHeight="1" thickBot="1" x14ac:dyDescent="0.25">
      <c r="B113" s="161" t="s">
        <v>183</v>
      </c>
      <c r="C113" s="161"/>
      <c r="D113" s="161"/>
      <c r="E113" s="161"/>
      <c r="F113" s="161"/>
      <c r="G113" s="161"/>
      <c r="H113" s="161"/>
      <c r="I113" s="161"/>
      <c r="J113" s="161"/>
      <c r="K113" s="161"/>
      <c r="L113" s="211">
        <f>IF(L112&gt;P95,R95,IF(L112&gt;P94,R94,IF(L112&gt;P93,R93,IF(L112&gt;P92,R92,R91))))</f>
        <v>40</v>
      </c>
      <c r="M113" s="211"/>
      <c r="N113" s="211"/>
      <c r="O113" s="125"/>
      <c r="P113" s="82" t="s">
        <v>201</v>
      </c>
      <c r="R113" s="131">
        <v>8053415585</v>
      </c>
      <c r="T113" s="113">
        <f t="shared" si="14"/>
        <v>35</v>
      </c>
      <c r="U113" s="113" t="s">
        <v>187</v>
      </c>
      <c r="V113" s="114"/>
      <c r="W113" s="114">
        <f t="shared" si="15"/>
        <v>45614</v>
      </c>
      <c r="X113" s="114"/>
      <c r="Y113" s="115">
        <v>0</v>
      </c>
      <c r="Z113" s="116">
        <v>1</v>
      </c>
      <c r="AA113" s="117">
        <f t="shared" si="10"/>
        <v>0</v>
      </c>
      <c r="AB113" s="118">
        <f t="shared" si="11"/>
        <v>44959</v>
      </c>
      <c r="AC113" s="118">
        <f t="shared" si="9"/>
        <v>45615</v>
      </c>
      <c r="AD113" s="118">
        <f t="shared" si="12"/>
        <v>-656</v>
      </c>
      <c r="AE113" s="117">
        <f t="shared" si="13"/>
        <v>0</v>
      </c>
    </row>
    <row r="114" spans="2:31" ht="15.75" customHeight="1" thickBot="1" x14ac:dyDescent="0.3">
      <c r="B114" s="212" t="s">
        <v>185</v>
      </c>
      <c r="C114" s="212"/>
      <c r="D114" s="212"/>
      <c r="E114" s="212"/>
      <c r="F114" s="212"/>
      <c r="G114" s="212"/>
      <c r="H114" s="212"/>
      <c r="I114" s="212"/>
      <c r="J114" s="212"/>
      <c r="K114" s="212"/>
      <c r="L114" s="212"/>
      <c r="M114" s="212"/>
      <c r="N114" s="212"/>
      <c r="P114" s="82" t="s">
        <v>214</v>
      </c>
      <c r="R114" s="131">
        <v>6562161350</v>
      </c>
      <c r="T114" s="113">
        <f t="shared" si="14"/>
        <v>36</v>
      </c>
      <c r="U114" s="113" t="s">
        <v>189</v>
      </c>
      <c r="V114" s="114"/>
      <c r="W114" s="114">
        <f t="shared" si="15"/>
        <v>45614</v>
      </c>
      <c r="X114" s="114"/>
      <c r="Y114" s="115">
        <v>0</v>
      </c>
      <c r="Z114" s="116">
        <v>1</v>
      </c>
      <c r="AA114" s="117">
        <f t="shared" si="10"/>
        <v>0</v>
      </c>
      <c r="AB114" s="118">
        <f t="shared" si="11"/>
        <v>44959</v>
      </c>
      <c r="AC114" s="118">
        <f t="shared" si="9"/>
        <v>45615</v>
      </c>
      <c r="AD114" s="118">
        <f t="shared" si="12"/>
        <v>-656</v>
      </c>
      <c r="AE114" s="117">
        <f t="shared" si="13"/>
        <v>0</v>
      </c>
    </row>
    <row r="115" spans="2:31" ht="15.75" customHeight="1" thickBot="1" x14ac:dyDescent="0.3">
      <c r="B115" s="220" t="s">
        <v>94</v>
      </c>
      <c r="C115" s="220"/>
      <c r="D115" s="220"/>
      <c r="E115" s="220"/>
      <c r="F115" s="220"/>
      <c r="G115" s="220"/>
      <c r="H115" s="220"/>
      <c r="I115" s="220"/>
      <c r="J115" s="220"/>
      <c r="K115" s="220"/>
      <c r="L115" s="220"/>
      <c r="M115" s="221">
        <f>$K$8</f>
        <v>1</v>
      </c>
      <c r="N115" s="221"/>
      <c r="P115" s="82" t="s">
        <v>202</v>
      </c>
      <c r="R115" s="131">
        <v>4132783282</v>
      </c>
      <c r="T115" s="113">
        <f>T114+1</f>
        <v>37</v>
      </c>
      <c r="U115" s="113" t="s">
        <v>190</v>
      </c>
      <c r="V115" s="114"/>
      <c r="W115" s="114">
        <f>W114</f>
        <v>45614</v>
      </c>
      <c r="X115" s="114"/>
      <c r="Y115" s="115">
        <v>0</v>
      </c>
      <c r="Z115" s="116">
        <v>1</v>
      </c>
      <c r="AA115" s="117">
        <f t="shared" si="10"/>
        <v>0</v>
      </c>
      <c r="AB115" s="118">
        <f t="shared" si="11"/>
        <v>44959</v>
      </c>
      <c r="AC115" s="118">
        <f t="shared" si="9"/>
        <v>45615</v>
      </c>
      <c r="AD115" s="118">
        <f t="shared" si="12"/>
        <v>-656</v>
      </c>
      <c r="AE115" s="117">
        <f t="shared" si="13"/>
        <v>0</v>
      </c>
    </row>
    <row r="116" spans="2:31" ht="15.75" customHeight="1" thickBot="1" x14ac:dyDescent="0.25">
      <c r="B116" s="161" t="s">
        <v>188</v>
      </c>
      <c r="C116" s="161"/>
      <c r="D116" s="161"/>
      <c r="E116" s="161"/>
      <c r="F116" s="161"/>
      <c r="G116" s="161"/>
      <c r="H116" s="161"/>
      <c r="I116" s="161"/>
      <c r="J116" s="161"/>
      <c r="K116" s="161"/>
      <c r="L116" s="211">
        <f>IF(M115&gt;P100,R100,IF(M115&gt;P99,R99,IF(M115&gt;P98,R98,R97)))</f>
        <v>20</v>
      </c>
      <c r="M116" s="211"/>
      <c r="N116" s="211"/>
      <c r="P116" s="82" t="s">
        <v>203</v>
      </c>
      <c r="R116" s="131">
        <v>9125008249</v>
      </c>
      <c r="T116" s="113">
        <f>T115+1</f>
        <v>38</v>
      </c>
      <c r="U116" s="113" t="s">
        <v>191</v>
      </c>
      <c r="V116" s="114"/>
      <c r="W116" s="114">
        <f>W115</f>
        <v>45614</v>
      </c>
      <c r="X116" s="114"/>
      <c r="Y116" s="115">
        <v>0</v>
      </c>
      <c r="Z116" s="116">
        <v>1</v>
      </c>
      <c r="AA116" s="117">
        <f t="shared" si="10"/>
        <v>0</v>
      </c>
      <c r="AB116" s="118">
        <f t="shared" si="11"/>
        <v>44959</v>
      </c>
      <c r="AC116" s="118">
        <f t="shared" si="9"/>
        <v>45615</v>
      </c>
      <c r="AD116" s="118">
        <f t="shared" si="12"/>
        <v>-656</v>
      </c>
      <c r="AE116" s="117">
        <f t="shared" si="13"/>
        <v>0</v>
      </c>
    </row>
    <row r="117" spans="2:31" ht="15.75" customHeight="1" thickBot="1" x14ac:dyDescent="0.3">
      <c r="P117" s="82" t="s">
        <v>204</v>
      </c>
      <c r="R117" s="131">
        <v>4685421355</v>
      </c>
      <c r="T117" s="113">
        <f t="shared" si="14"/>
        <v>39</v>
      </c>
      <c r="U117" s="113" t="s">
        <v>192</v>
      </c>
      <c r="V117" s="114"/>
      <c r="W117" s="114">
        <f t="shared" si="15"/>
        <v>45614</v>
      </c>
      <c r="X117" s="114"/>
      <c r="Y117" s="115">
        <v>0</v>
      </c>
      <c r="Z117" s="116">
        <v>1</v>
      </c>
      <c r="AA117" s="117">
        <f t="shared" si="10"/>
        <v>0</v>
      </c>
      <c r="AB117" s="118">
        <f t="shared" si="11"/>
        <v>44959</v>
      </c>
      <c r="AC117" s="118">
        <f t="shared" si="9"/>
        <v>45615</v>
      </c>
      <c r="AD117" s="118">
        <f t="shared" si="12"/>
        <v>-656</v>
      </c>
      <c r="AE117" s="117">
        <f t="shared" si="13"/>
        <v>0</v>
      </c>
    </row>
    <row r="118" spans="2:31" ht="15.75" customHeight="1" thickBot="1" x14ac:dyDescent="0.25">
      <c r="B118" s="161" t="str">
        <f>"CAPACIDAD DE CONTRATACIÓN "&amp;$F$71</f>
        <v xml:space="preserve">CAPACIDAD DE CONTRATACIÓN </v>
      </c>
      <c r="C118" s="161"/>
      <c r="D118" s="161"/>
      <c r="E118" s="161"/>
      <c r="F118" s="161"/>
      <c r="G118" s="161"/>
      <c r="H118" s="161"/>
      <c r="I118" s="161"/>
      <c r="J118" s="161"/>
      <c r="K118" s="161"/>
      <c r="L118" s="167">
        <f>I80*((L108+L113+L116)/100)</f>
        <v>10897161487.200001</v>
      </c>
      <c r="M118" s="167"/>
      <c r="N118" s="167"/>
      <c r="P118" s="82" t="s">
        <v>205</v>
      </c>
      <c r="R118" s="131">
        <v>7832191370</v>
      </c>
      <c r="T118" s="113">
        <f t="shared" si="14"/>
        <v>40</v>
      </c>
      <c r="U118" s="113" t="s">
        <v>193</v>
      </c>
      <c r="V118" s="114"/>
      <c r="W118" s="114">
        <f t="shared" si="15"/>
        <v>45614</v>
      </c>
      <c r="X118" s="114"/>
      <c r="Y118" s="115">
        <v>0</v>
      </c>
      <c r="Z118" s="116">
        <v>1</v>
      </c>
      <c r="AA118" s="117">
        <f t="shared" si="10"/>
        <v>0</v>
      </c>
      <c r="AB118" s="118">
        <f t="shared" si="11"/>
        <v>44959</v>
      </c>
      <c r="AC118" s="118">
        <f t="shared" si="9"/>
        <v>45615</v>
      </c>
      <c r="AD118" s="118">
        <f t="shared" si="12"/>
        <v>-656</v>
      </c>
      <c r="AE118" s="117">
        <f t="shared" si="13"/>
        <v>0</v>
      </c>
    </row>
    <row r="119" spans="2:31" ht="15.75" customHeight="1" thickBot="1" x14ac:dyDescent="0.25">
      <c r="B119" s="161" t="str">
        <f>"SALDO DE LOS CONTRATOS EN EJECUCIÓN "&amp;$F$71</f>
        <v xml:space="preserve">SALDO DE LOS CONTRATOS EN EJECUCIÓN </v>
      </c>
      <c r="C119" s="161"/>
      <c r="D119" s="161"/>
      <c r="E119" s="161"/>
      <c r="F119" s="161"/>
      <c r="G119" s="161"/>
      <c r="H119" s="161"/>
      <c r="I119" s="161"/>
      <c r="J119" s="161"/>
      <c r="K119" s="161"/>
      <c r="L119" s="167">
        <f>$M$8</f>
        <v>191336949</v>
      </c>
      <c r="M119" s="167"/>
      <c r="N119" s="167"/>
      <c r="P119" s="82" t="s">
        <v>206</v>
      </c>
      <c r="R119" s="131">
        <v>6568014622</v>
      </c>
      <c r="T119" s="113">
        <f t="shared" si="14"/>
        <v>41</v>
      </c>
      <c r="U119" s="113" t="s">
        <v>194</v>
      </c>
      <c r="V119" s="114"/>
      <c r="W119" s="114">
        <f t="shared" si="15"/>
        <v>45614</v>
      </c>
      <c r="X119" s="114"/>
      <c r="Y119" s="115">
        <v>0</v>
      </c>
      <c r="Z119" s="116">
        <v>1</v>
      </c>
      <c r="AA119" s="117">
        <f t="shared" si="10"/>
        <v>0</v>
      </c>
      <c r="AB119" s="118">
        <f t="shared" si="11"/>
        <v>44959</v>
      </c>
      <c r="AC119" s="118">
        <f t="shared" si="9"/>
        <v>45615</v>
      </c>
      <c r="AD119" s="118">
        <f t="shared" si="12"/>
        <v>-656</v>
      </c>
      <c r="AE119" s="117">
        <f t="shared" si="13"/>
        <v>0</v>
      </c>
    </row>
    <row r="120" spans="2:31" ht="15.75" customHeight="1" thickBot="1" x14ac:dyDescent="0.25">
      <c r="B120" s="161" t="str">
        <f>"CAPACIDAD RESIDUAL DE CONTRATACIÓN "&amp;$F$71</f>
        <v xml:space="preserve">CAPACIDAD RESIDUAL DE CONTRATACIÓN </v>
      </c>
      <c r="C120" s="161"/>
      <c r="D120" s="161"/>
      <c r="E120" s="161"/>
      <c r="F120" s="161"/>
      <c r="G120" s="161"/>
      <c r="H120" s="161"/>
      <c r="I120" s="161"/>
      <c r="J120" s="161"/>
      <c r="K120" s="161"/>
      <c r="L120" s="167">
        <f>L118-L119</f>
        <v>10705824538.200001</v>
      </c>
      <c r="M120" s="167"/>
      <c r="N120" s="167"/>
      <c r="T120" s="113">
        <f t="shared" si="14"/>
        <v>42</v>
      </c>
      <c r="U120" s="113" t="s">
        <v>195</v>
      </c>
      <c r="V120" s="114"/>
      <c r="W120" s="114">
        <f t="shared" si="15"/>
        <v>45614</v>
      </c>
      <c r="X120" s="114"/>
      <c r="Y120" s="115">
        <v>0</v>
      </c>
      <c r="Z120" s="116">
        <v>1</v>
      </c>
      <c r="AA120" s="117">
        <f t="shared" si="10"/>
        <v>0</v>
      </c>
      <c r="AB120" s="118">
        <f t="shared" si="11"/>
        <v>44959</v>
      </c>
      <c r="AC120" s="118">
        <f t="shared" si="9"/>
        <v>45615</v>
      </c>
      <c r="AD120" s="118">
        <f t="shared" si="12"/>
        <v>-656</v>
      </c>
      <c r="AE120" s="117">
        <f t="shared" si="13"/>
        <v>0</v>
      </c>
    </row>
    <row r="121" spans="2:31" ht="13.5" thickBot="1" x14ac:dyDescent="0.25">
      <c r="B121" s="127"/>
      <c r="C121" s="127"/>
      <c r="D121" s="127"/>
      <c r="E121" s="127"/>
      <c r="F121" s="127"/>
      <c r="G121" s="127"/>
      <c r="H121" s="127"/>
      <c r="I121" s="127"/>
      <c r="J121" s="127"/>
      <c r="K121" s="127"/>
      <c r="L121" s="128"/>
      <c r="M121" s="128"/>
      <c r="N121" s="128"/>
      <c r="R121" s="130" t="s">
        <v>200</v>
      </c>
      <c r="T121" s="113">
        <f t="shared" si="14"/>
        <v>43</v>
      </c>
      <c r="U121" s="113" t="s">
        <v>198</v>
      </c>
      <c r="V121" s="114"/>
      <c r="W121" s="114">
        <f t="shared" si="15"/>
        <v>45614</v>
      </c>
      <c r="X121" s="114"/>
      <c r="Y121" s="115">
        <v>0</v>
      </c>
      <c r="Z121" s="116">
        <v>1</v>
      </c>
      <c r="AA121" s="117">
        <f t="shared" si="10"/>
        <v>0</v>
      </c>
      <c r="AB121" s="118">
        <f t="shared" si="11"/>
        <v>44959</v>
      </c>
      <c r="AC121" s="118">
        <f t="shared" si="9"/>
        <v>45615</v>
      </c>
      <c r="AD121" s="118">
        <f t="shared" si="12"/>
        <v>-656</v>
      </c>
      <c r="AE121" s="117">
        <f t="shared" si="13"/>
        <v>0</v>
      </c>
    </row>
    <row r="122" spans="2:31" ht="15.75" customHeight="1" thickBot="1" x14ac:dyDescent="0.3">
      <c r="B122" s="213" t="str">
        <f>"INTEGRANTE 1: "&amp;$C$7&amp;" PRESENTA ESTADOS FINANCIEROS DICTAMINADOS"</f>
        <v>INTEGRANTE 1: Juan Pablo Dorado Martínez PRESENTA ESTADOS FINANCIEROS DICTAMINADOS</v>
      </c>
      <c r="C122" s="214"/>
      <c r="D122" s="214"/>
      <c r="E122" s="214"/>
      <c r="F122" s="214"/>
      <c r="G122" s="214"/>
      <c r="H122" s="214"/>
      <c r="I122" s="214"/>
      <c r="J122" s="214"/>
      <c r="K122" s="214"/>
      <c r="L122" s="215" t="str">
        <f>IF(L123="","",IF(L124="","",IF(AND(L123="si",L124="si")=TRUE,"CUMPLE","NO CUMPLE")))</f>
        <v>CUMPLE</v>
      </c>
      <c r="M122" s="215"/>
      <c r="N122" s="215"/>
      <c r="P122" s="82" t="s">
        <v>201</v>
      </c>
      <c r="R122" s="83">
        <v>16</v>
      </c>
      <c r="Z122" s="235" t="s">
        <v>199</v>
      </c>
      <c r="AA122" s="235"/>
      <c r="AB122" s="235"/>
      <c r="AC122" s="235"/>
      <c r="AD122" s="235"/>
      <c r="AE122" s="126">
        <f>SUM(AE78:AE121)</f>
        <v>25000000</v>
      </c>
    </row>
    <row r="123" spans="2:31" ht="57.75" customHeight="1" x14ac:dyDescent="0.25">
      <c r="B123" s="163" t="s">
        <v>196</v>
      </c>
      <c r="C123" s="163"/>
      <c r="D123" s="163"/>
      <c r="E123" s="163"/>
      <c r="F123" s="163"/>
      <c r="G123" s="163"/>
      <c r="H123" s="163"/>
      <c r="I123" s="163"/>
      <c r="J123" s="163"/>
      <c r="K123" s="163"/>
      <c r="L123" s="164" t="s">
        <v>2</v>
      </c>
      <c r="M123" s="164"/>
      <c r="N123" s="164"/>
      <c r="P123" s="82"/>
      <c r="R123" s="83"/>
      <c r="Z123" s="132"/>
      <c r="AA123" s="132"/>
      <c r="AB123" s="132"/>
      <c r="AC123" s="132"/>
      <c r="AD123" s="132"/>
      <c r="AE123" s="133"/>
    </row>
    <row r="124" spans="2:31" ht="32.25" customHeight="1" x14ac:dyDescent="0.25">
      <c r="B124" s="163" t="s">
        <v>197</v>
      </c>
      <c r="C124" s="163"/>
      <c r="D124" s="163"/>
      <c r="E124" s="163"/>
      <c r="F124" s="163"/>
      <c r="G124" s="163"/>
      <c r="H124" s="163"/>
      <c r="I124" s="163"/>
      <c r="J124" s="163"/>
      <c r="K124" s="163"/>
      <c r="L124" s="164" t="s">
        <v>2</v>
      </c>
      <c r="M124" s="164"/>
      <c r="N124" s="164"/>
      <c r="P124" s="82"/>
      <c r="R124" s="83"/>
      <c r="Z124" s="132"/>
      <c r="AA124" s="132"/>
      <c r="AB124" s="132"/>
      <c r="AC124" s="132"/>
      <c r="AD124" s="132"/>
      <c r="AE124" s="133"/>
    </row>
    <row r="125" spans="2:31" ht="15.75" customHeight="1" x14ac:dyDescent="0.25">
      <c r="B125" s="213" t="str">
        <f>"INTEGRANTE 2: "&amp;$C$8&amp;" PRESENTA ESTADOS FINANCIEROS DICTAMINADOS"</f>
        <v>INTEGRANTE 2: Dorado Asociados SAS PRESENTA ESTADOS FINANCIEROS DICTAMINADOS</v>
      </c>
      <c r="C125" s="214"/>
      <c r="D125" s="214"/>
      <c r="E125" s="214"/>
      <c r="F125" s="214"/>
      <c r="G125" s="214"/>
      <c r="H125" s="214"/>
      <c r="I125" s="214"/>
      <c r="J125" s="214"/>
      <c r="K125" s="214"/>
      <c r="L125" s="215" t="str">
        <f>IF(L126="","",IF(L127="","",IF(AND(L126="si",L127="si")=TRUE,"CUMPLE","NO CUMPLE")))</f>
        <v>CUMPLE</v>
      </c>
      <c r="M125" s="215"/>
      <c r="N125" s="215"/>
      <c r="P125" s="82" t="s">
        <v>214</v>
      </c>
      <c r="R125" s="83">
        <v>19</v>
      </c>
    </row>
    <row r="126" spans="2:31" ht="57.75" customHeight="1" x14ac:dyDescent="0.25">
      <c r="B126" s="163" t="s">
        <v>196</v>
      </c>
      <c r="C126" s="163"/>
      <c r="D126" s="163"/>
      <c r="E126" s="163"/>
      <c r="F126" s="163"/>
      <c r="G126" s="163"/>
      <c r="H126" s="163"/>
      <c r="I126" s="163"/>
      <c r="J126" s="163"/>
      <c r="K126" s="163"/>
      <c r="L126" s="164" t="s">
        <v>2</v>
      </c>
      <c r="M126" s="164"/>
      <c r="N126" s="164"/>
      <c r="P126" s="82"/>
      <c r="R126" s="83"/>
      <c r="Z126" s="132"/>
      <c r="AA126" s="132"/>
      <c r="AB126" s="132"/>
      <c r="AC126" s="132"/>
      <c r="AD126" s="132"/>
      <c r="AE126" s="133"/>
    </row>
    <row r="127" spans="2:31" ht="32.25" customHeight="1" x14ac:dyDescent="0.25">
      <c r="B127" s="163" t="s">
        <v>197</v>
      </c>
      <c r="C127" s="163"/>
      <c r="D127" s="163"/>
      <c r="E127" s="163"/>
      <c r="F127" s="163"/>
      <c r="G127" s="163"/>
      <c r="H127" s="163"/>
      <c r="I127" s="163"/>
      <c r="J127" s="163"/>
      <c r="K127" s="163"/>
      <c r="L127" s="164" t="s">
        <v>2</v>
      </c>
      <c r="M127" s="164"/>
      <c r="N127" s="164"/>
      <c r="P127" s="82"/>
      <c r="R127" s="83"/>
      <c r="Z127" s="132"/>
      <c r="AA127" s="132"/>
      <c r="AB127" s="132"/>
      <c r="AC127" s="132"/>
      <c r="AD127" s="132"/>
      <c r="AE127" s="133"/>
    </row>
    <row r="128" spans="2:31" ht="15.75" customHeight="1" x14ac:dyDescent="0.25">
      <c r="P128" s="82" t="s">
        <v>202</v>
      </c>
      <c r="R128" s="83">
        <v>15</v>
      </c>
    </row>
    <row r="129" spans="2:18" ht="15.75" customHeight="1" x14ac:dyDescent="0.25">
      <c r="B129" s="248" t="s">
        <v>50</v>
      </c>
      <c r="C129" s="248"/>
      <c r="D129" s="248"/>
      <c r="E129" s="248"/>
      <c r="F129" s="248"/>
      <c r="G129" s="248"/>
      <c r="H129" s="248"/>
      <c r="I129" s="248"/>
      <c r="J129" s="248"/>
      <c r="K129" s="248"/>
      <c r="L129" s="248"/>
      <c r="M129" s="248"/>
      <c r="N129" s="248"/>
      <c r="P129" s="82" t="s">
        <v>203</v>
      </c>
      <c r="R129" s="83">
        <v>19</v>
      </c>
    </row>
    <row r="130" spans="2:18" ht="57.75" customHeight="1" x14ac:dyDescent="0.25">
      <c r="B130" s="242"/>
      <c r="C130" s="243"/>
      <c r="D130" s="243"/>
      <c r="E130" s="243"/>
      <c r="F130" s="243"/>
      <c r="G130" s="243"/>
      <c r="H130" s="243"/>
      <c r="I130" s="243"/>
      <c r="J130" s="243"/>
      <c r="K130" s="243"/>
      <c r="L130" s="243"/>
      <c r="M130" s="243"/>
      <c r="N130" s="244"/>
      <c r="P130" s="82" t="s">
        <v>204</v>
      </c>
      <c r="R130" s="83">
        <v>17</v>
      </c>
    </row>
    <row r="131" spans="2:18" ht="15.75" customHeight="1" x14ac:dyDescent="0.25">
      <c r="P131" s="82" t="s">
        <v>205</v>
      </c>
      <c r="R131" s="83">
        <v>19</v>
      </c>
    </row>
    <row r="132" spans="2:18" ht="12.75" x14ac:dyDescent="0.25">
      <c r="P132" s="82" t="s">
        <v>206</v>
      </c>
      <c r="R132" s="83">
        <v>19</v>
      </c>
    </row>
    <row r="134" spans="2:18" ht="12.75" x14ac:dyDescent="0.25"/>
    <row r="135" spans="2:18" ht="12.75" x14ac:dyDescent="0.25"/>
    <row r="138" spans="2:18" ht="180" customHeight="1" x14ac:dyDescent="0.25"/>
  </sheetData>
  <sheetProtection selectLockedCells="1"/>
  <mergeCells count="174">
    <mergeCell ref="B130:N130"/>
    <mergeCell ref="B2:N2"/>
    <mergeCell ref="B129:N129"/>
    <mergeCell ref="L13:N13"/>
    <mergeCell ref="B105:I105"/>
    <mergeCell ref="J105:N105"/>
    <mergeCell ref="B107:I107"/>
    <mergeCell ref="J107:N107"/>
    <mergeCell ref="B108:K108"/>
    <mergeCell ref="L108:N108"/>
    <mergeCell ref="B109:N109"/>
    <mergeCell ref="B65:K65"/>
    <mergeCell ref="L65:N65"/>
    <mergeCell ref="B67:K67"/>
    <mergeCell ref="L67:N67"/>
    <mergeCell ref="B4:E4"/>
    <mergeCell ref="F4:N4"/>
    <mergeCell ref="B17:E17"/>
    <mergeCell ref="F17:G17"/>
    <mergeCell ref="I17:N17"/>
    <mergeCell ref="B31:N31"/>
    <mergeCell ref="H60:K60"/>
    <mergeCell ref="L60:N60"/>
    <mergeCell ref="H61:K61"/>
    <mergeCell ref="P96:Q96"/>
    <mergeCell ref="Z122:AD122"/>
    <mergeCell ref="B119:K119"/>
    <mergeCell ref="L119:N119"/>
    <mergeCell ref="B120:K120"/>
    <mergeCell ref="L120:N120"/>
    <mergeCell ref="H110:K110"/>
    <mergeCell ref="L110:N110"/>
    <mergeCell ref="H111:K111"/>
    <mergeCell ref="L111:N111"/>
    <mergeCell ref="H112:K112"/>
    <mergeCell ref="L112:N112"/>
    <mergeCell ref="B113:K113"/>
    <mergeCell ref="L113:N113"/>
    <mergeCell ref="B114:N114"/>
    <mergeCell ref="B115:L115"/>
    <mergeCell ref="M115:N115"/>
    <mergeCell ref="B116:K116"/>
    <mergeCell ref="L116:N116"/>
    <mergeCell ref="B118:K118"/>
    <mergeCell ref="L118:N118"/>
    <mergeCell ref="B110:G112"/>
    <mergeCell ref="B122:K122"/>
    <mergeCell ref="L122:N122"/>
    <mergeCell ref="P85:Q85"/>
    <mergeCell ref="B78:N78"/>
    <mergeCell ref="B81:N81"/>
    <mergeCell ref="I80:N80"/>
    <mergeCell ref="B80:H80"/>
    <mergeCell ref="I79:N79"/>
    <mergeCell ref="B79:H79"/>
    <mergeCell ref="B82:N82"/>
    <mergeCell ref="P90:Q90"/>
    <mergeCell ref="AE76:AE77"/>
    <mergeCell ref="B72:H72"/>
    <mergeCell ref="I72:N72"/>
    <mergeCell ref="B73:G73"/>
    <mergeCell ref="H73:M73"/>
    <mergeCell ref="H74:M74"/>
    <mergeCell ref="H75:M75"/>
    <mergeCell ref="H76:M76"/>
    <mergeCell ref="V76:V77"/>
    <mergeCell ref="W76:W77"/>
    <mergeCell ref="Y76:Y77"/>
    <mergeCell ref="X76:X77"/>
    <mergeCell ref="Z76:Z77"/>
    <mergeCell ref="AA76:AA77"/>
    <mergeCell ref="AB76:AB77"/>
    <mergeCell ref="AC76:AC77"/>
    <mergeCell ref="H77:M77"/>
    <mergeCell ref="Z70:AD70"/>
    <mergeCell ref="T73:U73"/>
    <mergeCell ref="V73:AA73"/>
    <mergeCell ref="AD76:AD77"/>
    <mergeCell ref="T76:T77"/>
    <mergeCell ref="U76:U77"/>
    <mergeCell ref="B68:K68"/>
    <mergeCell ref="L68:N68"/>
    <mergeCell ref="B69:K69"/>
    <mergeCell ref="L69:N69"/>
    <mergeCell ref="B71:N71"/>
    <mergeCell ref="B74:G77"/>
    <mergeCell ref="AD24:AD25"/>
    <mergeCell ref="AE24:AE25"/>
    <mergeCell ref="B21:H21"/>
    <mergeCell ref="I21:N21"/>
    <mergeCell ref="V24:V25"/>
    <mergeCell ref="W24:W25"/>
    <mergeCell ref="Y24:Y25"/>
    <mergeCell ref="Z24:Z25"/>
    <mergeCell ref="AA24:AA25"/>
    <mergeCell ref="AB24:AB25"/>
    <mergeCell ref="U24:U25"/>
    <mergeCell ref="X24:X25"/>
    <mergeCell ref="AC24:AC25"/>
    <mergeCell ref="T24:T25"/>
    <mergeCell ref="T21:U21"/>
    <mergeCell ref="V21:AA21"/>
    <mergeCell ref="B30:N30"/>
    <mergeCell ref="B59:G61"/>
    <mergeCell ref="B63:N63"/>
    <mergeCell ref="B64:L64"/>
    <mergeCell ref="M64:N64"/>
    <mergeCell ref="P38:Q38"/>
    <mergeCell ref="I18:N18"/>
    <mergeCell ref="B18:H18"/>
    <mergeCell ref="P44:Q44"/>
    <mergeCell ref="B57:K57"/>
    <mergeCell ref="L57:N57"/>
    <mergeCell ref="B58:N58"/>
    <mergeCell ref="H59:K59"/>
    <mergeCell ref="L59:N59"/>
    <mergeCell ref="P33:Q33"/>
    <mergeCell ref="B55:I55"/>
    <mergeCell ref="J55:N55"/>
    <mergeCell ref="N83:N104"/>
    <mergeCell ref="B54:I54"/>
    <mergeCell ref="J54:N54"/>
    <mergeCell ref="B5:N5"/>
    <mergeCell ref="B6:F6"/>
    <mergeCell ref="K6:L6"/>
    <mergeCell ref="M6:N6"/>
    <mergeCell ref="C7:F7"/>
    <mergeCell ref="C8:F8"/>
    <mergeCell ref="K7:L7"/>
    <mergeCell ref="M7:N7"/>
    <mergeCell ref="K8:L8"/>
    <mergeCell ref="M8:N8"/>
    <mergeCell ref="L61:N61"/>
    <mergeCell ref="B62:K62"/>
    <mergeCell ref="L62:N62"/>
    <mergeCell ref="B56:I56"/>
    <mergeCell ref="J56:N56"/>
    <mergeCell ref="N32:N53"/>
    <mergeCell ref="B15:N15"/>
    <mergeCell ref="B16:E16"/>
    <mergeCell ref="F16:G16"/>
    <mergeCell ref="I16:N16"/>
    <mergeCell ref="B22:G22"/>
    <mergeCell ref="B10:K10"/>
    <mergeCell ref="L10:N10"/>
    <mergeCell ref="B11:K11"/>
    <mergeCell ref="L11:N11"/>
    <mergeCell ref="B12:K12"/>
    <mergeCell ref="L12:N12"/>
    <mergeCell ref="I29:N29"/>
    <mergeCell ref="I28:N28"/>
    <mergeCell ref="B28:H28"/>
    <mergeCell ref="B29:H29"/>
    <mergeCell ref="B20:N20"/>
    <mergeCell ref="B13:K13"/>
    <mergeCell ref="B23:G26"/>
    <mergeCell ref="H22:M22"/>
    <mergeCell ref="H23:M23"/>
    <mergeCell ref="H24:M24"/>
    <mergeCell ref="H25:M25"/>
    <mergeCell ref="H26:M26"/>
    <mergeCell ref="B27:N27"/>
    <mergeCell ref="B106:I106"/>
    <mergeCell ref="J106:N106"/>
    <mergeCell ref="B123:K123"/>
    <mergeCell ref="L123:N123"/>
    <mergeCell ref="B124:K124"/>
    <mergeCell ref="L124:N124"/>
    <mergeCell ref="L126:N126"/>
    <mergeCell ref="L127:N127"/>
    <mergeCell ref="B126:K126"/>
    <mergeCell ref="B127:K127"/>
    <mergeCell ref="B125:K125"/>
    <mergeCell ref="L125:N125"/>
  </mergeCells>
  <conditionalFormatting sqref="G7:G8">
    <cfRule type="expression" dxfId="15" priority="1">
      <formula>SUM($G$7:$G$8)=0</formula>
    </cfRule>
    <cfRule type="expression" dxfId="14" priority="2">
      <formula>SUM($G$7:$G$8)&lt;100%</formula>
    </cfRule>
  </conditionalFormatting>
  <conditionalFormatting sqref="L13 X18:Y18">
    <cfRule type="cellIs" dxfId="13" priority="4" stopIfTrue="1" operator="equal">
      <formula>$Q$27</formula>
    </cfRule>
    <cfRule type="cellIs" dxfId="12" priority="5" stopIfTrue="1" operator="equal">
      <formula>$Q$28</formula>
    </cfRule>
  </conditionalFormatting>
  <dataValidations count="1">
    <dataValidation type="list" allowBlank="1" showInputMessage="1" showErrorMessage="1" sqref="L123:N124 L126:N127" xr:uid="{1A1AF984-EB81-4E1B-9E2F-042366291F4A}">
      <formula1>$O$1:$O$2</formula1>
    </dataValidation>
  </dataValidations>
  <printOptions horizontalCentered="1"/>
  <pageMargins left="0.70866141732283472" right="0.70866141732283472" top="0.74803149606299213" bottom="0.74803149606299213" header="0.31496062992125984" footer="0.31496062992125984"/>
  <pageSetup paperSize="9" scale="46" orientation="portrait" horizontalDpi="300" verticalDpi="300" r:id="rId1"/>
  <rowBreaks count="1" manualBreakCount="1">
    <brk id="77" max="13" man="1"/>
  </rowBreaks>
  <drawing r:id="rId2"/>
  <legacyDrawing r:id="rId3"/>
  <oleObjects>
    <mc:AlternateContent xmlns:mc="http://schemas.openxmlformats.org/markup-compatibility/2006">
      <mc:Choice Requires="x14">
        <oleObject progId="Equation.3" shapeId="2049" r:id="rId4">
          <objectPr defaultSize="0" autoPict="0" r:id="rId5">
            <anchor moveWithCells="1">
              <from>
                <xdr:col>1</xdr:col>
                <xdr:colOff>323850</xdr:colOff>
                <xdr:row>22</xdr:row>
                <xdr:rowOff>171450</xdr:rowOff>
              </from>
              <to>
                <xdr:col>4</xdr:col>
                <xdr:colOff>1000125</xdr:colOff>
                <xdr:row>25</xdr:row>
                <xdr:rowOff>47625</xdr:rowOff>
              </to>
            </anchor>
          </objectPr>
        </oleObject>
      </mc:Choice>
      <mc:Fallback>
        <oleObject progId="Equation.3" shapeId="2049" r:id="rId4"/>
      </mc:Fallback>
    </mc:AlternateContent>
    <mc:AlternateContent xmlns:mc="http://schemas.openxmlformats.org/markup-compatibility/2006">
      <mc:Choice Requires="x14">
        <oleObject progId="Equation.3" shapeId="2050" r:id="rId6">
          <objectPr defaultSize="0" autoPict="0" r:id="rId7">
            <anchor moveWithCells="1">
              <from>
                <xdr:col>2</xdr:col>
                <xdr:colOff>9525</xdr:colOff>
                <xdr:row>58</xdr:row>
                <xdr:rowOff>85725</xdr:rowOff>
              </from>
              <to>
                <xdr:col>4</xdr:col>
                <xdr:colOff>866775</xdr:colOff>
                <xdr:row>60</xdr:row>
                <xdr:rowOff>123825</xdr:rowOff>
              </to>
            </anchor>
          </objectPr>
        </oleObject>
      </mc:Choice>
      <mc:Fallback>
        <oleObject progId="Equation.3" shapeId="2050" r:id="rId6"/>
      </mc:Fallback>
    </mc:AlternateContent>
    <mc:AlternateContent xmlns:mc="http://schemas.openxmlformats.org/markup-compatibility/2006">
      <mc:Choice Requires="x14">
        <oleObject progId="Equation.3" shapeId="2051" r:id="rId8">
          <objectPr defaultSize="0" autoPict="0" r:id="rId5">
            <anchor moveWithCells="1">
              <from>
                <xdr:col>2</xdr:col>
                <xdr:colOff>19050</xdr:colOff>
                <xdr:row>74</xdr:row>
                <xdr:rowOff>9525</xdr:rowOff>
              </from>
              <to>
                <xdr:col>5</xdr:col>
                <xdr:colOff>19050</xdr:colOff>
                <xdr:row>75</xdr:row>
                <xdr:rowOff>190500</xdr:rowOff>
              </to>
            </anchor>
          </objectPr>
        </oleObject>
      </mc:Choice>
      <mc:Fallback>
        <oleObject progId="Equation.3" shapeId="2051" r:id="rId8"/>
      </mc:Fallback>
    </mc:AlternateContent>
    <mc:AlternateContent xmlns:mc="http://schemas.openxmlformats.org/markup-compatibility/2006">
      <mc:Choice Requires="x14">
        <oleObject progId="Equation.3" shapeId="2052" r:id="rId9">
          <objectPr defaultSize="0" autoPict="0" r:id="rId7">
            <anchor moveWithCells="1">
              <from>
                <xdr:col>1</xdr:col>
                <xdr:colOff>85725</xdr:colOff>
                <xdr:row>109</xdr:row>
                <xdr:rowOff>85725</xdr:rowOff>
              </from>
              <to>
                <xdr:col>4</xdr:col>
                <xdr:colOff>552450</xdr:colOff>
                <xdr:row>111</xdr:row>
                <xdr:rowOff>123825</xdr:rowOff>
              </to>
            </anchor>
          </objectPr>
        </oleObject>
      </mc:Choice>
      <mc:Fallback>
        <oleObject progId="Equation.3" shapeId="2052" r:id="rId9"/>
      </mc:Fallback>
    </mc:AlternateContent>
  </oleObjec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G189"/>
  <sheetViews>
    <sheetView showGridLines="0" view="pageBreakPreview" topLeftCell="A174" zoomScaleNormal="100" zoomScaleSheetLayoutView="100" workbookViewId="0">
      <selection activeCell="B134" sqref="B134:N156"/>
    </sheetView>
  </sheetViews>
  <sheetFormatPr baseColWidth="10" defaultColWidth="5.85546875" defaultRowHeight="15.75" customHeight="1" x14ac:dyDescent="0.25"/>
  <cols>
    <col min="1" max="1" width="5" style="81" customWidth="1"/>
    <col min="2" max="4" width="5.85546875" style="81"/>
    <col min="5" max="5" width="16" style="81" customWidth="1"/>
    <col min="6" max="6" width="6.85546875" style="81" customWidth="1"/>
    <col min="7" max="7" width="13.85546875" style="81" customWidth="1"/>
    <col min="8" max="8" width="19.5703125" style="81" customWidth="1"/>
    <col min="9" max="9" width="18.42578125" style="81" customWidth="1"/>
    <col min="10" max="10" width="16.42578125" style="81" customWidth="1"/>
    <col min="11" max="11" width="9" style="81" customWidth="1"/>
    <col min="12" max="12" width="11.7109375" style="81" customWidth="1"/>
    <col min="13" max="13" width="10.7109375" style="81" customWidth="1"/>
    <col min="14" max="14" width="9.28515625" style="81" customWidth="1"/>
    <col min="15" max="15" width="4.7109375" style="81" hidden="1" customWidth="1"/>
    <col min="16" max="16" width="14.85546875" style="81" hidden="1" customWidth="1"/>
    <col min="17" max="17" width="10.7109375" style="81" hidden="1" customWidth="1"/>
    <col min="18" max="18" width="17.5703125" style="81" hidden="1" customWidth="1"/>
    <col min="19" max="19" width="5.85546875" style="81" hidden="1" customWidth="1"/>
    <col min="20" max="20" width="10" style="81" hidden="1" customWidth="1"/>
    <col min="21" max="21" width="13.28515625" style="81" hidden="1" customWidth="1"/>
    <col min="22" max="27" width="20.7109375" style="81" hidden="1" customWidth="1"/>
    <col min="28" max="28" width="18.28515625" style="81" hidden="1" customWidth="1"/>
    <col min="29" max="29" width="14.5703125" style="81" hidden="1" customWidth="1"/>
    <col min="30" max="30" width="15" style="81" hidden="1" customWidth="1"/>
    <col min="31" max="31" width="20.7109375" style="81" hidden="1" customWidth="1"/>
    <col min="32" max="43" width="20.7109375" style="81" customWidth="1"/>
    <col min="44" max="16384" width="5.85546875" style="81"/>
  </cols>
  <sheetData>
    <row r="1" spans="1:32" ht="15.75" customHeight="1" x14ac:dyDescent="0.25">
      <c r="A1" s="88" t="s">
        <v>0</v>
      </c>
      <c r="O1" s="88" t="s">
        <v>2</v>
      </c>
    </row>
    <row r="2" spans="1:32" ht="33" customHeight="1" x14ac:dyDescent="0.25">
      <c r="A2" s="88" t="s">
        <v>3</v>
      </c>
      <c r="B2" s="245" t="s">
        <v>217</v>
      </c>
      <c r="C2" s="246"/>
      <c r="D2" s="246"/>
      <c r="E2" s="246"/>
      <c r="F2" s="246"/>
      <c r="G2" s="246"/>
      <c r="H2" s="246"/>
      <c r="I2" s="246"/>
      <c r="J2" s="246"/>
      <c r="K2" s="246"/>
      <c r="L2" s="246"/>
      <c r="M2" s="246"/>
      <c r="N2" s="247"/>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12.75" x14ac:dyDescent="0.25">
      <c r="A4" s="88"/>
      <c r="B4" s="212" t="s">
        <v>207</v>
      </c>
      <c r="C4" s="212"/>
      <c r="D4" s="212"/>
      <c r="E4" s="212"/>
      <c r="F4" s="249" t="str">
        <f>'EVALUACIÓN EXPERIENCIA'!$G$3</f>
        <v>CONSORCIO MANTENIMIENTOS</v>
      </c>
      <c r="G4" s="249"/>
      <c r="H4" s="249"/>
      <c r="I4" s="249"/>
      <c r="J4" s="249"/>
      <c r="K4" s="249"/>
      <c r="L4" s="249"/>
      <c r="M4" s="249"/>
      <c r="N4" s="249"/>
      <c r="U4" s="89"/>
      <c r="Y4" s="89"/>
      <c r="Z4" s="89"/>
      <c r="AA4" s="89"/>
    </row>
    <row r="5" spans="1:32" ht="12.75" x14ac:dyDescent="0.25">
      <c r="A5" s="88"/>
      <c r="B5" s="165" t="s">
        <v>208</v>
      </c>
      <c r="C5" s="165"/>
      <c r="D5" s="165"/>
      <c r="E5" s="165"/>
      <c r="F5" s="165"/>
      <c r="G5" s="165"/>
      <c r="H5" s="165"/>
      <c r="I5" s="165"/>
      <c r="J5" s="165"/>
      <c r="K5" s="165"/>
      <c r="L5" s="165"/>
      <c r="M5" s="165"/>
      <c r="N5" s="165"/>
      <c r="U5" s="89"/>
      <c r="Y5" s="89"/>
      <c r="Z5" s="89"/>
      <c r="AA5" s="89"/>
    </row>
    <row r="6" spans="1:32" s="137" customFormat="1" ht="54.75" customHeight="1" x14ac:dyDescent="0.25">
      <c r="A6" s="136"/>
      <c r="B6" s="199" t="s">
        <v>209</v>
      </c>
      <c r="C6" s="199"/>
      <c r="D6" s="199"/>
      <c r="E6" s="199"/>
      <c r="F6" s="199"/>
      <c r="G6" s="87" t="s">
        <v>90</v>
      </c>
      <c r="H6" s="87" t="s">
        <v>91</v>
      </c>
      <c r="I6" s="87" t="s">
        <v>92</v>
      </c>
      <c r="J6" s="87" t="s">
        <v>93</v>
      </c>
      <c r="K6" s="200" t="s">
        <v>94</v>
      </c>
      <c r="L6" s="200"/>
      <c r="M6" s="200" t="s">
        <v>95</v>
      </c>
      <c r="N6" s="200"/>
      <c r="U6" s="138"/>
      <c r="Y6" s="138"/>
      <c r="Z6" s="138"/>
      <c r="AA6" s="138"/>
    </row>
    <row r="7" spans="1:32" ht="12.75" x14ac:dyDescent="0.25">
      <c r="A7" s="88"/>
      <c r="B7" s="92">
        <v>1</v>
      </c>
      <c r="C7" s="201" t="str">
        <f>'EVALUACIÓN EXPERIENCIA'!$A$29</f>
        <v>Juan Pablo Dorado Martínez</v>
      </c>
      <c r="D7" s="202"/>
      <c r="E7" s="202"/>
      <c r="F7" s="203"/>
      <c r="G7" s="93">
        <f>'EVALUACIÓN EXPERIENCIA'!$H$29</f>
        <v>0.2</v>
      </c>
      <c r="H7" s="94"/>
      <c r="I7" s="94"/>
      <c r="J7" s="94"/>
      <c r="K7" s="204"/>
      <c r="L7" s="205"/>
      <c r="M7" s="206"/>
      <c r="N7" s="207"/>
      <c r="U7" s="89"/>
      <c r="Y7" s="89"/>
      <c r="Z7" s="89"/>
      <c r="AA7" s="89"/>
    </row>
    <row r="8" spans="1:32" ht="12.75" x14ac:dyDescent="0.25">
      <c r="A8" s="88"/>
      <c r="B8" s="92">
        <v>2</v>
      </c>
      <c r="C8" s="201" t="str">
        <f>'EVALUACIÓN EXPERIENCIA'!$A$30</f>
        <v>Dorado Asociados SAS</v>
      </c>
      <c r="D8" s="202"/>
      <c r="E8" s="202"/>
      <c r="F8" s="203"/>
      <c r="G8" s="93">
        <f>'EVALUACIÓN EXPERIENCIA'!$H$30</f>
        <v>0.8</v>
      </c>
      <c r="H8" s="94"/>
      <c r="I8" s="94"/>
      <c r="J8" s="94"/>
      <c r="K8" s="208"/>
      <c r="L8" s="209"/>
      <c r="M8" s="206"/>
      <c r="N8" s="207"/>
      <c r="U8" s="89"/>
      <c r="Y8" s="89"/>
      <c r="Z8" s="89"/>
      <c r="AA8" s="89"/>
    </row>
    <row r="9" spans="1:32" ht="12.75" x14ac:dyDescent="0.25">
      <c r="A9" s="88"/>
      <c r="B9" s="92">
        <v>3</v>
      </c>
      <c r="C9" s="201">
        <f>'EVALUACIÓN EXPERIENCIA'!$A$31</f>
        <v>0</v>
      </c>
      <c r="D9" s="202"/>
      <c r="E9" s="202"/>
      <c r="F9" s="203"/>
      <c r="G9" s="93">
        <f>'EVALUACIÓN EXPERIENCIA'!$H$31</f>
        <v>0</v>
      </c>
      <c r="H9" s="94"/>
      <c r="I9" s="94"/>
      <c r="J9" s="94"/>
      <c r="K9" s="208"/>
      <c r="L9" s="209"/>
      <c r="M9" s="206"/>
      <c r="N9" s="207"/>
      <c r="U9" s="89"/>
      <c r="Y9" s="89"/>
      <c r="Z9" s="89"/>
      <c r="AA9" s="89"/>
    </row>
    <row r="10" spans="1:32" ht="15.75" customHeight="1" x14ac:dyDescent="0.25">
      <c r="A10" s="88"/>
      <c r="B10" s="90"/>
      <c r="C10" s="90"/>
      <c r="D10" s="90"/>
      <c r="E10" s="90"/>
      <c r="F10" s="90"/>
      <c r="G10" s="90"/>
      <c r="H10" s="90"/>
      <c r="I10" s="90"/>
      <c r="J10" s="90"/>
      <c r="K10" s="90"/>
      <c r="L10" s="90"/>
      <c r="M10" s="90"/>
      <c r="N10" s="90"/>
      <c r="U10" s="89"/>
      <c r="Y10" s="89"/>
      <c r="Z10" s="89"/>
      <c r="AA10" s="89"/>
    </row>
    <row r="11" spans="1:32" ht="12.75" x14ac:dyDescent="0.25">
      <c r="A11" s="88"/>
      <c r="B11" s="165" t="str">
        <f>"CRP INTEGRANTE 1: "&amp;$C$7</f>
        <v>CRP INTEGRANTE 1: Juan Pablo Dorado Martínez</v>
      </c>
      <c r="C11" s="165"/>
      <c r="D11" s="165"/>
      <c r="E11" s="165"/>
      <c r="F11" s="165"/>
      <c r="G11" s="165"/>
      <c r="H11" s="165"/>
      <c r="I11" s="165"/>
      <c r="J11" s="165"/>
      <c r="K11" s="165"/>
      <c r="L11" s="166">
        <f>L70</f>
        <v>426630400</v>
      </c>
      <c r="M11" s="165"/>
      <c r="N11" s="165"/>
      <c r="U11" s="89"/>
      <c r="Y11" s="89"/>
      <c r="Z11" s="89"/>
      <c r="AA11" s="89"/>
    </row>
    <row r="12" spans="1:32" ht="15.75" customHeight="1" x14ac:dyDescent="0.25">
      <c r="A12" s="88"/>
      <c r="B12" s="165" t="str">
        <f>"CRP INTEGRANTE 2: "&amp;$C$8</f>
        <v>CRP INTEGRANTE 2: Dorado Asociados SAS</v>
      </c>
      <c r="C12" s="165"/>
      <c r="D12" s="165"/>
      <c r="E12" s="165"/>
      <c r="F12" s="165"/>
      <c r="G12" s="165"/>
      <c r="H12" s="165"/>
      <c r="I12" s="165"/>
      <c r="J12" s="165"/>
      <c r="K12" s="165"/>
      <c r="L12" s="166">
        <f>L120</f>
        <v>426630400</v>
      </c>
      <c r="M12" s="165"/>
      <c r="N12" s="165"/>
    </row>
    <row r="13" spans="1:32" ht="12.75" x14ac:dyDescent="0.25">
      <c r="A13" s="88"/>
      <c r="B13" s="165" t="str">
        <f>"CRP INTEGRANTE 3: "&amp;$C$9</f>
        <v>CRP INTEGRANTE 3: 0</v>
      </c>
      <c r="C13" s="165"/>
      <c r="D13" s="165"/>
      <c r="E13" s="165"/>
      <c r="F13" s="165"/>
      <c r="G13" s="165"/>
      <c r="H13" s="165"/>
      <c r="I13" s="165"/>
      <c r="J13" s="165"/>
      <c r="K13" s="165"/>
      <c r="L13" s="166">
        <f>L170</f>
        <v>426630400</v>
      </c>
      <c r="M13" s="165"/>
      <c r="N13" s="165"/>
      <c r="P13" s="95"/>
      <c r="Q13" s="95"/>
      <c r="R13" s="95"/>
      <c r="S13" s="95"/>
      <c r="T13" s="95"/>
      <c r="U13" s="95"/>
      <c r="V13" s="95"/>
      <c r="W13" s="95"/>
      <c r="X13" s="95"/>
      <c r="Y13" s="95"/>
      <c r="Z13" s="89"/>
      <c r="AA13" s="89"/>
    </row>
    <row r="14" spans="1:32" ht="15.75" customHeight="1" x14ac:dyDescent="0.2">
      <c r="B14" s="165" t="str">
        <f>"TOTAL CRP PROPONENTE: "&amp;$F$4</f>
        <v>TOTAL CRP PROPONENTE: CONSORCIO MANTENIMIENTOS</v>
      </c>
      <c r="C14" s="165"/>
      <c r="D14" s="165"/>
      <c r="E14" s="165"/>
      <c r="F14" s="165"/>
      <c r="G14" s="165"/>
      <c r="H14" s="165"/>
      <c r="I14" s="165"/>
      <c r="J14" s="165"/>
      <c r="K14" s="165"/>
      <c r="L14" s="167">
        <f>SUM(L11:N13)</f>
        <v>1279891200</v>
      </c>
      <c r="M14" s="167"/>
      <c r="N14" s="167"/>
      <c r="P14" s="64"/>
      <c r="Q14" s="64"/>
      <c r="R14" s="64"/>
      <c r="S14" s="64"/>
      <c r="T14" s="64"/>
      <c r="Z14" s="64"/>
      <c r="AA14" s="64"/>
      <c r="AB14" s="64"/>
      <c r="AC14" s="64"/>
      <c r="AD14" s="64"/>
      <c r="AE14" s="64"/>
      <c r="AF14" s="64"/>
    </row>
    <row r="15" spans="1:32" ht="15.75" customHeight="1" x14ac:dyDescent="0.2">
      <c r="B15" s="183" t="str">
        <f>"CONDICIÓN DEL PROPONENTE: "&amp;$F$4</f>
        <v>CONDICIÓN DEL PROPONENTE: CONSORCIO MANTENIMIENTOS</v>
      </c>
      <c r="C15" s="184"/>
      <c r="D15" s="184"/>
      <c r="E15" s="184"/>
      <c r="F15" s="184"/>
      <c r="G15" s="184"/>
      <c r="H15" s="184"/>
      <c r="I15" s="184"/>
      <c r="J15" s="184"/>
      <c r="K15" s="185"/>
      <c r="L15" s="215" t="str">
        <f>IF(AND(IF(L172="CUMPLE",TRUE,FALSE),IF(L175="CUMPLE",TRUE,FALSE),IF(L178="CUMPLE",TRUE,FALSE),IF(IF(L14&lt;I20,Q28,Q27)="CUMPLE",TRUE,FALSE))=TRUE,"CUMPLE",IF(OR(L172="",L175="",L178="")=TRUE,"PENDIENTE REVISIÓN","NO CUMPLE"))</f>
        <v>PENDIENTE REVISIÓN</v>
      </c>
      <c r="M15" s="215"/>
      <c r="N15" s="215"/>
      <c r="O15" s="96"/>
      <c r="P15" s="97"/>
      <c r="Q15" s="97"/>
      <c r="R15" s="97"/>
      <c r="S15" s="97"/>
      <c r="T15" s="97"/>
      <c r="U15" s="97"/>
      <c r="V15" s="97"/>
      <c r="X15" s="98"/>
      <c r="Y15" s="98"/>
      <c r="Z15" s="64"/>
      <c r="AB15" s="64"/>
      <c r="AC15" s="64"/>
      <c r="AD15" s="64"/>
      <c r="AE15" s="64"/>
      <c r="AF15" s="64"/>
    </row>
    <row r="16" spans="1:32" ht="15.75" customHeight="1" x14ac:dyDescent="0.2">
      <c r="B16" s="64"/>
      <c r="C16" s="64"/>
      <c r="D16" s="64"/>
      <c r="E16" s="64"/>
      <c r="F16" s="64"/>
      <c r="G16" s="64"/>
      <c r="H16" s="64"/>
      <c r="I16" s="64"/>
      <c r="J16" s="64"/>
      <c r="K16" s="64"/>
      <c r="L16" s="64"/>
      <c r="M16" s="64"/>
      <c r="N16" s="64"/>
      <c r="O16" s="64"/>
      <c r="P16" s="97"/>
      <c r="Q16" s="97"/>
      <c r="R16" s="97"/>
      <c r="S16" s="97"/>
      <c r="T16" s="97"/>
      <c r="U16" s="97"/>
      <c r="V16" s="97"/>
      <c r="X16" s="98"/>
      <c r="Y16" s="98"/>
      <c r="Z16" s="64"/>
      <c r="AB16" s="64"/>
      <c r="AC16" s="64"/>
      <c r="AD16" s="64"/>
      <c r="AE16" s="64"/>
      <c r="AF16" s="64"/>
    </row>
    <row r="17" spans="2:33" ht="15.75" customHeight="1" x14ac:dyDescent="0.2">
      <c r="B17" s="212" t="s">
        <v>96</v>
      </c>
      <c r="C17" s="212"/>
      <c r="D17" s="212"/>
      <c r="E17" s="212"/>
      <c r="F17" s="212"/>
      <c r="G17" s="212"/>
      <c r="H17" s="212"/>
      <c r="I17" s="212"/>
      <c r="J17" s="212"/>
      <c r="K17" s="212"/>
      <c r="L17" s="212"/>
      <c r="M17" s="212"/>
      <c r="N17" s="212"/>
      <c r="P17" s="96"/>
      <c r="Q17" s="96"/>
      <c r="R17" s="96"/>
      <c r="S17" s="96"/>
      <c r="T17" s="96"/>
      <c r="U17" s="96"/>
      <c r="V17" s="96"/>
      <c r="X17" s="98"/>
      <c r="Y17" s="98"/>
      <c r="Z17" s="64"/>
      <c r="AB17" s="64"/>
      <c r="AC17" s="64"/>
      <c r="AD17" s="64"/>
      <c r="AE17" s="64"/>
      <c r="AF17" s="64"/>
    </row>
    <row r="18" spans="2:33" ht="12.75" x14ac:dyDescent="0.2">
      <c r="B18" s="212" t="s">
        <v>97</v>
      </c>
      <c r="C18" s="212"/>
      <c r="D18" s="212"/>
      <c r="E18" s="212"/>
      <c r="F18" s="212" t="s">
        <v>98</v>
      </c>
      <c r="G18" s="212"/>
      <c r="H18" s="91" t="s">
        <v>99</v>
      </c>
      <c r="I18" s="216" t="s">
        <v>100</v>
      </c>
      <c r="J18" s="216"/>
      <c r="K18" s="216"/>
      <c r="L18" s="216"/>
      <c r="M18" s="216"/>
      <c r="N18" s="216"/>
      <c r="P18" s="96"/>
      <c r="Q18" s="96"/>
      <c r="R18" s="96"/>
      <c r="S18" s="96"/>
      <c r="T18" s="96"/>
      <c r="U18" s="96"/>
      <c r="V18" s="96"/>
      <c r="X18" s="64"/>
      <c r="Y18" s="64"/>
      <c r="Z18" s="64"/>
      <c r="AB18" s="64"/>
      <c r="AC18" s="64"/>
      <c r="AD18" s="64"/>
      <c r="AE18" s="64"/>
      <c r="AF18" s="64"/>
    </row>
    <row r="19" spans="2:33" ht="15.75" customHeight="1" x14ac:dyDescent="0.2">
      <c r="B19" s="224">
        <f>+'EVALUACIÓN EXPERIENCIA'!D5</f>
        <v>724761029</v>
      </c>
      <c r="C19" s="224"/>
      <c r="D19" s="224"/>
      <c r="E19" s="224"/>
      <c r="F19" s="224">
        <f>+B19*25%</f>
        <v>181190257.25</v>
      </c>
      <c r="G19" s="224"/>
      <c r="H19" s="100">
        <v>3</v>
      </c>
      <c r="I19" s="250">
        <f>IFERROR(ROUND(((B19-F19)/H19)*12,0),0)</f>
        <v>2174283087</v>
      </c>
      <c r="J19" s="250"/>
      <c r="K19" s="250"/>
      <c r="L19" s="250"/>
      <c r="M19" s="250"/>
      <c r="N19" s="250"/>
      <c r="P19" s="64"/>
      <c r="Q19" s="64"/>
      <c r="R19" s="64"/>
      <c r="S19" s="64"/>
      <c r="T19" s="64"/>
      <c r="U19" s="64"/>
      <c r="V19" s="64"/>
      <c r="W19" s="64"/>
      <c r="X19" s="64"/>
      <c r="Y19" s="64"/>
      <c r="Z19" s="64"/>
      <c r="AA19" s="64"/>
      <c r="AB19" s="64"/>
      <c r="AC19" s="64"/>
      <c r="AD19" s="64"/>
      <c r="AE19" s="64"/>
      <c r="AF19" s="64"/>
    </row>
    <row r="20" spans="2:33" ht="15.75" customHeight="1" thickBot="1" x14ac:dyDescent="0.25">
      <c r="B20" s="222" t="s">
        <v>101</v>
      </c>
      <c r="C20" s="222"/>
      <c r="D20" s="222"/>
      <c r="E20" s="222"/>
      <c r="F20" s="222"/>
      <c r="G20" s="222"/>
      <c r="H20" s="222"/>
      <c r="I20" s="167">
        <f>SUM(I19:N19)</f>
        <v>2174283087</v>
      </c>
      <c r="J20" s="167"/>
      <c r="K20" s="167"/>
      <c r="L20" s="167"/>
      <c r="M20" s="167"/>
      <c r="N20" s="167"/>
      <c r="P20" s="64"/>
      <c r="Q20" s="64"/>
      <c r="R20" s="64"/>
      <c r="S20" s="64"/>
      <c r="T20" s="64"/>
      <c r="U20" s="64"/>
      <c r="V20" s="64"/>
      <c r="W20" s="64"/>
      <c r="X20" s="64"/>
      <c r="Y20" s="64"/>
      <c r="Z20" s="64"/>
      <c r="AA20" s="64"/>
      <c r="AB20" s="64"/>
      <c r="AC20" s="64"/>
      <c r="AD20" s="64"/>
      <c r="AE20" s="64"/>
      <c r="AF20" s="64"/>
    </row>
    <row r="21" spans="2:33" ht="15.75" customHeight="1" thickBot="1" x14ac:dyDescent="0.3">
      <c r="B21" s="101"/>
      <c r="C21" s="101"/>
      <c r="D21" s="101"/>
      <c r="E21" s="101"/>
      <c r="F21" s="101"/>
      <c r="G21" s="101"/>
      <c r="H21" s="101"/>
      <c r="I21" s="102"/>
      <c r="J21" s="102"/>
      <c r="K21" s="102"/>
      <c r="L21" s="102"/>
      <c r="M21" s="102"/>
      <c r="N21" s="102"/>
      <c r="T21" s="231" t="s">
        <v>108</v>
      </c>
      <c r="U21" s="231"/>
      <c r="V21" s="232" t="e">
        <f>#REF!</f>
        <v>#REF!</v>
      </c>
      <c r="W21" s="233"/>
      <c r="X21" s="233"/>
      <c r="Y21" s="233"/>
      <c r="Z21" s="233"/>
      <c r="AA21" s="234"/>
    </row>
    <row r="22" spans="2:33" ht="15.75" customHeight="1" thickBot="1" x14ac:dyDescent="0.3">
      <c r="B22" s="180" t="str">
        <f>"INTEGRANTE 1: "&amp;$C$7</f>
        <v>INTEGRANTE 1: Juan Pablo Dorado Martínez</v>
      </c>
      <c r="C22" s="181"/>
      <c r="D22" s="181"/>
      <c r="E22" s="181"/>
      <c r="F22" s="181"/>
      <c r="G22" s="181"/>
      <c r="H22" s="181"/>
      <c r="I22" s="181"/>
      <c r="J22" s="181"/>
      <c r="K22" s="181"/>
      <c r="L22" s="181"/>
      <c r="M22" s="181"/>
      <c r="N22" s="182"/>
      <c r="Q22" s="103" t="s">
        <v>210</v>
      </c>
      <c r="T22" s="104" t="s">
        <v>111</v>
      </c>
      <c r="U22" s="105">
        <v>45614</v>
      </c>
      <c r="AA22" s="106"/>
      <c r="AC22" s="107"/>
      <c r="AE22" s="107"/>
    </row>
    <row r="23" spans="2:33" ht="13.5" thickBot="1" x14ac:dyDescent="0.3">
      <c r="B23" s="227" t="s">
        <v>102</v>
      </c>
      <c r="C23" s="227"/>
      <c r="D23" s="227"/>
      <c r="E23" s="227"/>
      <c r="F23" s="227"/>
      <c r="G23" s="227"/>
      <c r="H23" s="227"/>
      <c r="I23" s="228">
        <f>$G$7</f>
        <v>0.2</v>
      </c>
      <c r="J23" s="228"/>
      <c r="K23" s="228"/>
      <c r="L23" s="228"/>
      <c r="M23" s="228"/>
      <c r="N23" s="228"/>
      <c r="Q23" s="108">
        <v>1423500</v>
      </c>
      <c r="T23" s="109"/>
      <c r="U23" s="110"/>
      <c r="Y23" s="106"/>
      <c r="AA23" s="107"/>
      <c r="AB23" s="111"/>
      <c r="AE23" s="107"/>
    </row>
    <row r="24" spans="2:33" ht="12.75" x14ac:dyDescent="0.25">
      <c r="B24" s="212" t="s">
        <v>103</v>
      </c>
      <c r="C24" s="212"/>
      <c r="D24" s="212"/>
      <c r="E24" s="212"/>
      <c r="F24" s="212"/>
      <c r="G24" s="212"/>
      <c r="H24" s="212" t="s">
        <v>104</v>
      </c>
      <c r="I24" s="212"/>
      <c r="J24" s="212"/>
      <c r="K24" s="212"/>
      <c r="L24" s="212"/>
      <c r="M24" s="212"/>
      <c r="N24" s="91" t="s">
        <v>105</v>
      </c>
      <c r="Q24" s="112"/>
      <c r="T24" s="229" t="s">
        <v>113</v>
      </c>
      <c r="U24" s="225" t="s">
        <v>114</v>
      </c>
      <c r="V24" s="225" t="s">
        <v>115</v>
      </c>
      <c r="W24" s="225" t="s">
        <v>116</v>
      </c>
      <c r="X24" s="225" t="s">
        <v>117</v>
      </c>
      <c r="Y24" s="225" t="s">
        <v>118</v>
      </c>
      <c r="Z24" s="225" t="s">
        <v>119</v>
      </c>
      <c r="AA24" s="225" t="s">
        <v>120</v>
      </c>
      <c r="AB24" s="225" t="s">
        <v>121</v>
      </c>
      <c r="AC24" s="225" t="s">
        <v>122</v>
      </c>
      <c r="AD24" s="225" t="s">
        <v>123</v>
      </c>
      <c r="AE24" s="225" t="s">
        <v>124</v>
      </c>
    </row>
    <row r="25" spans="2:33" ht="13.5" thickBot="1" x14ac:dyDescent="0.3">
      <c r="B25" s="186"/>
      <c r="C25" s="187"/>
      <c r="D25" s="187"/>
      <c r="E25" s="187"/>
      <c r="F25" s="187"/>
      <c r="G25" s="188"/>
      <c r="H25" s="217" t="s">
        <v>106</v>
      </c>
      <c r="I25" s="217"/>
      <c r="J25" s="217"/>
      <c r="K25" s="217"/>
      <c r="L25" s="217"/>
      <c r="M25" s="217"/>
      <c r="N25" s="79">
        <v>120</v>
      </c>
      <c r="Q25" s="112"/>
      <c r="T25" s="230"/>
      <c r="U25" s="226"/>
      <c r="V25" s="226"/>
      <c r="W25" s="226"/>
      <c r="X25" s="226"/>
      <c r="Y25" s="226"/>
      <c r="Z25" s="226"/>
      <c r="AA25" s="226"/>
      <c r="AB25" s="226"/>
      <c r="AC25" s="226"/>
      <c r="AD25" s="226"/>
      <c r="AE25" s="226"/>
    </row>
    <row r="26" spans="2:33" ht="15.75" customHeight="1" thickBot="1" x14ac:dyDescent="0.3">
      <c r="B26" s="189"/>
      <c r="C26" s="190"/>
      <c r="D26" s="190"/>
      <c r="E26" s="190"/>
      <c r="F26" s="190"/>
      <c r="G26" s="191"/>
      <c r="H26" s="217" t="s">
        <v>107</v>
      </c>
      <c r="I26" s="217"/>
      <c r="J26" s="217"/>
      <c r="K26" s="217"/>
      <c r="L26" s="217"/>
      <c r="M26" s="217"/>
      <c r="N26" s="79">
        <v>40</v>
      </c>
      <c r="T26" s="113">
        <v>1</v>
      </c>
      <c r="U26" s="113" t="s">
        <v>128</v>
      </c>
      <c r="V26" s="114">
        <v>44995</v>
      </c>
      <c r="W26" s="114">
        <v>45545</v>
      </c>
      <c r="X26" s="114">
        <v>45475</v>
      </c>
      <c r="Y26" s="115">
        <f>2195389085</f>
        <v>2195389085</v>
      </c>
      <c r="Z26" s="116">
        <v>0.9</v>
      </c>
      <c r="AA26" s="117">
        <f>Y26*Z26</f>
        <v>1975850176.5</v>
      </c>
      <c r="AB26" s="118">
        <f>DAYS360(V26,W26)</f>
        <v>540</v>
      </c>
      <c r="AC26" s="118">
        <f>IF(X26&gt;$R$45,(X26-V26),($U$22-V26))</f>
        <v>480</v>
      </c>
      <c r="AD26" s="118">
        <f t="shared" ref="AD26:AD68" si="0">IF((AB26-AC26)&gt;$P$28,$P$28,(AB26-AC26))</f>
        <v>60</v>
      </c>
      <c r="AE26" s="117">
        <f>ROUND((AA26/AB26)*AD26,0)</f>
        <v>219538909</v>
      </c>
    </row>
    <row r="27" spans="2:33" ht="15.75" customHeight="1" thickBot="1" x14ac:dyDescent="0.3">
      <c r="B27" s="189"/>
      <c r="C27" s="190"/>
      <c r="D27" s="190"/>
      <c r="E27" s="190"/>
      <c r="F27" s="190"/>
      <c r="G27" s="191"/>
      <c r="H27" s="217" t="s">
        <v>109</v>
      </c>
      <c r="I27" s="217"/>
      <c r="J27" s="217"/>
      <c r="K27" s="217"/>
      <c r="L27" s="217"/>
      <c r="M27" s="217"/>
      <c r="N27" s="79">
        <v>40</v>
      </c>
      <c r="O27" s="119"/>
      <c r="P27" s="99" t="s">
        <v>130</v>
      </c>
      <c r="Q27" s="99" t="s">
        <v>0</v>
      </c>
      <c r="R27" s="99" t="s">
        <v>131</v>
      </c>
      <c r="T27" s="113">
        <f>T26+1</f>
        <v>2</v>
      </c>
      <c r="U27" s="113" t="s">
        <v>132</v>
      </c>
      <c r="V27" s="114">
        <v>45229</v>
      </c>
      <c r="W27" s="114">
        <f>U22+81</f>
        <v>45695</v>
      </c>
      <c r="X27" s="114"/>
      <c r="Y27" s="115">
        <v>5625559703</v>
      </c>
      <c r="Z27" s="116">
        <v>1</v>
      </c>
      <c r="AA27" s="117">
        <f t="shared" ref="AA27:AA68" si="1">Y27*Z27</f>
        <v>5625559703</v>
      </c>
      <c r="AB27" s="118">
        <f>DAYS360(V27,W27)</f>
        <v>457</v>
      </c>
      <c r="AC27" s="118">
        <f>IF(X27&gt;$R$45,(X27-V27),($U$22-V27))</f>
        <v>385</v>
      </c>
      <c r="AD27" s="118">
        <f t="shared" si="0"/>
        <v>72</v>
      </c>
      <c r="AE27" s="120">
        <v>886496604</v>
      </c>
      <c r="AG27" s="111"/>
    </row>
    <row r="28" spans="2:33" ht="13.5" thickBot="1" x14ac:dyDescent="0.3">
      <c r="B28" s="192"/>
      <c r="C28" s="193"/>
      <c r="D28" s="193"/>
      <c r="E28" s="193"/>
      <c r="F28" s="193"/>
      <c r="G28" s="194"/>
      <c r="H28" s="212" t="s">
        <v>44</v>
      </c>
      <c r="I28" s="212"/>
      <c r="J28" s="212"/>
      <c r="K28" s="212"/>
      <c r="L28" s="212"/>
      <c r="M28" s="212"/>
      <c r="N28" s="79">
        <f>SUM(N25:N27)</f>
        <v>200</v>
      </c>
      <c r="O28" s="119"/>
      <c r="P28" s="79">
        <v>360</v>
      </c>
      <c r="Q28" s="79" t="s">
        <v>3</v>
      </c>
      <c r="R28" s="79">
        <v>12</v>
      </c>
      <c r="T28" s="113">
        <f t="shared" ref="T28:T68" si="2">T27+1</f>
        <v>3</v>
      </c>
      <c r="U28" s="113" t="s">
        <v>134</v>
      </c>
      <c r="V28" s="114">
        <v>45245</v>
      </c>
      <c r="W28" s="114">
        <v>45762</v>
      </c>
      <c r="X28" s="114"/>
      <c r="Y28" s="115">
        <v>9378471365.0200005</v>
      </c>
      <c r="Z28" s="116">
        <v>0.7</v>
      </c>
      <c r="AA28" s="117">
        <f t="shared" si="1"/>
        <v>6564929955.5139999</v>
      </c>
      <c r="AB28" s="118">
        <f>DAYS360(V28,W28)</f>
        <v>510</v>
      </c>
      <c r="AC28" s="118">
        <f>IF(X28&gt;$R$45,(X28-V28),($U$22-V28))</f>
        <v>369</v>
      </c>
      <c r="AD28" s="118">
        <f t="shared" si="0"/>
        <v>141</v>
      </c>
      <c r="AE28" s="117">
        <f t="shared" ref="AE28:AE68" si="3">ROUND((AA28/AB28)*AD28,0)</f>
        <v>1815010047</v>
      </c>
      <c r="AG28" s="111"/>
    </row>
    <row r="29" spans="2:33" ht="15.75" customHeight="1" thickBot="1" x14ac:dyDescent="0.3">
      <c r="B29" s="212" t="s">
        <v>112</v>
      </c>
      <c r="C29" s="212"/>
      <c r="D29" s="212"/>
      <c r="E29" s="212"/>
      <c r="F29" s="212"/>
      <c r="G29" s="212"/>
      <c r="H29" s="212"/>
      <c r="I29" s="212"/>
      <c r="J29" s="212"/>
      <c r="K29" s="212"/>
      <c r="L29" s="212"/>
      <c r="M29" s="212"/>
      <c r="N29" s="212"/>
      <c r="O29" s="119"/>
      <c r="T29" s="113">
        <f t="shared" si="2"/>
        <v>4</v>
      </c>
      <c r="U29" s="113" t="s">
        <v>138</v>
      </c>
      <c r="V29" s="114"/>
      <c r="W29" s="114">
        <f t="shared" ref="W29:W68" si="4">W28</f>
        <v>45762</v>
      </c>
      <c r="X29" s="114"/>
      <c r="Y29" s="115">
        <v>0</v>
      </c>
      <c r="Z29" s="116">
        <v>1</v>
      </c>
      <c r="AA29" s="117">
        <f t="shared" si="1"/>
        <v>0</v>
      </c>
      <c r="AB29" s="118">
        <f t="shared" ref="AB29:AB68" si="5">DAYS360(V29,W29)+1</f>
        <v>45106</v>
      </c>
      <c r="AC29" s="118">
        <f t="shared" ref="AC29:AC68" si="6">IF(X29&gt;$R$45,(X29-V29)+1,($U$22-V29)+1)</f>
        <v>45615</v>
      </c>
      <c r="AD29" s="118">
        <f t="shared" si="0"/>
        <v>-509</v>
      </c>
      <c r="AE29" s="117">
        <f t="shared" si="3"/>
        <v>0</v>
      </c>
    </row>
    <row r="30" spans="2:33" ht="15.75" customHeight="1" thickBot="1" x14ac:dyDescent="0.3">
      <c r="B30" s="400" t="s">
        <v>125</v>
      </c>
      <c r="C30" s="401"/>
      <c r="D30" s="401"/>
      <c r="E30" s="401"/>
      <c r="F30" s="401"/>
      <c r="G30" s="401"/>
      <c r="H30" s="402"/>
      <c r="I30" s="183" t="s">
        <v>126</v>
      </c>
      <c r="J30" s="184"/>
      <c r="K30" s="184"/>
      <c r="L30" s="184"/>
      <c r="M30" s="184"/>
      <c r="N30" s="185"/>
      <c r="P30" s="99" t="s">
        <v>139</v>
      </c>
      <c r="Q30" s="99" t="s">
        <v>140</v>
      </c>
      <c r="R30" s="99" t="s">
        <v>141</v>
      </c>
      <c r="T30" s="113">
        <f t="shared" si="2"/>
        <v>5</v>
      </c>
      <c r="U30" s="113" t="s">
        <v>142</v>
      </c>
      <c r="V30" s="114"/>
      <c r="W30" s="114">
        <f t="shared" si="4"/>
        <v>45762</v>
      </c>
      <c r="X30" s="114"/>
      <c r="Y30" s="115">
        <v>0</v>
      </c>
      <c r="Z30" s="116">
        <v>1</v>
      </c>
      <c r="AA30" s="117">
        <f t="shared" si="1"/>
        <v>0</v>
      </c>
      <c r="AB30" s="118">
        <f t="shared" si="5"/>
        <v>45106</v>
      </c>
      <c r="AC30" s="118">
        <f t="shared" si="6"/>
        <v>45615</v>
      </c>
      <c r="AD30" s="118">
        <f t="shared" si="0"/>
        <v>-509</v>
      </c>
      <c r="AE30" s="117">
        <f t="shared" si="3"/>
        <v>0</v>
      </c>
    </row>
    <row r="31" spans="2:33" ht="15.75" customHeight="1" thickBot="1" x14ac:dyDescent="0.3">
      <c r="B31" s="399" t="s">
        <v>127</v>
      </c>
      <c r="C31" s="399"/>
      <c r="D31" s="399"/>
      <c r="E31" s="399"/>
      <c r="F31" s="399"/>
      <c r="G31" s="399"/>
      <c r="H31" s="399"/>
      <c r="I31" s="168">
        <f>IF($H$7&gt;$R$31,$H$7,$R$31)</f>
        <v>533288000</v>
      </c>
      <c r="J31" s="169"/>
      <c r="K31" s="169"/>
      <c r="L31" s="169"/>
      <c r="M31" s="169"/>
      <c r="N31" s="170"/>
      <c r="P31" s="121">
        <v>125000</v>
      </c>
      <c r="Q31" s="108">
        <f>533287768/P31</f>
        <v>4266.3021440000002</v>
      </c>
      <c r="R31" s="108">
        <f>ROUNDUP(P31*Q31,-3)</f>
        <v>533288000</v>
      </c>
      <c r="T31" s="113">
        <f t="shared" si="2"/>
        <v>6</v>
      </c>
      <c r="U31" s="113" t="s">
        <v>143</v>
      </c>
      <c r="V31" s="114"/>
      <c r="W31" s="114">
        <f t="shared" si="4"/>
        <v>45762</v>
      </c>
      <c r="X31" s="114"/>
      <c r="Y31" s="115">
        <v>0</v>
      </c>
      <c r="Z31" s="116">
        <v>1</v>
      </c>
      <c r="AA31" s="117">
        <f t="shared" si="1"/>
        <v>0</v>
      </c>
      <c r="AB31" s="118">
        <f t="shared" si="5"/>
        <v>45106</v>
      </c>
      <c r="AC31" s="118">
        <f t="shared" si="6"/>
        <v>45615</v>
      </c>
      <c r="AD31" s="118">
        <f t="shared" si="0"/>
        <v>-509</v>
      </c>
      <c r="AE31" s="117">
        <f t="shared" si="3"/>
        <v>0</v>
      </c>
    </row>
    <row r="32" spans="2:33" ht="15.75" customHeight="1" thickBot="1" x14ac:dyDescent="0.3">
      <c r="B32" s="212" t="s">
        <v>129</v>
      </c>
      <c r="C32" s="212"/>
      <c r="D32" s="212"/>
      <c r="E32" s="212"/>
      <c r="F32" s="212"/>
      <c r="G32" s="212"/>
      <c r="H32" s="212"/>
      <c r="I32" s="212"/>
      <c r="J32" s="212"/>
      <c r="K32" s="212"/>
      <c r="L32" s="212"/>
      <c r="M32" s="212"/>
      <c r="N32" s="212"/>
      <c r="Q32" s="81" t="s">
        <v>144</v>
      </c>
      <c r="T32" s="113">
        <f t="shared" si="2"/>
        <v>7</v>
      </c>
      <c r="U32" s="113" t="s">
        <v>145</v>
      </c>
      <c r="V32" s="114"/>
      <c r="W32" s="114">
        <f t="shared" si="4"/>
        <v>45762</v>
      </c>
      <c r="X32" s="114"/>
      <c r="Y32" s="115">
        <v>0</v>
      </c>
      <c r="Z32" s="116">
        <v>1</v>
      </c>
      <c r="AA32" s="117">
        <f t="shared" si="1"/>
        <v>0</v>
      </c>
      <c r="AB32" s="118">
        <f t="shared" si="5"/>
        <v>45106</v>
      </c>
      <c r="AC32" s="118">
        <f t="shared" si="6"/>
        <v>45615</v>
      </c>
      <c r="AD32" s="118">
        <f t="shared" si="0"/>
        <v>-509</v>
      </c>
      <c r="AE32" s="117">
        <f t="shared" si="3"/>
        <v>0</v>
      </c>
    </row>
    <row r="33" spans="2:31" ht="15.75" customHeight="1" thickBot="1" x14ac:dyDescent="0.3">
      <c r="B33" s="212" t="s">
        <v>133</v>
      </c>
      <c r="C33" s="212"/>
      <c r="D33" s="212"/>
      <c r="E33" s="212"/>
      <c r="F33" s="212"/>
      <c r="G33" s="212"/>
      <c r="H33" s="212"/>
      <c r="I33" s="212"/>
      <c r="J33" s="212"/>
      <c r="K33" s="212"/>
      <c r="L33" s="212"/>
      <c r="M33" s="212"/>
      <c r="N33" s="212"/>
      <c r="P33" s="212" t="s">
        <v>146</v>
      </c>
      <c r="Q33" s="212"/>
      <c r="R33" s="99" t="s">
        <v>147</v>
      </c>
      <c r="T33" s="113">
        <f t="shared" si="2"/>
        <v>8</v>
      </c>
      <c r="U33" s="113" t="s">
        <v>148</v>
      </c>
      <c r="V33" s="114"/>
      <c r="W33" s="114">
        <f t="shared" si="4"/>
        <v>45762</v>
      </c>
      <c r="X33" s="114"/>
      <c r="Y33" s="115">
        <v>0</v>
      </c>
      <c r="Z33" s="116">
        <v>1</v>
      </c>
      <c r="AA33" s="117">
        <f t="shared" si="1"/>
        <v>0</v>
      </c>
      <c r="AB33" s="118">
        <f t="shared" si="5"/>
        <v>45106</v>
      </c>
      <c r="AC33" s="118">
        <f t="shared" si="6"/>
        <v>45615</v>
      </c>
      <c r="AD33" s="118">
        <f t="shared" si="0"/>
        <v>-509</v>
      </c>
      <c r="AE33" s="117">
        <f t="shared" si="3"/>
        <v>0</v>
      </c>
    </row>
    <row r="34" spans="2:31" ht="15.75" customHeight="1" thickBot="1" x14ac:dyDescent="0.25">
      <c r="B34" s="122" t="s">
        <v>135</v>
      </c>
      <c r="C34" s="160" t="s">
        <v>136</v>
      </c>
      <c r="D34" s="122" t="s">
        <v>135</v>
      </c>
      <c r="E34" s="160" t="s">
        <v>136</v>
      </c>
      <c r="F34" s="122" t="s">
        <v>135</v>
      </c>
      <c r="G34" s="160" t="s">
        <v>136</v>
      </c>
      <c r="H34" s="122" t="s">
        <v>135</v>
      </c>
      <c r="I34" s="160" t="s">
        <v>136</v>
      </c>
      <c r="J34" s="122" t="s">
        <v>135</v>
      </c>
      <c r="K34" s="160" t="s">
        <v>136</v>
      </c>
      <c r="L34" s="122" t="s">
        <v>135</v>
      </c>
      <c r="M34" s="160" t="s">
        <v>136</v>
      </c>
      <c r="N34" s="195" t="s">
        <v>137</v>
      </c>
      <c r="P34" s="79">
        <v>0</v>
      </c>
      <c r="Q34" s="79">
        <v>3</v>
      </c>
      <c r="R34" s="79">
        <v>60</v>
      </c>
      <c r="T34" s="113">
        <f t="shared" si="2"/>
        <v>9</v>
      </c>
      <c r="U34" s="113" t="s">
        <v>149</v>
      </c>
      <c r="V34" s="114"/>
      <c r="W34" s="114">
        <f t="shared" si="4"/>
        <v>45762</v>
      </c>
      <c r="X34" s="114"/>
      <c r="Y34" s="115">
        <v>0</v>
      </c>
      <c r="Z34" s="116">
        <v>1</v>
      </c>
      <c r="AA34" s="117">
        <f t="shared" si="1"/>
        <v>0</v>
      </c>
      <c r="AB34" s="118">
        <f t="shared" si="5"/>
        <v>45106</v>
      </c>
      <c r="AC34" s="118">
        <f t="shared" si="6"/>
        <v>45615</v>
      </c>
      <c r="AD34" s="118">
        <f t="shared" si="0"/>
        <v>-509</v>
      </c>
      <c r="AE34" s="117">
        <f t="shared" si="3"/>
        <v>0</v>
      </c>
    </row>
    <row r="35" spans="2:31" ht="15.75" customHeight="1" thickBot="1" x14ac:dyDescent="0.25">
      <c r="B35" s="123">
        <v>1</v>
      </c>
      <c r="C35" s="159"/>
      <c r="D35" s="123">
        <v>22</v>
      </c>
      <c r="E35" s="159"/>
      <c r="F35" s="123">
        <v>43</v>
      </c>
      <c r="G35" s="158"/>
      <c r="H35" s="123">
        <v>64</v>
      </c>
      <c r="I35" s="158"/>
      <c r="J35" s="123">
        <v>85</v>
      </c>
      <c r="K35" s="158"/>
      <c r="L35" s="123">
        <v>106</v>
      </c>
      <c r="M35" s="158"/>
      <c r="N35" s="196"/>
      <c r="P35" s="79">
        <v>3</v>
      </c>
      <c r="Q35" s="79">
        <v>6</v>
      </c>
      <c r="R35" s="79">
        <v>80</v>
      </c>
      <c r="T35" s="113">
        <f t="shared" si="2"/>
        <v>10</v>
      </c>
      <c r="U35" s="113" t="s">
        <v>150</v>
      </c>
      <c r="V35" s="114"/>
      <c r="W35" s="114">
        <f t="shared" si="4"/>
        <v>45762</v>
      </c>
      <c r="X35" s="114"/>
      <c r="Y35" s="115">
        <v>0</v>
      </c>
      <c r="Z35" s="116">
        <v>1</v>
      </c>
      <c r="AA35" s="117">
        <f t="shared" si="1"/>
        <v>0</v>
      </c>
      <c r="AB35" s="118">
        <f t="shared" si="5"/>
        <v>45106</v>
      </c>
      <c r="AC35" s="118">
        <f t="shared" si="6"/>
        <v>45615</v>
      </c>
      <c r="AD35" s="118">
        <f t="shared" si="0"/>
        <v>-509</v>
      </c>
      <c r="AE35" s="117">
        <f t="shared" si="3"/>
        <v>0</v>
      </c>
    </row>
    <row r="36" spans="2:31" ht="15.75" customHeight="1" thickBot="1" x14ac:dyDescent="0.25">
      <c r="B36" s="123">
        <f>+B35+1</f>
        <v>2</v>
      </c>
      <c r="C36" s="159"/>
      <c r="D36" s="123">
        <f>+D35+1</f>
        <v>23</v>
      </c>
      <c r="E36" s="159"/>
      <c r="F36" s="123">
        <f>+F35+1</f>
        <v>44</v>
      </c>
      <c r="G36" s="158"/>
      <c r="H36" s="123">
        <f>+H35+1</f>
        <v>65</v>
      </c>
      <c r="I36" s="158"/>
      <c r="J36" s="123">
        <f>+J35+1</f>
        <v>86</v>
      </c>
      <c r="K36" s="158"/>
      <c r="L36" s="123">
        <f>+L35+1</f>
        <v>107</v>
      </c>
      <c r="M36" s="158"/>
      <c r="N36" s="196"/>
      <c r="P36" s="79">
        <v>6</v>
      </c>
      <c r="Q36" s="79">
        <v>10</v>
      </c>
      <c r="R36" s="79">
        <v>100</v>
      </c>
      <c r="T36" s="113">
        <f t="shared" si="2"/>
        <v>11</v>
      </c>
      <c r="U36" s="113" t="s">
        <v>151</v>
      </c>
      <c r="V36" s="114"/>
      <c r="W36" s="114">
        <f t="shared" si="4"/>
        <v>45762</v>
      </c>
      <c r="X36" s="114"/>
      <c r="Y36" s="115">
        <v>0</v>
      </c>
      <c r="Z36" s="116">
        <v>1</v>
      </c>
      <c r="AA36" s="117">
        <f t="shared" si="1"/>
        <v>0</v>
      </c>
      <c r="AB36" s="118">
        <f t="shared" si="5"/>
        <v>45106</v>
      </c>
      <c r="AC36" s="118">
        <f t="shared" si="6"/>
        <v>45615</v>
      </c>
      <c r="AD36" s="118">
        <f t="shared" si="0"/>
        <v>-509</v>
      </c>
      <c r="AE36" s="117">
        <f t="shared" si="3"/>
        <v>0</v>
      </c>
    </row>
    <row r="37" spans="2:31" ht="15.75" customHeight="1" thickBot="1" x14ac:dyDescent="0.25">
      <c r="B37" s="123">
        <f t="shared" ref="B37:B55" si="7">+B36+1</f>
        <v>3</v>
      </c>
      <c r="C37" s="159"/>
      <c r="D37" s="123">
        <f t="shared" ref="D37:L55" si="8">+D36+1</f>
        <v>24</v>
      </c>
      <c r="E37" s="159"/>
      <c r="F37" s="123">
        <f t="shared" si="8"/>
        <v>45</v>
      </c>
      <c r="G37" s="158"/>
      <c r="H37" s="123">
        <f t="shared" si="8"/>
        <v>66</v>
      </c>
      <c r="I37" s="158"/>
      <c r="J37" s="123">
        <f t="shared" si="8"/>
        <v>87</v>
      </c>
      <c r="K37" s="158"/>
      <c r="L37" s="123">
        <f t="shared" si="8"/>
        <v>108</v>
      </c>
      <c r="M37" s="158"/>
      <c r="N37" s="196"/>
      <c r="P37" s="79">
        <v>10</v>
      </c>
      <c r="Q37" s="79"/>
      <c r="R37" s="79">
        <v>120</v>
      </c>
      <c r="T37" s="113">
        <f t="shared" si="2"/>
        <v>12</v>
      </c>
      <c r="U37" s="113" t="s">
        <v>152</v>
      </c>
      <c r="V37" s="114"/>
      <c r="W37" s="114">
        <f t="shared" si="4"/>
        <v>45762</v>
      </c>
      <c r="X37" s="114"/>
      <c r="Y37" s="115">
        <v>0</v>
      </c>
      <c r="Z37" s="116">
        <v>1</v>
      </c>
      <c r="AA37" s="117">
        <f t="shared" si="1"/>
        <v>0</v>
      </c>
      <c r="AB37" s="118">
        <f t="shared" si="5"/>
        <v>45106</v>
      </c>
      <c r="AC37" s="118">
        <f t="shared" si="6"/>
        <v>45615</v>
      </c>
      <c r="AD37" s="118">
        <f t="shared" si="0"/>
        <v>-509</v>
      </c>
      <c r="AE37" s="117">
        <f t="shared" si="3"/>
        <v>0</v>
      </c>
    </row>
    <row r="38" spans="2:31" ht="15.75" customHeight="1" thickBot="1" x14ac:dyDescent="0.25">
      <c r="B38" s="123">
        <f t="shared" si="7"/>
        <v>4</v>
      </c>
      <c r="C38" s="159"/>
      <c r="D38" s="123">
        <f t="shared" si="8"/>
        <v>25</v>
      </c>
      <c r="E38" s="159"/>
      <c r="F38" s="123">
        <f t="shared" si="8"/>
        <v>46</v>
      </c>
      <c r="G38" s="158"/>
      <c r="H38" s="123">
        <f t="shared" si="8"/>
        <v>67</v>
      </c>
      <c r="I38" s="158"/>
      <c r="J38" s="123">
        <f t="shared" si="8"/>
        <v>88</v>
      </c>
      <c r="K38" s="158"/>
      <c r="L38" s="123">
        <f t="shared" si="8"/>
        <v>109</v>
      </c>
      <c r="M38" s="158"/>
      <c r="N38" s="196"/>
      <c r="P38" s="212" t="s">
        <v>153</v>
      </c>
      <c r="Q38" s="212"/>
      <c r="R38" s="99" t="s">
        <v>147</v>
      </c>
      <c r="T38" s="113">
        <f t="shared" si="2"/>
        <v>13</v>
      </c>
      <c r="U38" s="113" t="s">
        <v>154</v>
      </c>
      <c r="V38" s="114"/>
      <c r="W38" s="114">
        <f t="shared" si="4"/>
        <v>45762</v>
      </c>
      <c r="X38" s="114"/>
      <c r="Y38" s="115">
        <v>0</v>
      </c>
      <c r="Z38" s="116">
        <v>1</v>
      </c>
      <c r="AA38" s="117">
        <f t="shared" si="1"/>
        <v>0</v>
      </c>
      <c r="AB38" s="118">
        <f t="shared" si="5"/>
        <v>45106</v>
      </c>
      <c r="AC38" s="118">
        <f t="shared" si="6"/>
        <v>45615</v>
      </c>
      <c r="AD38" s="118">
        <f t="shared" si="0"/>
        <v>-509</v>
      </c>
      <c r="AE38" s="117">
        <f t="shared" si="3"/>
        <v>0</v>
      </c>
    </row>
    <row r="39" spans="2:31" ht="15.75" customHeight="1" thickBot="1" x14ac:dyDescent="0.25">
      <c r="B39" s="123">
        <f t="shared" si="7"/>
        <v>5</v>
      </c>
      <c r="C39" s="159"/>
      <c r="D39" s="123">
        <f t="shared" si="8"/>
        <v>26</v>
      </c>
      <c r="E39" s="159"/>
      <c r="F39" s="123">
        <f t="shared" si="8"/>
        <v>47</v>
      </c>
      <c r="G39" s="158"/>
      <c r="H39" s="123">
        <f t="shared" si="8"/>
        <v>68</v>
      </c>
      <c r="I39" s="158"/>
      <c r="J39" s="123">
        <f t="shared" si="8"/>
        <v>89</v>
      </c>
      <c r="K39" s="158"/>
      <c r="L39" s="123">
        <f t="shared" si="8"/>
        <v>110</v>
      </c>
      <c r="M39" s="158"/>
      <c r="N39" s="196"/>
      <c r="P39" s="124">
        <v>0</v>
      </c>
      <c r="Q39" s="124">
        <v>0.5</v>
      </c>
      <c r="R39" s="79">
        <v>20</v>
      </c>
      <c r="T39" s="113">
        <f t="shared" si="2"/>
        <v>14</v>
      </c>
      <c r="U39" s="113" t="s">
        <v>155</v>
      </c>
      <c r="V39" s="114"/>
      <c r="W39" s="114">
        <f t="shared" si="4"/>
        <v>45762</v>
      </c>
      <c r="X39" s="114"/>
      <c r="Y39" s="115">
        <v>0</v>
      </c>
      <c r="Z39" s="116">
        <v>1</v>
      </c>
      <c r="AA39" s="117">
        <f t="shared" si="1"/>
        <v>0</v>
      </c>
      <c r="AB39" s="118">
        <f t="shared" si="5"/>
        <v>45106</v>
      </c>
      <c r="AC39" s="118">
        <f t="shared" si="6"/>
        <v>45615</v>
      </c>
      <c r="AD39" s="118">
        <f t="shared" si="0"/>
        <v>-509</v>
      </c>
      <c r="AE39" s="117">
        <f t="shared" si="3"/>
        <v>0</v>
      </c>
    </row>
    <row r="40" spans="2:31" ht="15.75" customHeight="1" thickBot="1" x14ac:dyDescent="0.25">
      <c r="B40" s="123">
        <f t="shared" si="7"/>
        <v>6</v>
      </c>
      <c r="C40" s="159"/>
      <c r="D40" s="123">
        <f t="shared" si="8"/>
        <v>27</v>
      </c>
      <c r="E40" s="159"/>
      <c r="F40" s="123">
        <f t="shared" si="8"/>
        <v>48</v>
      </c>
      <c r="G40" s="158"/>
      <c r="H40" s="123">
        <f t="shared" si="8"/>
        <v>69</v>
      </c>
      <c r="I40" s="158"/>
      <c r="J40" s="123">
        <f t="shared" si="8"/>
        <v>90</v>
      </c>
      <c r="K40" s="158"/>
      <c r="L40" s="123">
        <f t="shared" si="8"/>
        <v>111</v>
      </c>
      <c r="M40" s="158"/>
      <c r="N40" s="196"/>
      <c r="P40" s="124">
        <v>0.5</v>
      </c>
      <c r="Q40" s="124">
        <v>0.75</v>
      </c>
      <c r="R40" s="79">
        <v>25</v>
      </c>
      <c r="T40" s="113">
        <f t="shared" si="2"/>
        <v>15</v>
      </c>
      <c r="U40" s="113" t="s">
        <v>156</v>
      </c>
      <c r="V40" s="114"/>
      <c r="W40" s="114">
        <f t="shared" si="4"/>
        <v>45762</v>
      </c>
      <c r="X40" s="114"/>
      <c r="Y40" s="115">
        <v>0</v>
      </c>
      <c r="Z40" s="116">
        <v>1</v>
      </c>
      <c r="AA40" s="117">
        <f t="shared" si="1"/>
        <v>0</v>
      </c>
      <c r="AB40" s="118">
        <f t="shared" si="5"/>
        <v>45106</v>
      </c>
      <c r="AC40" s="118">
        <f t="shared" si="6"/>
        <v>45615</v>
      </c>
      <c r="AD40" s="118">
        <f t="shared" si="0"/>
        <v>-509</v>
      </c>
      <c r="AE40" s="117">
        <f t="shared" si="3"/>
        <v>0</v>
      </c>
    </row>
    <row r="41" spans="2:31" ht="15.75" customHeight="1" thickBot="1" x14ac:dyDescent="0.25">
      <c r="B41" s="123">
        <f t="shared" si="7"/>
        <v>7</v>
      </c>
      <c r="C41" s="159"/>
      <c r="D41" s="123">
        <f t="shared" si="8"/>
        <v>28</v>
      </c>
      <c r="E41" s="159"/>
      <c r="F41" s="123">
        <f t="shared" si="8"/>
        <v>49</v>
      </c>
      <c r="G41" s="158"/>
      <c r="H41" s="123">
        <f t="shared" si="8"/>
        <v>70</v>
      </c>
      <c r="I41" s="158"/>
      <c r="J41" s="123">
        <f t="shared" si="8"/>
        <v>91</v>
      </c>
      <c r="K41" s="158"/>
      <c r="L41" s="123">
        <f t="shared" si="8"/>
        <v>112</v>
      </c>
      <c r="M41" s="158"/>
      <c r="N41" s="196"/>
      <c r="P41" s="124">
        <v>0.75</v>
      </c>
      <c r="Q41" s="124">
        <v>1</v>
      </c>
      <c r="R41" s="79">
        <v>30</v>
      </c>
      <c r="T41" s="113">
        <f t="shared" si="2"/>
        <v>16</v>
      </c>
      <c r="U41" s="113" t="s">
        <v>157</v>
      </c>
      <c r="V41" s="114"/>
      <c r="W41" s="114">
        <f t="shared" si="4"/>
        <v>45762</v>
      </c>
      <c r="X41" s="114"/>
      <c r="Y41" s="115">
        <v>0</v>
      </c>
      <c r="Z41" s="116">
        <v>1</v>
      </c>
      <c r="AA41" s="117">
        <f t="shared" si="1"/>
        <v>0</v>
      </c>
      <c r="AB41" s="118">
        <f t="shared" si="5"/>
        <v>45106</v>
      </c>
      <c r="AC41" s="118">
        <f t="shared" si="6"/>
        <v>45615</v>
      </c>
      <c r="AD41" s="118">
        <f t="shared" si="0"/>
        <v>-509</v>
      </c>
      <c r="AE41" s="117">
        <f t="shared" si="3"/>
        <v>0</v>
      </c>
    </row>
    <row r="42" spans="2:31" ht="15.75" customHeight="1" thickBot="1" x14ac:dyDescent="0.25">
      <c r="B42" s="123">
        <f t="shared" si="7"/>
        <v>8</v>
      </c>
      <c r="C42" s="159"/>
      <c r="D42" s="123">
        <f t="shared" si="8"/>
        <v>29</v>
      </c>
      <c r="E42" s="159"/>
      <c r="F42" s="123">
        <f t="shared" si="8"/>
        <v>50</v>
      </c>
      <c r="G42" s="158"/>
      <c r="H42" s="123">
        <f t="shared" si="8"/>
        <v>71</v>
      </c>
      <c r="I42" s="158"/>
      <c r="J42" s="123">
        <f t="shared" si="8"/>
        <v>92</v>
      </c>
      <c r="K42" s="158"/>
      <c r="L42" s="123">
        <f t="shared" si="8"/>
        <v>113</v>
      </c>
      <c r="M42" s="158"/>
      <c r="N42" s="196"/>
      <c r="P42" s="124">
        <v>1</v>
      </c>
      <c r="Q42" s="124">
        <v>1.5</v>
      </c>
      <c r="R42" s="79">
        <v>35</v>
      </c>
      <c r="T42" s="113">
        <f t="shared" si="2"/>
        <v>17</v>
      </c>
      <c r="U42" s="113" t="s">
        <v>158</v>
      </c>
      <c r="V42" s="114"/>
      <c r="W42" s="114">
        <f t="shared" si="4"/>
        <v>45762</v>
      </c>
      <c r="X42" s="114"/>
      <c r="Y42" s="115">
        <v>0</v>
      </c>
      <c r="Z42" s="116">
        <v>1</v>
      </c>
      <c r="AA42" s="117">
        <f t="shared" si="1"/>
        <v>0</v>
      </c>
      <c r="AB42" s="118">
        <f t="shared" si="5"/>
        <v>45106</v>
      </c>
      <c r="AC42" s="118">
        <f t="shared" si="6"/>
        <v>45615</v>
      </c>
      <c r="AD42" s="118">
        <f t="shared" si="0"/>
        <v>-509</v>
      </c>
      <c r="AE42" s="117">
        <f t="shared" si="3"/>
        <v>0</v>
      </c>
    </row>
    <row r="43" spans="2:31" ht="15.75" customHeight="1" thickBot="1" x14ac:dyDescent="0.25">
      <c r="B43" s="123">
        <f t="shared" si="7"/>
        <v>9</v>
      </c>
      <c r="C43" s="159"/>
      <c r="D43" s="123">
        <f t="shared" si="8"/>
        <v>30</v>
      </c>
      <c r="E43" s="159"/>
      <c r="F43" s="123">
        <f t="shared" si="8"/>
        <v>51</v>
      </c>
      <c r="G43" s="158"/>
      <c r="H43" s="123">
        <f t="shared" si="8"/>
        <v>72</v>
      </c>
      <c r="I43" s="158"/>
      <c r="J43" s="123">
        <f t="shared" si="8"/>
        <v>93</v>
      </c>
      <c r="K43" s="158"/>
      <c r="L43" s="123">
        <f t="shared" si="8"/>
        <v>114</v>
      </c>
      <c r="M43" s="158"/>
      <c r="N43" s="196"/>
      <c r="P43" s="124">
        <v>1.5</v>
      </c>
      <c r="Q43" s="124"/>
      <c r="R43" s="79">
        <v>40</v>
      </c>
      <c r="T43" s="113">
        <f t="shared" si="2"/>
        <v>18</v>
      </c>
      <c r="U43" s="113" t="s">
        <v>159</v>
      </c>
      <c r="V43" s="114"/>
      <c r="W43" s="114">
        <f t="shared" si="4"/>
        <v>45762</v>
      </c>
      <c r="X43" s="114"/>
      <c r="Y43" s="115">
        <v>0</v>
      </c>
      <c r="Z43" s="116">
        <v>1</v>
      </c>
      <c r="AA43" s="117">
        <f t="shared" si="1"/>
        <v>0</v>
      </c>
      <c r="AB43" s="118">
        <f t="shared" si="5"/>
        <v>45106</v>
      </c>
      <c r="AC43" s="118">
        <f t="shared" si="6"/>
        <v>45615</v>
      </c>
      <c r="AD43" s="118">
        <f t="shared" si="0"/>
        <v>-509</v>
      </c>
      <c r="AE43" s="117">
        <f t="shared" si="3"/>
        <v>0</v>
      </c>
    </row>
    <row r="44" spans="2:31" ht="15.75" customHeight="1" thickBot="1" x14ac:dyDescent="0.25">
      <c r="B44" s="123">
        <f t="shared" si="7"/>
        <v>10</v>
      </c>
      <c r="C44" s="159"/>
      <c r="D44" s="123">
        <f t="shared" si="8"/>
        <v>31</v>
      </c>
      <c r="E44" s="159"/>
      <c r="F44" s="123">
        <f t="shared" si="8"/>
        <v>52</v>
      </c>
      <c r="G44" s="158"/>
      <c r="H44" s="123">
        <f t="shared" si="8"/>
        <v>73</v>
      </c>
      <c r="I44" s="158"/>
      <c r="J44" s="123">
        <f t="shared" si="8"/>
        <v>94</v>
      </c>
      <c r="K44" s="158"/>
      <c r="L44" s="123">
        <f t="shared" si="8"/>
        <v>115</v>
      </c>
      <c r="M44" s="158"/>
      <c r="N44" s="196"/>
      <c r="P44" s="212" t="s">
        <v>160</v>
      </c>
      <c r="Q44" s="212"/>
      <c r="R44" s="99" t="s">
        <v>147</v>
      </c>
      <c r="T44" s="113">
        <f t="shared" si="2"/>
        <v>19</v>
      </c>
      <c r="U44" s="113" t="s">
        <v>161</v>
      </c>
      <c r="V44" s="114"/>
      <c r="W44" s="114">
        <f t="shared" si="4"/>
        <v>45762</v>
      </c>
      <c r="X44" s="114"/>
      <c r="Y44" s="115">
        <v>0</v>
      </c>
      <c r="Z44" s="116">
        <v>1</v>
      </c>
      <c r="AA44" s="117">
        <f t="shared" si="1"/>
        <v>0</v>
      </c>
      <c r="AB44" s="118">
        <f t="shared" si="5"/>
        <v>45106</v>
      </c>
      <c r="AC44" s="118">
        <f t="shared" si="6"/>
        <v>45615</v>
      </c>
      <c r="AD44" s="118">
        <f t="shared" si="0"/>
        <v>-509</v>
      </c>
      <c r="AE44" s="117">
        <f t="shared" si="3"/>
        <v>0</v>
      </c>
    </row>
    <row r="45" spans="2:31" ht="15.75" customHeight="1" thickBot="1" x14ac:dyDescent="0.25">
      <c r="B45" s="123">
        <f t="shared" si="7"/>
        <v>11</v>
      </c>
      <c r="C45" s="158"/>
      <c r="D45" s="123">
        <f t="shared" si="8"/>
        <v>32</v>
      </c>
      <c r="E45" s="158"/>
      <c r="F45" s="123">
        <f t="shared" si="8"/>
        <v>53</v>
      </c>
      <c r="G45" s="158"/>
      <c r="H45" s="123">
        <f t="shared" si="8"/>
        <v>74</v>
      </c>
      <c r="I45" s="158"/>
      <c r="J45" s="123">
        <f t="shared" si="8"/>
        <v>95</v>
      </c>
      <c r="K45" s="158"/>
      <c r="L45" s="123">
        <f t="shared" si="8"/>
        <v>116</v>
      </c>
      <c r="M45" s="158"/>
      <c r="N45" s="196"/>
      <c r="P45" s="79"/>
      <c r="Q45" s="79"/>
      <c r="R45" s="79">
        <v>0</v>
      </c>
      <c r="T45" s="113">
        <f t="shared" si="2"/>
        <v>20</v>
      </c>
      <c r="U45" s="113" t="s">
        <v>162</v>
      </c>
      <c r="V45" s="114"/>
      <c r="W45" s="114">
        <f t="shared" si="4"/>
        <v>45762</v>
      </c>
      <c r="X45" s="114"/>
      <c r="Y45" s="115">
        <v>0</v>
      </c>
      <c r="Z45" s="116">
        <v>1</v>
      </c>
      <c r="AA45" s="117">
        <f t="shared" si="1"/>
        <v>0</v>
      </c>
      <c r="AB45" s="118">
        <f t="shared" si="5"/>
        <v>45106</v>
      </c>
      <c r="AC45" s="118">
        <f t="shared" si="6"/>
        <v>45615</v>
      </c>
      <c r="AD45" s="118">
        <f t="shared" si="0"/>
        <v>-509</v>
      </c>
      <c r="AE45" s="117">
        <f t="shared" si="3"/>
        <v>0</v>
      </c>
    </row>
    <row r="46" spans="2:31" ht="15.75" customHeight="1" thickBot="1" x14ac:dyDescent="0.25">
      <c r="B46" s="123">
        <f t="shared" si="7"/>
        <v>12</v>
      </c>
      <c r="C46" s="158"/>
      <c r="D46" s="123">
        <f t="shared" si="8"/>
        <v>33</v>
      </c>
      <c r="E46" s="158"/>
      <c r="F46" s="123">
        <f t="shared" si="8"/>
        <v>54</v>
      </c>
      <c r="G46" s="158"/>
      <c r="H46" s="123">
        <f t="shared" si="8"/>
        <v>75</v>
      </c>
      <c r="I46" s="158"/>
      <c r="J46" s="123">
        <f t="shared" si="8"/>
        <v>96</v>
      </c>
      <c r="K46" s="158"/>
      <c r="L46" s="123">
        <f t="shared" si="8"/>
        <v>117</v>
      </c>
      <c r="M46" s="158"/>
      <c r="N46" s="196"/>
      <c r="P46" s="79">
        <v>0</v>
      </c>
      <c r="Q46" s="79">
        <v>5</v>
      </c>
      <c r="R46" s="79">
        <v>20</v>
      </c>
      <c r="T46" s="113">
        <f t="shared" si="2"/>
        <v>21</v>
      </c>
      <c r="U46" s="113" t="s">
        <v>163</v>
      </c>
      <c r="V46" s="114"/>
      <c r="W46" s="114">
        <f t="shared" si="4"/>
        <v>45762</v>
      </c>
      <c r="X46" s="114"/>
      <c r="Y46" s="115">
        <v>0</v>
      </c>
      <c r="Z46" s="116">
        <v>1</v>
      </c>
      <c r="AA46" s="117">
        <f t="shared" si="1"/>
        <v>0</v>
      </c>
      <c r="AB46" s="118">
        <f t="shared" si="5"/>
        <v>45106</v>
      </c>
      <c r="AC46" s="118">
        <f t="shared" si="6"/>
        <v>45615</v>
      </c>
      <c r="AD46" s="118">
        <f t="shared" si="0"/>
        <v>-509</v>
      </c>
      <c r="AE46" s="117">
        <f t="shared" si="3"/>
        <v>0</v>
      </c>
    </row>
    <row r="47" spans="2:31" ht="15.75" customHeight="1" thickBot="1" x14ac:dyDescent="0.25">
      <c r="B47" s="123">
        <f t="shared" si="7"/>
        <v>13</v>
      </c>
      <c r="C47" s="158"/>
      <c r="D47" s="123">
        <f t="shared" si="8"/>
        <v>34</v>
      </c>
      <c r="E47" s="158"/>
      <c r="F47" s="123">
        <f t="shared" si="8"/>
        <v>55</v>
      </c>
      <c r="G47" s="158"/>
      <c r="H47" s="123">
        <f t="shared" si="8"/>
        <v>76</v>
      </c>
      <c r="I47" s="158"/>
      <c r="J47" s="123">
        <f t="shared" si="8"/>
        <v>97</v>
      </c>
      <c r="K47" s="158"/>
      <c r="L47" s="123">
        <f t="shared" si="8"/>
        <v>118</v>
      </c>
      <c r="M47" s="158"/>
      <c r="N47" s="196"/>
      <c r="P47" s="79">
        <v>5</v>
      </c>
      <c r="Q47" s="79">
        <v>10</v>
      </c>
      <c r="R47" s="79">
        <v>30</v>
      </c>
      <c r="T47" s="113">
        <f t="shared" si="2"/>
        <v>22</v>
      </c>
      <c r="U47" s="113" t="s">
        <v>164</v>
      </c>
      <c r="V47" s="114"/>
      <c r="W47" s="114">
        <f t="shared" si="4"/>
        <v>45762</v>
      </c>
      <c r="X47" s="114"/>
      <c r="Y47" s="115">
        <v>0</v>
      </c>
      <c r="Z47" s="116">
        <v>1</v>
      </c>
      <c r="AA47" s="117">
        <f t="shared" si="1"/>
        <v>0</v>
      </c>
      <c r="AB47" s="118">
        <f t="shared" si="5"/>
        <v>45106</v>
      </c>
      <c r="AC47" s="118">
        <f t="shared" si="6"/>
        <v>45615</v>
      </c>
      <c r="AD47" s="118">
        <f t="shared" si="0"/>
        <v>-509</v>
      </c>
      <c r="AE47" s="117">
        <f t="shared" si="3"/>
        <v>0</v>
      </c>
    </row>
    <row r="48" spans="2:31" ht="15.75" customHeight="1" thickBot="1" x14ac:dyDescent="0.25">
      <c r="B48" s="123">
        <f t="shared" si="7"/>
        <v>14</v>
      </c>
      <c r="C48" s="158"/>
      <c r="D48" s="123">
        <f t="shared" si="8"/>
        <v>35</v>
      </c>
      <c r="E48" s="158"/>
      <c r="F48" s="123">
        <f t="shared" si="8"/>
        <v>56</v>
      </c>
      <c r="G48" s="158"/>
      <c r="H48" s="123">
        <f t="shared" si="8"/>
        <v>77</v>
      </c>
      <c r="I48" s="158"/>
      <c r="J48" s="123">
        <f t="shared" si="8"/>
        <v>98</v>
      </c>
      <c r="K48" s="158"/>
      <c r="L48" s="123">
        <f t="shared" si="8"/>
        <v>119</v>
      </c>
      <c r="M48" s="158"/>
      <c r="N48" s="196"/>
      <c r="P48" s="79">
        <v>10</v>
      </c>
      <c r="Q48" s="79"/>
      <c r="R48" s="79">
        <v>40</v>
      </c>
      <c r="T48" s="113">
        <f t="shared" si="2"/>
        <v>23</v>
      </c>
      <c r="U48" s="113" t="s">
        <v>165</v>
      </c>
      <c r="V48" s="114"/>
      <c r="W48" s="114">
        <f t="shared" si="4"/>
        <v>45762</v>
      </c>
      <c r="X48" s="114"/>
      <c r="Y48" s="115">
        <v>0</v>
      </c>
      <c r="Z48" s="116">
        <v>1</v>
      </c>
      <c r="AA48" s="117">
        <f t="shared" si="1"/>
        <v>0</v>
      </c>
      <c r="AB48" s="118">
        <f t="shared" si="5"/>
        <v>45106</v>
      </c>
      <c r="AC48" s="118">
        <f t="shared" si="6"/>
        <v>45615</v>
      </c>
      <c r="AD48" s="118">
        <f t="shared" si="0"/>
        <v>-509</v>
      </c>
      <c r="AE48" s="117">
        <f t="shared" si="3"/>
        <v>0</v>
      </c>
    </row>
    <row r="49" spans="2:31" ht="15.75" customHeight="1" thickBot="1" x14ac:dyDescent="0.25">
      <c r="B49" s="123">
        <f t="shared" si="7"/>
        <v>15</v>
      </c>
      <c r="C49" s="158"/>
      <c r="D49" s="123">
        <f t="shared" si="8"/>
        <v>36</v>
      </c>
      <c r="E49" s="158"/>
      <c r="F49" s="123">
        <f t="shared" si="8"/>
        <v>57</v>
      </c>
      <c r="G49" s="158"/>
      <c r="H49" s="123">
        <f t="shared" si="8"/>
        <v>78</v>
      </c>
      <c r="I49" s="158"/>
      <c r="J49" s="123">
        <f t="shared" si="8"/>
        <v>99</v>
      </c>
      <c r="K49" s="158"/>
      <c r="L49" s="123">
        <f t="shared" si="8"/>
        <v>120</v>
      </c>
      <c r="M49" s="158"/>
      <c r="N49" s="196"/>
      <c r="O49" s="125"/>
      <c r="T49" s="113">
        <f t="shared" si="2"/>
        <v>24</v>
      </c>
      <c r="U49" s="113" t="s">
        <v>166</v>
      </c>
      <c r="V49" s="114"/>
      <c r="W49" s="114">
        <f t="shared" si="4"/>
        <v>45762</v>
      </c>
      <c r="X49" s="114"/>
      <c r="Y49" s="115">
        <v>0</v>
      </c>
      <c r="Z49" s="116">
        <v>1</v>
      </c>
      <c r="AA49" s="117">
        <f t="shared" si="1"/>
        <v>0</v>
      </c>
      <c r="AB49" s="118">
        <f t="shared" si="5"/>
        <v>45106</v>
      </c>
      <c r="AC49" s="118">
        <f t="shared" si="6"/>
        <v>45615</v>
      </c>
      <c r="AD49" s="118">
        <f t="shared" si="0"/>
        <v>-509</v>
      </c>
      <c r="AE49" s="117">
        <f t="shared" si="3"/>
        <v>0</v>
      </c>
    </row>
    <row r="50" spans="2:31" ht="15.75" customHeight="1" thickBot="1" x14ac:dyDescent="0.25">
      <c r="B50" s="123">
        <f t="shared" si="7"/>
        <v>16</v>
      </c>
      <c r="C50" s="158"/>
      <c r="D50" s="123">
        <f t="shared" si="8"/>
        <v>37</v>
      </c>
      <c r="E50" s="158"/>
      <c r="F50" s="123">
        <f t="shared" si="8"/>
        <v>58</v>
      </c>
      <c r="G50" s="158"/>
      <c r="H50" s="123">
        <f t="shared" si="8"/>
        <v>79</v>
      </c>
      <c r="I50" s="158"/>
      <c r="J50" s="123">
        <f t="shared" si="8"/>
        <v>100</v>
      </c>
      <c r="K50" s="158"/>
      <c r="L50" s="123">
        <f t="shared" si="8"/>
        <v>121</v>
      </c>
      <c r="M50" s="158"/>
      <c r="N50" s="196"/>
      <c r="O50" s="125"/>
      <c r="T50" s="113">
        <f t="shared" si="2"/>
        <v>25</v>
      </c>
      <c r="U50" s="113" t="s">
        <v>168</v>
      </c>
      <c r="V50" s="114"/>
      <c r="W50" s="114">
        <f t="shared" si="4"/>
        <v>45762</v>
      </c>
      <c r="X50" s="114"/>
      <c r="Y50" s="115">
        <v>0</v>
      </c>
      <c r="Z50" s="116">
        <v>1</v>
      </c>
      <c r="AA50" s="117">
        <f t="shared" si="1"/>
        <v>0</v>
      </c>
      <c r="AB50" s="118">
        <f t="shared" si="5"/>
        <v>45106</v>
      </c>
      <c r="AC50" s="118">
        <f t="shared" si="6"/>
        <v>45615</v>
      </c>
      <c r="AD50" s="118">
        <f t="shared" si="0"/>
        <v>-509</v>
      </c>
      <c r="AE50" s="117">
        <f t="shared" si="3"/>
        <v>0</v>
      </c>
    </row>
    <row r="51" spans="2:31" ht="15.75" customHeight="1" thickBot="1" x14ac:dyDescent="0.25">
      <c r="B51" s="123">
        <f t="shared" si="7"/>
        <v>17</v>
      </c>
      <c r="C51" s="158"/>
      <c r="D51" s="123">
        <f t="shared" si="8"/>
        <v>38</v>
      </c>
      <c r="E51" s="158"/>
      <c r="F51" s="123">
        <f t="shared" si="8"/>
        <v>59</v>
      </c>
      <c r="G51" s="158"/>
      <c r="H51" s="123">
        <f t="shared" si="8"/>
        <v>80</v>
      </c>
      <c r="I51" s="158"/>
      <c r="J51" s="123">
        <f t="shared" si="8"/>
        <v>101</v>
      </c>
      <c r="K51" s="158"/>
      <c r="L51" s="123">
        <f t="shared" si="8"/>
        <v>122</v>
      </c>
      <c r="M51" s="158"/>
      <c r="N51" s="196"/>
      <c r="O51" s="125"/>
      <c r="T51" s="113">
        <f t="shared" si="2"/>
        <v>26</v>
      </c>
      <c r="U51" s="113" t="s">
        <v>170</v>
      </c>
      <c r="V51" s="114"/>
      <c r="W51" s="114">
        <f t="shared" si="4"/>
        <v>45762</v>
      </c>
      <c r="X51" s="114"/>
      <c r="Y51" s="115">
        <v>0</v>
      </c>
      <c r="Z51" s="116">
        <v>1</v>
      </c>
      <c r="AA51" s="117">
        <f t="shared" si="1"/>
        <v>0</v>
      </c>
      <c r="AB51" s="118">
        <f t="shared" si="5"/>
        <v>45106</v>
      </c>
      <c r="AC51" s="118">
        <f t="shared" si="6"/>
        <v>45615</v>
      </c>
      <c r="AD51" s="118">
        <f t="shared" si="0"/>
        <v>-509</v>
      </c>
      <c r="AE51" s="117">
        <f t="shared" si="3"/>
        <v>0</v>
      </c>
    </row>
    <row r="52" spans="2:31" ht="15.75" customHeight="1" thickBot="1" x14ac:dyDescent="0.25">
      <c r="B52" s="123">
        <f t="shared" si="7"/>
        <v>18</v>
      </c>
      <c r="C52" s="158"/>
      <c r="D52" s="123">
        <f t="shared" si="8"/>
        <v>39</v>
      </c>
      <c r="E52" s="158"/>
      <c r="F52" s="123">
        <f t="shared" si="8"/>
        <v>60</v>
      </c>
      <c r="G52" s="158"/>
      <c r="H52" s="123">
        <f t="shared" si="8"/>
        <v>81</v>
      </c>
      <c r="I52" s="158"/>
      <c r="J52" s="123">
        <f t="shared" si="8"/>
        <v>102</v>
      </c>
      <c r="K52" s="158"/>
      <c r="L52" s="123">
        <f t="shared" si="8"/>
        <v>123</v>
      </c>
      <c r="M52" s="158"/>
      <c r="N52" s="196"/>
      <c r="O52" s="125"/>
      <c r="T52" s="113">
        <f t="shared" si="2"/>
        <v>27</v>
      </c>
      <c r="U52" s="113" t="s">
        <v>172</v>
      </c>
      <c r="V52" s="114"/>
      <c r="W52" s="114">
        <f t="shared" si="4"/>
        <v>45762</v>
      </c>
      <c r="X52" s="114"/>
      <c r="Y52" s="115">
        <v>0</v>
      </c>
      <c r="Z52" s="116">
        <v>1</v>
      </c>
      <c r="AA52" s="117">
        <f t="shared" si="1"/>
        <v>0</v>
      </c>
      <c r="AB52" s="118">
        <f t="shared" si="5"/>
        <v>45106</v>
      </c>
      <c r="AC52" s="118">
        <f t="shared" si="6"/>
        <v>45615</v>
      </c>
      <c r="AD52" s="118">
        <f t="shared" si="0"/>
        <v>-509</v>
      </c>
      <c r="AE52" s="117">
        <f t="shared" si="3"/>
        <v>0</v>
      </c>
    </row>
    <row r="53" spans="2:31" ht="15.75" customHeight="1" thickBot="1" x14ac:dyDescent="0.25">
      <c r="B53" s="123">
        <f t="shared" si="7"/>
        <v>19</v>
      </c>
      <c r="C53" s="158"/>
      <c r="D53" s="123">
        <f t="shared" si="8"/>
        <v>40</v>
      </c>
      <c r="E53" s="158"/>
      <c r="F53" s="123">
        <f t="shared" si="8"/>
        <v>61</v>
      </c>
      <c r="G53" s="158"/>
      <c r="H53" s="123">
        <f t="shared" si="8"/>
        <v>82</v>
      </c>
      <c r="I53" s="158"/>
      <c r="J53" s="123">
        <f t="shared" si="8"/>
        <v>103</v>
      </c>
      <c r="K53" s="158"/>
      <c r="L53" s="123">
        <f t="shared" si="8"/>
        <v>124</v>
      </c>
      <c r="M53" s="158"/>
      <c r="N53" s="196"/>
      <c r="O53" s="125"/>
      <c r="T53" s="113">
        <f t="shared" si="2"/>
        <v>28</v>
      </c>
      <c r="U53" s="113" t="s">
        <v>174</v>
      </c>
      <c r="V53" s="114"/>
      <c r="W53" s="114">
        <f t="shared" si="4"/>
        <v>45762</v>
      </c>
      <c r="X53" s="114"/>
      <c r="Y53" s="115">
        <v>0</v>
      </c>
      <c r="Z53" s="116">
        <v>1</v>
      </c>
      <c r="AA53" s="117">
        <f t="shared" si="1"/>
        <v>0</v>
      </c>
      <c r="AB53" s="118">
        <f t="shared" si="5"/>
        <v>45106</v>
      </c>
      <c r="AC53" s="118">
        <f t="shared" si="6"/>
        <v>45615</v>
      </c>
      <c r="AD53" s="118">
        <f t="shared" si="0"/>
        <v>-509</v>
      </c>
      <c r="AE53" s="117">
        <f t="shared" si="3"/>
        <v>0</v>
      </c>
    </row>
    <row r="54" spans="2:31" ht="15.75" customHeight="1" thickBot="1" x14ac:dyDescent="0.25">
      <c r="B54" s="123">
        <f t="shared" si="7"/>
        <v>20</v>
      </c>
      <c r="C54" s="158"/>
      <c r="D54" s="123">
        <f t="shared" si="8"/>
        <v>41</v>
      </c>
      <c r="E54" s="158"/>
      <c r="F54" s="123">
        <f t="shared" si="8"/>
        <v>62</v>
      </c>
      <c r="G54" s="158"/>
      <c r="H54" s="123">
        <f t="shared" si="8"/>
        <v>83</v>
      </c>
      <c r="I54" s="158"/>
      <c r="J54" s="123">
        <f t="shared" si="8"/>
        <v>104</v>
      </c>
      <c r="K54" s="158"/>
      <c r="L54" s="123">
        <f t="shared" si="8"/>
        <v>125</v>
      </c>
      <c r="M54" s="158"/>
      <c r="N54" s="196"/>
      <c r="O54" s="125"/>
      <c r="T54" s="113">
        <f t="shared" si="2"/>
        <v>29</v>
      </c>
      <c r="U54" s="113" t="s">
        <v>176</v>
      </c>
      <c r="V54" s="114"/>
      <c r="W54" s="114">
        <f t="shared" si="4"/>
        <v>45762</v>
      </c>
      <c r="X54" s="114"/>
      <c r="Y54" s="115">
        <v>0</v>
      </c>
      <c r="Z54" s="116">
        <v>1</v>
      </c>
      <c r="AA54" s="117">
        <f t="shared" si="1"/>
        <v>0</v>
      </c>
      <c r="AB54" s="118">
        <f t="shared" si="5"/>
        <v>45106</v>
      </c>
      <c r="AC54" s="118">
        <f t="shared" si="6"/>
        <v>45615</v>
      </c>
      <c r="AD54" s="118">
        <f t="shared" si="0"/>
        <v>-509</v>
      </c>
      <c r="AE54" s="117">
        <f t="shared" si="3"/>
        <v>0</v>
      </c>
    </row>
    <row r="55" spans="2:31" ht="15.75" customHeight="1" thickBot="1" x14ac:dyDescent="0.25">
      <c r="B55" s="123">
        <f t="shared" si="7"/>
        <v>21</v>
      </c>
      <c r="C55" s="158"/>
      <c r="D55" s="123">
        <f t="shared" si="8"/>
        <v>42</v>
      </c>
      <c r="E55" s="158"/>
      <c r="F55" s="123">
        <f t="shared" si="8"/>
        <v>63</v>
      </c>
      <c r="G55" s="158"/>
      <c r="H55" s="123">
        <f t="shared" si="8"/>
        <v>84</v>
      </c>
      <c r="I55" s="158"/>
      <c r="J55" s="123">
        <f t="shared" si="8"/>
        <v>105</v>
      </c>
      <c r="K55" s="158"/>
      <c r="L55" s="123">
        <f t="shared" si="8"/>
        <v>126</v>
      </c>
      <c r="M55" s="158"/>
      <c r="N55" s="197"/>
      <c r="T55" s="113">
        <f t="shared" si="2"/>
        <v>30</v>
      </c>
      <c r="U55" s="113" t="s">
        <v>178</v>
      </c>
      <c r="V55" s="114"/>
      <c r="W55" s="114">
        <f t="shared" si="4"/>
        <v>45762</v>
      </c>
      <c r="X55" s="114"/>
      <c r="Y55" s="115">
        <v>0</v>
      </c>
      <c r="Z55" s="116">
        <v>1</v>
      </c>
      <c r="AA55" s="117">
        <f t="shared" si="1"/>
        <v>0</v>
      </c>
      <c r="AB55" s="118">
        <f t="shared" si="5"/>
        <v>45106</v>
      </c>
      <c r="AC55" s="118">
        <f t="shared" si="6"/>
        <v>45615</v>
      </c>
      <c r="AD55" s="118">
        <f t="shared" si="0"/>
        <v>-509</v>
      </c>
      <c r="AE55" s="117">
        <f t="shared" si="3"/>
        <v>0</v>
      </c>
    </row>
    <row r="56" spans="2:31" ht="15.75" customHeight="1" thickBot="1" x14ac:dyDescent="0.25">
      <c r="B56" s="161" t="s">
        <v>167</v>
      </c>
      <c r="C56" s="161"/>
      <c r="D56" s="161"/>
      <c r="E56" s="161"/>
      <c r="F56" s="161"/>
      <c r="G56" s="161"/>
      <c r="H56" s="161"/>
      <c r="I56" s="161"/>
      <c r="J56" s="198">
        <f>SUM(C35:C55,G35:G55,K35:K55,E35:E55,I35:I55,K35:K55,M35:M55)</f>
        <v>0</v>
      </c>
      <c r="K56" s="198"/>
      <c r="L56" s="198"/>
      <c r="M56" s="198"/>
      <c r="N56" s="198"/>
      <c r="T56" s="113">
        <f t="shared" si="2"/>
        <v>31</v>
      </c>
      <c r="U56" s="113" t="s">
        <v>180</v>
      </c>
      <c r="V56" s="114"/>
      <c r="W56" s="114">
        <f t="shared" si="4"/>
        <v>45762</v>
      </c>
      <c r="X56" s="114"/>
      <c r="Y56" s="115">
        <v>0</v>
      </c>
      <c r="Z56" s="116">
        <v>1</v>
      </c>
      <c r="AA56" s="117">
        <f t="shared" si="1"/>
        <v>0</v>
      </c>
      <c r="AB56" s="118">
        <f t="shared" si="5"/>
        <v>45106</v>
      </c>
      <c r="AC56" s="118">
        <f t="shared" si="6"/>
        <v>45615</v>
      </c>
      <c r="AD56" s="118">
        <f t="shared" si="0"/>
        <v>-509</v>
      </c>
      <c r="AE56" s="117">
        <f t="shared" si="3"/>
        <v>0</v>
      </c>
    </row>
    <row r="57" spans="2:31" ht="15.75" customHeight="1" thickBot="1" x14ac:dyDescent="0.25">
      <c r="B57" s="161" t="s">
        <v>171</v>
      </c>
      <c r="C57" s="161"/>
      <c r="D57" s="161"/>
      <c r="E57" s="161"/>
      <c r="F57" s="161"/>
      <c r="G57" s="161"/>
      <c r="H57" s="161"/>
      <c r="I57" s="161"/>
      <c r="J57" s="212">
        <f>IFERROR($J$56/(($B$19)*I23),0)</f>
        <v>0</v>
      </c>
      <c r="K57" s="212"/>
      <c r="L57" s="212"/>
      <c r="M57" s="212"/>
      <c r="N57" s="212"/>
      <c r="T57" s="113">
        <f t="shared" si="2"/>
        <v>32</v>
      </c>
      <c r="U57" s="113" t="s">
        <v>182</v>
      </c>
      <c r="V57" s="114"/>
      <c r="W57" s="114">
        <f t="shared" si="4"/>
        <v>45762</v>
      </c>
      <c r="X57" s="114"/>
      <c r="Y57" s="115">
        <v>0</v>
      </c>
      <c r="Z57" s="116">
        <v>1</v>
      </c>
      <c r="AA57" s="117">
        <f t="shared" si="1"/>
        <v>0</v>
      </c>
      <c r="AB57" s="118">
        <f t="shared" si="5"/>
        <v>45106</v>
      </c>
      <c r="AC57" s="118">
        <f t="shared" si="6"/>
        <v>45615</v>
      </c>
      <c r="AD57" s="118">
        <f t="shared" si="0"/>
        <v>-509</v>
      </c>
      <c r="AE57" s="117">
        <f t="shared" si="3"/>
        <v>0</v>
      </c>
    </row>
    <row r="58" spans="2:31" ht="15.75" customHeight="1" x14ac:dyDescent="0.2">
      <c r="B58" s="161" t="s">
        <v>173</v>
      </c>
      <c r="C58" s="161"/>
      <c r="D58" s="161"/>
      <c r="E58" s="161"/>
      <c r="F58" s="161"/>
      <c r="G58" s="161"/>
      <c r="H58" s="161"/>
      <c r="I58" s="161"/>
      <c r="J58" s="161"/>
      <c r="K58" s="161"/>
      <c r="L58" s="211">
        <f>IF(J57&gt;P37,R37,IF(J57&gt;P36,R36,IF(J57&gt;P35,R35,R34)))</f>
        <v>60</v>
      </c>
      <c r="M58" s="211"/>
      <c r="N58" s="211"/>
      <c r="O58" s="125"/>
      <c r="T58" s="113">
        <f t="shared" si="2"/>
        <v>33</v>
      </c>
      <c r="U58" s="113" t="s">
        <v>184</v>
      </c>
      <c r="V58" s="114"/>
      <c r="W58" s="114">
        <f t="shared" si="4"/>
        <v>45762</v>
      </c>
      <c r="X58" s="114"/>
      <c r="Y58" s="115">
        <v>0</v>
      </c>
      <c r="Z58" s="116">
        <v>1</v>
      </c>
      <c r="AA58" s="117">
        <f t="shared" si="1"/>
        <v>0</v>
      </c>
      <c r="AB58" s="118">
        <f t="shared" si="5"/>
        <v>45106</v>
      </c>
      <c r="AC58" s="118">
        <f t="shared" si="6"/>
        <v>45615</v>
      </c>
      <c r="AD58" s="118">
        <f t="shared" si="0"/>
        <v>-509</v>
      </c>
      <c r="AE58" s="117">
        <f t="shared" si="3"/>
        <v>0</v>
      </c>
    </row>
    <row r="59" spans="2:31" ht="15.75" customHeight="1" x14ac:dyDescent="0.25">
      <c r="B59" s="212" t="s">
        <v>175</v>
      </c>
      <c r="C59" s="212"/>
      <c r="D59" s="212"/>
      <c r="E59" s="212"/>
      <c r="F59" s="212"/>
      <c r="G59" s="212"/>
      <c r="H59" s="212"/>
      <c r="I59" s="212"/>
      <c r="J59" s="212"/>
      <c r="K59" s="212"/>
      <c r="L59" s="212"/>
      <c r="M59" s="212"/>
      <c r="N59" s="212"/>
      <c r="O59" s="125"/>
      <c r="T59" s="113">
        <f t="shared" si="2"/>
        <v>34</v>
      </c>
      <c r="U59" s="113" t="s">
        <v>186</v>
      </c>
      <c r="V59" s="114"/>
      <c r="W59" s="114">
        <f t="shared" si="4"/>
        <v>45762</v>
      </c>
      <c r="X59" s="114"/>
      <c r="Y59" s="115">
        <v>0</v>
      </c>
      <c r="Z59" s="116">
        <v>1</v>
      </c>
      <c r="AA59" s="117">
        <f t="shared" si="1"/>
        <v>0</v>
      </c>
      <c r="AB59" s="118">
        <f t="shared" si="5"/>
        <v>45106</v>
      </c>
      <c r="AC59" s="118">
        <f t="shared" si="6"/>
        <v>45615</v>
      </c>
      <c r="AD59" s="118">
        <f t="shared" si="0"/>
        <v>-509</v>
      </c>
      <c r="AE59" s="117">
        <f t="shared" si="3"/>
        <v>0</v>
      </c>
    </row>
    <row r="60" spans="2:31" ht="15.75" customHeight="1" x14ac:dyDescent="0.2">
      <c r="B60" s="186"/>
      <c r="C60" s="187"/>
      <c r="D60" s="187"/>
      <c r="E60" s="187"/>
      <c r="F60" s="187"/>
      <c r="G60" s="188"/>
      <c r="H60" s="223" t="s">
        <v>177</v>
      </c>
      <c r="I60" s="223"/>
      <c r="J60" s="223"/>
      <c r="K60" s="223"/>
      <c r="L60" s="224">
        <f>$I$7</f>
        <v>0</v>
      </c>
      <c r="M60" s="224"/>
      <c r="N60" s="224"/>
      <c r="O60" s="125"/>
      <c r="T60" s="113">
        <f t="shared" si="2"/>
        <v>35</v>
      </c>
      <c r="U60" s="113" t="s">
        <v>187</v>
      </c>
      <c r="V60" s="114"/>
      <c r="W60" s="114">
        <f t="shared" si="4"/>
        <v>45762</v>
      </c>
      <c r="X60" s="114"/>
      <c r="Y60" s="115">
        <v>0</v>
      </c>
      <c r="Z60" s="116">
        <v>1</v>
      </c>
      <c r="AA60" s="117">
        <f t="shared" si="1"/>
        <v>0</v>
      </c>
      <c r="AB60" s="118">
        <f t="shared" si="5"/>
        <v>45106</v>
      </c>
      <c r="AC60" s="118">
        <f t="shared" si="6"/>
        <v>45615</v>
      </c>
      <c r="AD60" s="118">
        <f t="shared" si="0"/>
        <v>-509</v>
      </c>
      <c r="AE60" s="117">
        <f t="shared" si="3"/>
        <v>0</v>
      </c>
    </row>
    <row r="61" spans="2:31" ht="15.75" customHeight="1" x14ac:dyDescent="0.2">
      <c r="B61" s="189"/>
      <c r="C61" s="190"/>
      <c r="D61" s="190"/>
      <c r="E61" s="190"/>
      <c r="F61" s="190"/>
      <c r="G61" s="191"/>
      <c r="H61" s="223" t="s">
        <v>179</v>
      </c>
      <c r="I61" s="223"/>
      <c r="J61" s="223"/>
      <c r="K61" s="223"/>
      <c r="L61" s="224">
        <f>$J$7</f>
        <v>0</v>
      </c>
      <c r="M61" s="224"/>
      <c r="N61" s="224"/>
      <c r="O61" s="125"/>
      <c r="T61" s="113">
        <f t="shared" si="2"/>
        <v>36</v>
      </c>
      <c r="U61" s="113" t="s">
        <v>189</v>
      </c>
      <c r="V61" s="114"/>
      <c r="W61" s="114">
        <f t="shared" si="4"/>
        <v>45762</v>
      </c>
      <c r="X61" s="114"/>
      <c r="Y61" s="115">
        <v>0</v>
      </c>
      <c r="Z61" s="116">
        <v>1</v>
      </c>
      <c r="AA61" s="117">
        <f t="shared" si="1"/>
        <v>0</v>
      </c>
      <c r="AB61" s="118">
        <f t="shared" si="5"/>
        <v>45106</v>
      </c>
      <c r="AC61" s="118">
        <f t="shared" si="6"/>
        <v>45615</v>
      </c>
      <c r="AD61" s="118">
        <f t="shared" si="0"/>
        <v>-509</v>
      </c>
      <c r="AE61" s="117">
        <f t="shared" si="3"/>
        <v>0</v>
      </c>
    </row>
    <row r="62" spans="2:31" ht="15.75" customHeight="1" x14ac:dyDescent="0.2">
      <c r="B62" s="192"/>
      <c r="C62" s="193"/>
      <c r="D62" s="193"/>
      <c r="E62" s="193"/>
      <c r="F62" s="193"/>
      <c r="G62" s="194"/>
      <c r="H62" s="161" t="s">
        <v>181</v>
      </c>
      <c r="I62" s="161"/>
      <c r="J62" s="161"/>
      <c r="K62" s="161"/>
      <c r="L62" s="210">
        <f>IFERROR(ROUND(L60/L61,2),0)</f>
        <v>0</v>
      </c>
      <c r="M62" s="210"/>
      <c r="N62" s="210"/>
      <c r="O62" s="125"/>
      <c r="T62" s="113">
        <f t="shared" si="2"/>
        <v>37</v>
      </c>
      <c r="U62" s="113" t="s">
        <v>190</v>
      </c>
      <c r="V62" s="114"/>
      <c r="W62" s="114">
        <f t="shared" si="4"/>
        <v>45762</v>
      </c>
      <c r="X62" s="114"/>
      <c r="Y62" s="115">
        <v>0</v>
      </c>
      <c r="Z62" s="116">
        <v>1</v>
      </c>
      <c r="AA62" s="117">
        <f t="shared" si="1"/>
        <v>0</v>
      </c>
      <c r="AB62" s="118">
        <f t="shared" si="5"/>
        <v>45106</v>
      </c>
      <c r="AC62" s="118">
        <f t="shared" si="6"/>
        <v>45615</v>
      </c>
      <c r="AD62" s="118">
        <f t="shared" si="0"/>
        <v>-509</v>
      </c>
      <c r="AE62" s="117">
        <f t="shared" si="3"/>
        <v>0</v>
      </c>
    </row>
    <row r="63" spans="2:31" ht="15.75" customHeight="1" x14ac:dyDescent="0.2">
      <c r="B63" s="161" t="s">
        <v>183</v>
      </c>
      <c r="C63" s="161"/>
      <c r="D63" s="161"/>
      <c r="E63" s="161"/>
      <c r="F63" s="161"/>
      <c r="G63" s="161"/>
      <c r="H63" s="161"/>
      <c r="I63" s="161"/>
      <c r="J63" s="161"/>
      <c r="K63" s="161"/>
      <c r="L63" s="211">
        <f>IF(L62&gt;P43,R43,IF(L62&gt;P42,R42,IF(L62&gt;P41,R41,IF(L62&gt;P40,R40,R39))))</f>
        <v>20</v>
      </c>
      <c r="M63" s="211"/>
      <c r="N63" s="211"/>
      <c r="O63" s="125"/>
      <c r="T63" s="113">
        <f t="shared" si="2"/>
        <v>38</v>
      </c>
      <c r="U63" s="113" t="s">
        <v>191</v>
      </c>
      <c r="V63" s="114"/>
      <c r="W63" s="114">
        <f t="shared" si="4"/>
        <v>45762</v>
      </c>
      <c r="X63" s="114"/>
      <c r="Y63" s="115">
        <v>0</v>
      </c>
      <c r="Z63" s="116">
        <v>1</v>
      </c>
      <c r="AA63" s="117">
        <f t="shared" si="1"/>
        <v>0</v>
      </c>
      <c r="AB63" s="118">
        <f t="shared" si="5"/>
        <v>45106</v>
      </c>
      <c r="AC63" s="118">
        <f t="shared" si="6"/>
        <v>45615</v>
      </c>
      <c r="AD63" s="118">
        <f t="shared" si="0"/>
        <v>-509</v>
      </c>
      <c r="AE63" s="117">
        <f t="shared" si="3"/>
        <v>0</v>
      </c>
    </row>
    <row r="64" spans="2:31" ht="15.75" customHeight="1" x14ac:dyDescent="0.25">
      <c r="B64" s="212" t="s">
        <v>185</v>
      </c>
      <c r="C64" s="212"/>
      <c r="D64" s="212"/>
      <c r="E64" s="212"/>
      <c r="F64" s="212"/>
      <c r="G64" s="212"/>
      <c r="H64" s="212"/>
      <c r="I64" s="212"/>
      <c r="J64" s="212"/>
      <c r="K64" s="212"/>
      <c r="L64" s="212"/>
      <c r="M64" s="212"/>
      <c r="N64" s="212"/>
      <c r="T64" s="113">
        <f t="shared" si="2"/>
        <v>39</v>
      </c>
      <c r="U64" s="113" t="s">
        <v>192</v>
      </c>
      <c r="V64" s="114"/>
      <c r="W64" s="114">
        <f t="shared" si="4"/>
        <v>45762</v>
      </c>
      <c r="X64" s="114"/>
      <c r="Y64" s="115">
        <v>0</v>
      </c>
      <c r="Z64" s="116">
        <v>1</v>
      </c>
      <c r="AA64" s="117">
        <f t="shared" si="1"/>
        <v>0</v>
      </c>
      <c r="AB64" s="118">
        <f t="shared" si="5"/>
        <v>45106</v>
      </c>
      <c r="AC64" s="118">
        <f t="shared" si="6"/>
        <v>45615</v>
      </c>
      <c r="AD64" s="118">
        <f t="shared" si="0"/>
        <v>-509</v>
      </c>
      <c r="AE64" s="117">
        <f t="shared" si="3"/>
        <v>0</v>
      </c>
    </row>
    <row r="65" spans="2:31" ht="15.75" customHeight="1" x14ac:dyDescent="0.25">
      <c r="B65" s="220" t="s">
        <v>94</v>
      </c>
      <c r="C65" s="220"/>
      <c r="D65" s="220"/>
      <c r="E65" s="220"/>
      <c r="F65" s="220"/>
      <c r="G65" s="220"/>
      <c r="H65" s="220"/>
      <c r="I65" s="220"/>
      <c r="J65" s="220"/>
      <c r="K65" s="220"/>
      <c r="L65" s="220"/>
      <c r="M65" s="221">
        <f>$K$7</f>
        <v>0</v>
      </c>
      <c r="N65" s="221"/>
      <c r="T65" s="113">
        <f t="shared" si="2"/>
        <v>40</v>
      </c>
      <c r="U65" s="113" t="s">
        <v>193</v>
      </c>
      <c r="V65" s="114"/>
      <c r="W65" s="114">
        <f t="shared" si="4"/>
        <v>45762</v>
      </c>
      <c r="X65" s="114"/>
      <c r="Y65" s="115">
        <v>0</v>
      </c>
      <c r="Z65" s="116">
        <v>1</v>
      </c>
      <c r="AA65" s="117">
        <f t="shared" si="1"/>
        <v>0</v>
      </c>
      <c r="AB65" s="118">
        <f t="shared" si="5"/>
        <v>45106</v>
      </c>
      <c r="AC65" s="118">
        <f t="shared" si="6"/>
        <v>45615</v>
      </c>
      <c r="AD65" s="118">
        <f t="shared" si="0"/>
        <v>-509</v>
      </c>
      <c r="AE65" s="117">
        <f t="shared" si="3"/>
        <v>0</v>
      </c>
    </row>
    <row r="66" spans="2:31" ht="15.75" customHeight="1" x14ac:dyDescent="0.2">
      <c r="B66" s="161" t="s">
        <v>188</v>
      </c>
      <c r="C66" s="161"/>
      <c r="D66" s="161"/>
      <c r="E66" s="161"/>
      <c r="F66" s="161"/>
      <c r="G66" s="161"/>
      <c r="H66" s="161"/>
      <c r="I66" s="161"/>
      <c r="J66" s="161"/>
      <c r="K66" s="161"/>
      <c r="L66" s="211">
        <f>IF(M65&gt;P48,R48,IF(M65&gt;P47,R47,IF(M65&gt;P46,R46,R45)))</f>
        <v>0</v>
      </c>
      <c r="M66" s="211"/>
      <c r="N66" s="211"/>
      <c r="T66" s="113">
        <f t="shared" si="2"/>
        <v>41</v>
      </c>
      <c r="U66" s="113" t="s">
        <v>194</v>
      </c>
      <c r="V66" s="114"/>
      <c r="W66" s="114">
        <f t="shared" si="4"/>
        <v>45762</v>
      </c>
      <c r="X66" s="114"/>
      <c r="Y66" s="115">
        <v>0</v>
      </c>
      <c r="Z66" s="116">
        <v>1</v>
      </c>
      <c r="AA66" s="117">
        <f t="shared" si="1"/>
        <v>0</v>
      </c>
      <c r="AB66" s="118">
        <f t="shared" si="5"/>
        <v>45106</v>
      </c>
      <c r="AC66" s="118">
        <f t="shared" si="6"/>
        <v>45615</v>
      </c>
      <c r="AD66" s="118">
        <f t="shared" si="0"/>
        <v>-509</v>
      </c>
      <c r="AE66" s="117">
        <f t="shared" si="3"/>
        <v>0</v>
      </c>
    </row>
    <row r="67" spans="2:31" ht="15.75" customHeight="1" x14ac:dyDescent="0.25">
      <c r="T67" s="113">
        <f t="shared" si="2"/>
        <v>42</v>
      </c>
      <c r="U67" s="113" t="s">
        <v>195</v>
      </c>
      <c r="V67" s="114"/>
      <c r="W67" s="114">
        <f t="shared" si="4"/>
        <v>45762</v>
      </c>
      <c r="X67" s="114"/>
      <c r="Y67" s="115">
        <v>0</v>
      </c>
      <c r="Z67" s="116">
        <v>1</v>
      </c>
      <c r="AA67" s="117">
        <f t="shared" si="1"/>
        <v>0</v>
      </c>
      <c r="AB67" s="118">
        <f t="shared" si="5"/>
        <v>45106</v>
      </c>
      <c r="AC67" s="118">
        <f t="shared" si="6"/>
        <v>45615</v>
      </c>
      <c r="AD67" s="118">
        <f t="shared" si="0"/>
        <v>-509</v>
      </c>
      <c r="AE67" s="117">
        <f t="shared" si="3"/>
        <v>0</v>
      </c>
    </row>
    <row r="68" spans="2:31" ht="15.75" customHeight="1" x14ac:dyDescent="0.2">
      <c r="B68" s="161" t="str">
        <f>"CAPACIDAD DE CONTRATACIÓN INTEGRANTE 1: "&amp;$B$22</f>
        <v>CAPACIDAD DE CONTRATACIÓN INTEGRANTE 1: INTEGRANTE 1: Juan Pablo Dorado Martínez</v>
      </c>
      <c r="C68" s="161"/>
      <c r="D68" s="161"/>
      <c r="E68" s="161"/>
      <c r="F68" s="161"/>
      <c r="G68" s="161"/>
      <c r="H68" s="161"/>
      <c r="I68" s="161"/>
      <c r="J68" s="161"/>
      <c r="K68" s="161"/>
      <c r="L68" s="167">
        <f>I31*((L58+L63+L66)/100)</f>
        <v>426630400</v>
      </c>
      <c r="M68" s="167"/>
      <c r="N68" s="167"/>
      <c r="T68" s="113">
        <f t="shared" si="2"/>
        <v>43</v>
      </c>
      <c r="U68" s="113" t="s">
        <v>198</v>
      </c>
      <c r="V68" s="114"/>
      <c r="W68" s="114">
        <f t="shared" si="4"/>
        <v>45762</v>
      </c>
      <c r="X68" s="114"/>
      <c r="Y68" s="115">
        <v>0</v>
      </c>
      <c r="Z68" s="116">
        <v>1</v>
      </c>
      <c r="AA68" s="117">
        <f t="shared" si="1"/>
        <v>0</v>
      </c>
      <c r="AB68" s="118">
        <f t="shared" si="5"/>
        <v>45106</v>
      </c>
      <c r="AC68" s="118">
        <f t="shared" si="6"/>
        <v>45615</v>
      </c>
      <c r="AD68" s="118">
        <f t="shared" si="0"/>
        <v>-509</v>
      </c>
      <c r="AE68" s="117">
        <f t="shared" si="3"/>
        <v>0</v>
      </c>
    </row>
    <row r="69" spans="2:31" ht="15.75" customHeight="1" x14ac:dyDescent="0.2">
      <c r="B69" s="161" t="str">
        <f>"SALDO DE LOS CONTRATOS EN EJECUCIÓN INTEGRANTE 1: "&amp;$B$22</f>
        <v>SALDO DE LOS CONTRATOS EN EJECUCIÓN INTEGRANTE 1: INTEGRANTE 1: Juan Pablo Dorado Martínez</v>
      </c>
      <c r="C69" s="161"/>
      <c r="D69" s="161"/>
      <c r="E69" s="161"/>
      <c r="F69" s="161"/>
      <c r="G69" s="161"/>
      <c r="H69" s="161"/>
      <c r="I69" s="161"/>
      <c r="J69" s="161"/>
      <c r="K69" s="161"/>
      <c r="L69" s="167">
        <f>$M$7</f>
        <v>0</v>
      </c>
      <c r="M69" s="167"/>
      <c r="N69" s="167"/>
      <c r="Z69" s="235" t="s">
        <v>199</v>
      </c>
      <c r="AA69" s="235"/>
      <c r="AB69" s="235"/>
      <c r="AC69" s="235"/>
      <c r="AD69" s="235"/>
      <c r="AE69" s="126">
        <f>SUM(AE26:AE68)</f>
        <v>2921045560</v>
      </c>
    </row>
    <row r="70" spans="2:31" ht="15.75" customHeight="1" x14ac:dyDescent="0.2">
      <c r="B70" s="161" t="str">
        <f>"CAPACIDAD RESIDUAL DE CONTRATACIÓN INTEGRANTE 1: "&amp;$B$22</f>
        <v>CAPACIDAD RESIDUAL DE CONTRATACIÓN INTEGRANTE 1: INTEGRANTE 1: Juan Pablo Dorado Martínez</v>
      </c>
      <c r="C70" s="161"/>
      <c r="D70" s="161"/>
      <c r="E70" s="161"/>
      <c r="F70" s="161"/>
      <c r="G70" s="161"/>
      <c r="H70" s="161"/>
      <c r="I70" s="161"/>
      <c r="J70" s="161"/>
      <c r="K70" s="161"/>
      <c r="L70" s="167">
        <f>L68-L69</f>
        <v>426630400</v>
      </c>
      <c r="M70" s="167"/>
      <c r="N70" s="167"/>
    </row>
    <row r="71" spans="2:31" ht="15.75" customHeight="1" x14ac:dyDescent="0.2">
      <c r="B71" s="127"/>
      <c r="C71" s="127"/>
      <c r="D71" s="127"/>
      <c r="E71" s="127"/>
      <c r="F71" s="127"/>
      <c r="G71" s="127"/>
      <c r="H71" s="127"/>
      <c r="I71" s="127"/>
      <c r="J71" s="127"/>
      <c r="K71" s="127"/>
      <c r="L71" s="128"/>
      <c r="M71" s="128"/>
      <c r="N71" s="128"/>
      <c r="P71" s="64"/>
    </row>
    <row r="72" spans="2:31" ht="15.75" customHeight="1" x14ac:dyDescent="0.25">
      <c r="B72" s="180" t="str">
        <f>"INTEGRANTE 2: "&amp;$C$8</f>
        <v>INTEGRANTE 2: Dorado Asociados SAS</v>
      </c>
      <c r="C72" s="181"/>
      <c r="D72" s="181"/>
      <c r="E72" s="181"/>
      <c r="F72" s="181"/>
      <c r="G72" s="181"/>
      <c r="H72" s="181"/>
      <c r="I72" s="181"/>
      <c r="J72" s="181"/>
      <c r="K72" s="181"/>
      <c r="L72" s="181"/>
      <c r="M72" s="181"/>
      <c r="N72" s="182"/>
      <c r="T72" s="231" t="s">
        <v>108</v>
      </c>
      <c r="U72" s="231"/>
      <c r="V72" s="232" t="str">
        <f>B72</f>
        <v>INTEGRANTE 2: Dorado Asociados SAS</v>
      </c>
      <c r="W72" s="233"/>
      <c r="X72" s="233"/>
      <c r="Y72" s="233"/>
      <c r="Z72" s="233"/>
      <c r="AA72" s="234"/>
    </row>
    <row r="73" spans="2:31" ht="15.75" customHeight="1" x14ac:dyDescent="0.25">
      <c r="B73" s="167" t="s">
        <v>102</v>
      </c>
      <c r="C73" s="167"/>
      <c r="D73" s="167"/>
      <c r="E73" s="167"/>
      <c r="F73" s="167"/>
      <c r="G73" s="167"/>
      <c r="H73" s="167"/>
      <c r="I73" s="228">
        <f>$G$8</f>
        <v>0.8</v>
      </c>
      <c r="J73" s="228"/>
      <c r="K73" s="228"/>
      <c r="L73" s="228"/>
      <c r="M73" s="228"/>
      <c r="N73" s="228"/>
      <c r="T73" s="104" t="s">
        <v>111</v>
      </c>
      <c r="U73" s="129">
        <f>U22</f>
        <v>45614</v>
      </c>
    </row>
    <row r="74" spans="2:31" ht="15.75" customHeight="1" x14ac:dyDescent="0.25">
      <c r="B74" s="212" t="s">
        <v>103</v>
      </c>
      <c r="C74" s="212"/>
      <c r="D74" s="212"/>
      <c r="E74" s="212"/>
      <c r="F74" s="212"/>
      <c r="G74" s="212"/>
      <c r="H74" s="212" t="s">
        <v>104</v>
      </c>
      <c r="I74" s="212"/>
      <c r="J74" s="212"/>
      <c r="K74" s="212"/>
      <c r="L74" s="212"/>
      <c r="M74" s="212"/>
      <c r="N74" s="91" t="s">
        <v>105</v>
      </c>
      <c r="T74" s="109"/>
      <c r="U74" s="110"/>
    </row>
    <row r="75" spans="2:31" ht="18.75" customHeight="1" x14ac:dyDescent="0.25">
      <c r="B75" s="186"/>
      <c r="C75" s="187"/>
      <c r="D75" s="187"/>
      <c r="E75" s="187"/>
      <c r="F75" s="187"/>
      <c r="G75" s="188"/>
      <c r="H75" s="217" t="s">
        <v>106</v>
      </c>
      <c r="I75" s="217"/>
      <c r="J75" s="217"/>
      <c r="K75" s="217"/>
      <c r="L75" s="217"/>
      <c r="M75" s="217"/>
      <c r="N75" s="79">
        <v>120</v>
      </c>
      <c r="Q75" s="103" t="s">
        <v>210</v>
      </c>
      <c r="T75" s="229" t="s">
        <v>113</v>
      </c>
      <c r="U75" s="225" t="s">
        <v>114</v>
      </c>
      <c r="V75" s="225" t="s">
        <v>115</v>
      </c>
      <c r="W75" s="225" t="s">
        <v>116</v>
      </c>
      <c r="X75" s="225" t="s">
        <v>117</v>
      </c>
      <c r="Y75" s="225" t="s">
        <v>118</v>
      </c>
      <c r="Z75" s="225" t="s">
        <v>119</v>
      </c>
      <c r="AA75" s="225" t="s">
        <v>120</v>
      </c>
      <c r="AB75" s="225" t="s">
        <v>121</v>
      </c>
      <c r="AC75" s="225" t="s">
        <v>122</v>
      </c>
      <c r="AD75" s="225" t="s">
        <v>123</v>
      </c>
      <c r="AE75" s="225" t="s">
        <v>124</v>
      </c>
    </row>
    <row r="76" spans="2:31" ht="15.75" customHeight="1" x14ac:dyDescent="0.25">
      <c r="B76" s="189"/>
      <c r="C76" s="190"/>
      <c r="D76" s="190"/>
      <c r="E76" s="190"/>
      <c r="F76" s="190"/>
      <c r="G76" s="191"/>
      <c r="H76" s="217" t="s">
        <v>107</v>
      </c>
      <c r="I76" s="217"/>
      <c r="J76" s="217"/>
      <c r="K76" s="217"/>
      <c r="L76" s="217"/>
      <c r="M76" s="217"/>
      <c r="N76" s="79">
        <v>40</v>
      </c>
      <c r="Q76" s="108">
        <v>1423500</v>
      </c>
      <c r="T76" s="230"/>
      <c r="U76" s="226"/>
      <c r="V76" s="226"/>
      <c r="W76" s="226"/>
      <c r="X76" s="226"/>
      <c r="Y76" s="226"/>
      <c r="Z76" s="226"/>
      <c r="AA76" s="226"/>
      <c r="AB76" s="226"/>
      <c r="AC76" s="226"/>
      <c r="AD76" s="226"/>
      <c r="AE76" s="226"/>
    </row>
    <row r="77" spans="2:31" ht="15.75" customHeight="1" x14ac:dyDescent="0.25">
      <c r="B77" s="189"/>
      <c r="C77" s="190"/>
      <c r="D77" s="190"/>
      <c r="E77" s="190"/>
      <c r="F77" s="190"/>
      <c r="G77" s="191"/>
      <c r="H77" s="217" t="s">
        <v>109</v>
      </c>
      <c r="I77" s="217"/>
      <c r="J77" s="217"/>
      <c r="K77" s="217"/>
      <c r="L77" s="217"/>
      <c r="M77" s="217"/>
      <c r="N77" s="79">
        <v>40</v>
      </c>
      <c r="O77" s="119"/>
      <c r="T77" s="113">
        <v>1</v>
      </c>
      <c r="U77" s="113" t="s">
        <v>128</v>
      </c>
      <c r="V77" s="114">
        <v>42095</v>
      </c>
      <c r="W77" s="114">
        <v>42124</v>
      </c>
      <c r="X77" s="114">
        <v>42099</v>
      </c>
      <c r="Y77" s="115">
        <v>30000000</v>
      </c>
      <c r="Z77" s="116">
        <v>1</v>
      </c>
      <c r="AA77" s="117">
        <f>Y77*Z77</f>
        <v>30000000</v>
      </c>
      <c r="AB77" s="118">
        <f>DAYS360(V77,W77)+1</f>
        <v>30</v>
      </c>
      <c r="AC77" s="118">
        <f t="shared" ref="AC77:AC119" si="9">IF(X77&gt;$R$45,(X77-V77)+1,($U$22-V77)+1)</f>
        <v>5</v>
      </c>
      <c r="AD77" s="118">
        <f>IF((AB77-AC77)&gt;$P$28,$P$28,(AB77-AC77))</f>
        <v>25</v>
      </c>
      <c r="AE77" s="117">
        <f>ROUND((AA77/AB77)*AD77,0)</f>
        <v>25000000</v>
      </c>
    </row>
    <row r="78" spans="2:31" ht="15.75" customHeight="1" x14ac:dyDescent="0.25">
      <c r="B78" s="192"/>
      <c r="C78" s="193"/>
      <c r="D78" s="193"/>
      <c r="E78" s="193"/>
      <c r="F78" s="193"/>
      <c r="G78" s="194"/>
      <c r="H78" s="212" t="s">
        <v>44</v>
      </c>
      <c r="I78" s="212"/>
      <c r="J78" s="212"/>
      <c r="K78" s="212"/>
      <c r="L78" s="212"/>
      <c r="M78" s="212"/>
      <c r="N78" s="79">
        <f>SUM(N75:N77)</f>
        <v>200</v>
      </c>
      <c r="O78" s="119"/>
      <c r="P78" s="99" t="s">
        <v>130</v>
      </c>
      <c r="Q78" s="99" t="s">
        <v>0</v>
      </c>
      <c r="R78" s="99" t="s">
        <v>131</v>
      </c>
      <c r="T78" s="113">
        <f>T77+1</f>
        <v>2</v>
      </c>
      <c r="U78" s="113" t="s">
        <v>132</v>
      </c>
      <c r="V78" s="114"/>
      <c r="W78" s="114">
        <f>U73</f>
        <v>45614</v>
      </c>
      <c r="X78" s="114"/>
      <c r="Y78" s="115">
        <v>0</v>
      </c>
      <c r="Z78" s="116">
        <v>1</v>
      </c>
      <c r="AA78" s="117">
        <f t="shared" ref="AA78:AA119" si="10">Y78*Z78</f>
        <v>0</v>
      </c>
      <c r="AB78" s="118">
        <f t="shared" ref="AB78:AB119" si="11">DAYS360(V78,W78)+1</f>
        <v>44959</v>
      </c>
      <c r="AC78" s="118">
        <f t="shared" si="9"/>
        <v>45615</v>
      </c>
      <c r="AD78" s="118">
        <f t="shared" ref="AD78:AD119" si="12">IF((AB78-AC78)&gt;$P$28,$P$28,(AB78-AC78))</f>
        <v>-656</v>
      </c>
      <c r="AE78" s="117">
        <f t="shared" ref="AE78:AE119" si="13">ROUND((AA78/AB78)*AD78,0)</f>
        <v>0</v>
      </c>
    </row>
    <row r="79" spans="2:31" ht="15.75" customHeight="1" x14ac:dyDescent="0.25">
      <c r="B79" s="212" t="s">
        <v>211</v>
      </c>
      <c r="C79" s="212"/>
      <c r="D79" s="212"/>
      <c r="E79" s="212"/>
      <c r="F79" s="212"/>
      <c r="G79" s="212"/>
      <c r="H79" s="212"/>
      <c r="I79" s="212"/>
      <c r="J79" s="212"/>
      <c r="K79" s="212"/>
      <c r="L79" s="212"/>
      <c r="M79" s="212"/>
      <c r="N79" s="212"/>
      <c r="O79" s="119"/>
      <c r="P79" s="79">
        <v>360</v>
      </c>
      <c r="Q79" s="79" t="s">
        <v>3</v>
      </c>
      <c r="R79" s="79">
        <v>12</v>
      </c>
      <c r="T79" s="113">
        <f t="shared" ref="T79:T119" si="14">T78+1</f>
        <v>3</v>
      </c>
      <c r="U79" s="113" t="s">
        <v>134</v>
      </c>
      <c r="V79" s="114"/>
      <c r="W79" s="114">
        <f t="shared" ref="W79:W119" si="15">W78</f>
        <v>45614</v>
      </c>
      <c r="X79" s="114"/>
      <c r="Y79" s="115">
        <v>0</v>
      </c>
      <c r="Z79" s="116">
        <v>1</v>
      </c>
      <c r="AA79" s="117">
        <f t="shared" si="10"/>
        <v>0</v>
      </c>
      <c r="AB79" s="118">
        <f t="shared" si="11"/>
        <v>44959</v>
      </c>
      <c r="AC79" s="118">
        <f t="shared" si="9"/>
        <v>45615</v>
      </c>
      <c r="AD79" s="118">
        <f t="shared" si="12"/>
        <v>-656</v>
      </c>
      <c r="AE79" s="117">
        <f t="shared" si="13"/>
        <v>0</v>
      </c>
    </row>
    <row r="80" spans="2:31" ht="15.75" customHeight="1" x14ac:dyDescent="0.25">
      <c r="B80" s="239" t="s">
        <v>125</v>
      </c>
      <c r="C80" s="240"/>
      <c r="D80" s="240"/>
      <c r="E80" s="240"/>
      <c r="F80" s="240"/>
      <c r="G80" s="240"/>
      <c r="H80" s="241"/>
      <c r="I80" s="183" t="s">
        <v>126</v>
      </c>
      <c r="J80" s="184"/>
      <c r="K80" s="184"/>
      <c r="L80" s="184"/>
      <c r="M80" s="184"/>
      <c r="N80" s="185"/>
      <c r="T80" s="113">
        <f t="shared" si="14"/>
        <v>4</v>
      </c>
      <c r="U80" s="113" t="s">
        <v>138</v>
      </c>
      <c r="V80" s="114"/>
      <c r="W80" s="114">
        <f t="shared" si="15"/>
        <v>45614</v>
      </c>
      <c r="X80" s="114"/>
      <c r="Y80" s="115">
        <v>0</v>
      </c>
      <c r="Z80" s="116">
        <v>1</v>
      </c>
      <c r="AA80" s="117">
        <f t="shared" si="10"/>
        <v>0</v>
      </c>
      <c r="AB80" s="118">
        <f t="shared" si="11"/>
        <v>44959</v>
      </c>
      <c r="AC80" s="118">
        <f t="shared" si="9"/>
        <v>45615</v>
      </c>
      <c r="AD80" s="118">
        <f t="shared" si="12"/>
        <v>-656</v>
      </c>
      <c r="AE80" s="117">
        <f t="shared" si="13"/>
        <v>0</v>
      </c>
    </row>
    <row r="81" spans="2:31" ht="15.75" customHeight="1" x14ac:dyDescent="0.25">
      <c r="B81" s="236" t="s">
        <v>127</v>
      </c>
      <c r="C81" s="237"/>
      <c r="D81" s="237"/>
      <c r="E81" s="237"/>
      <c r="F81" s="237"/>
      <c r="G81" s="237"/>
      <c r="H81" s="238"/>
      <c r="I81" s="168">
        <f>IF($H$8&gt;$R$31,$H$8,$R$31)</f>
        <v>533288000</v>
      </c>
      <c r="J81" s="169"/>
      <c r="K81" s="169"/>
      <c r="L81" s="169"/>
      <c r="M81" s="169"/>
      <c r="N81" s="170"/>
      <c r="P81" s="99" t="s">
        <v>139</v>
      </c>
      <c r="Q81" s="99" t="s">
        <v>140</v>
      </c>
      <c r="R81" s="99" t="s">
        <v>141</v>
      </c>
      <c r="T81" s="113">
        <f t="shared" si="14"/>
        <v>5</v>
      </c>
      <c r="U81" s="113" t="s">
        <v>142</v>
      </c>
      <c r="V81" s="114"/>
      <c r="W81" s="114">
        <f t="shared" si="15"/>
        <v>45614</v>
      </c>
      <c r="X81" s="114"/>
      <c r="Y81" s="115">
        <v>0</v>
      </c>
      <c r="Z81" s="116">
        <v>1</v>
      </c>
      <c r="AA81" s="117">
        <f t="shared" si="10"/>
        <v>0</v>
      </c>
      <c r="AB81" s="118">
        <f t="shared" si="11"/>
        <v>44959</v>
      </c>
      <c r="AC81" s="118">
        <f t="shared" si="9"/>
        <v>45615</v>
      </c>
      <c r="AD81" s="118">
        <f t="shared" si="12"/>
        <v>-656</v>
      </c>
      <c r="AE81" s="117">
        <f t="shared" si="13"/>
        <v>0</v>
      </c>
    </row>
    <row r="82" spans="2:31" ht="15.75" customHeight="1" x14ac:dyDescent="0.25">
      <c r="B82" s="212" t="s">
        <v>212</v>
      </c>
      <c r="C82" s="212"/>
      <c r="D82" s="212"/>
      <c r="E82" s="212"/>
      <c r="F82" s="212"/>
      <c r="G82" s="212"/>
      <c r="H82" s="212"/>
      <c r="I82" s="212"/>
      <c r="J82" s="212"/>
      <c r="K82" s="212"/>
      <c r="L82" s="212"/>
      <c r="M82" s="212"/>
      <c r="N82" s="212"/>
      <c r="P82" s="121">
        <v>125000</v>
      </c>
      <c r="Q82" s="108">
        <f>533287768/P82</f>
        <v>4266.3021440000002</v>
      </c>
      <c r="R82" s="108">
        <f>ROUNDUP(P82*Q82,-3)</f>
        <v>533288000</v>
      </c>
      <c r="T82" s="113">
        <f t="shared" si="14"/>
        <v>6</v>
      </c>
      <c r="U82" s="113" t="s">
        <v>143</v>
      </c>
      <c r="V82" s="114"/>
      <c r="W82" s="114">
        <f t="shared" si="15"/>
        <v>45614</v>
      </c>
      <c r="X82" s="114"/>
      <c r="Y82" s="115">
        <v>0</v>
      </c>
      <c r="Z82" s="116">
        <v>1</v>
      </c>
      <c r="AA82" s="117">
        <f t="shared" si="10"/>
        <v>0</v>
      </c>
      <c r="AB82" s="118">
        <f t="shared" si="11"/>
        <v>44959</v>
      </c>
      <c r="AC82" s="118">
        <f t="shared" si="9"/>
        <v>45615</v>
      </c>
      <c r="AD82" s="118">
        <f t="shared" si="12"/>
        <v>-656</v>
      </c>
      <c r="AE82" s="117">
        <f t="shared" si="13"/>
        <v>0</v>
      </c>
    </row>
    <row r="83" spans="2:31" ht="15.75" customHeight="1" thickBot="1" x14ac:dyDescent="0.3">
      <c r="B83" s="212" t="s">
        <v>133</v>
      </c>
      <c r="C83" s="212"/>
      <c r="D83" s="212"/>
      <c r="E83" s="212"/>
      <c r="F83" s="212"/>
      <c r="G83" s="212"/>
      <c r="H83" s="212"/>
      <c r="I83" s="212"/>
      <c r="J83" s="212"/>
      <c r="K83" s="212"/>
      <c r="L83" s="212"/>
      <c r="M83" s="212"/>
      <c r="N83" s="212"/>
      <c r="Q83" s="81" t="s">
        <v>144</v>
      </c>
      <c r="T83" s="113">
        <f t="shared" si="14"/>
        <v>7</v>
      </c>
      <c r="U83" s="113" t="s">
        <v>145</v>
      </c>
      <c r="V83" s="114"/>
      <c r="W83" s="114">
        <f t="shared" si="15"/>
        <v>45614</v>
      </c>
      <c r="X83" s="114"/>
      <c r="Y83" s="115">
        <v>0</v>
      </c>
      <c r="Z83" s="116">
        <v>1</v>
      </c>
      <c r="AA83" s="117">
        <f t="shared" si="10"/>
        <v>0</v>
      </c>
      <c r="AB83" s="118">
        <f t="shared" si="11"/>
        <v>44959</v>
      </c>
      <c r="AC83" s="118">
        <f t="shared" si="9"/>
        <v>45615</v>
      </c>
      <c r="AD83" s="118">
        <f t="shared" si="12"/>
        <v>-656</v>
      </c>
      <c r="AE83" s="117">
        <f t="shared" si="13"/>
        <v>0</v>
      </c>
    </row>
    <row r="84" spans="2:31" ht="15.75" customHeight="1" thickBot="1" x14ac:dyDescent="0.25">
      <c r="B84" s="122" t="s">
        <v>135</v>
      </c>
      <c r="C84" s="160" t="s">
        <v>136</v>
      </c>
      <c r="D84" s="122" t="s">
        <v>135</v>
      </c>
      <c r="E84" s="160" t="s">
        <v>136</v>
      </c>
      <c r="F84" s="122" t="s">
        <v>135</v>
      </c>
      <c r="G84" s="160" t="s">
        <v>136</v>
      </c>
      <c r="H84" s="122" t="s">
        <v>135</v>
      </c>
      <c r="I84" s="160" t="s">
        <v>136</v>
      </c>
      <c r="J84" s="122" t="s">
        <v>135</v>
      </c>
      <c r="K84" s="160" t="s">
        <v>136</v>
      </c>
      <c r="L84" s="122" t="s">
        <v>135</v>
      </c>
      <c r="M84" s="160" t="s">
        <v>136</v>
      </c>
      <c r="N84" s="195" t="s">
        <v>137</v>
      </c>
      <c r="P84" s="212" t="s">
        <v>146</v>
      </c>
      <c r="Q84" s="212"/>
      <c r="R84" s="99" t="s">
        <v>147</v>
      </c>
      <c r="T84" s="113">
        <f t="shared" si="14"/>
        <v>8</v>
      </c>
      <c r="U84" s="113" t="s">
        <v>148</v>
      </c>
      <c r="V84" s="114"/>
      <c r="W84" s="114">
        <f t="shared" si="15"/>
        <v>45614</v>
      </c>
      <c r="X84" s="114"/>
      <c r="Y84" s="115">
        <v>0</v>
      </c>
      <c r="Z84" s="116">
        <v>1</v>
      </c>
      <c r="AA84" s="117">
        <f t="shared" si="10"/>
        <v>0</v>
      </c>
      <c r="AB84" s="118">
        <f t="shared" si="11"/>
        <v>44959</v>
      </c>
      <c r="AC84" s="118">
        <f t="shared" si="9"/>
        <v>45615</v>
      </c>
      <c r="AD84" s="118">
        <f t="shared" si="12"/>
        <v>-656</v>
      </c>
      <c r="AE84" s="117">
        <f t="shared" si="13"/>
        <v>0</v>
      </c>
    </row>
    <row r="85" spans="2:31" ht="15.75" customHeight="1" thickBot="1" x14ac:dyDescent="0.25">
      <c r="B85" s="123">
        <v>1</v>
      </c>
      <c r="C85" s="159"/>
      <c r="D85" s="123">
        <v>22</v>
      </c>
      <c r="E85" s="159"/>
      <c r="F85" s="123">
        <v>43</v>
      </c>
      <c r="G85" s="158"/>
      <c r="H85" s="123">
        <v>64</v>
      </c>
      <c r="I85" s="158"/>
      <c r="J85" s="123">
        <v>85</v>
      </c>
      <c r="K85" s="158"/>
      <c r="L85" s="123">
        <v>106</v>
      </c>
      <c r="M85" s="158"/>
      <c r="N85" s="196"/>
      <c r="P85" s="79">
        <v>0</v>
      </c>
      <c r="Q85" s="79">
        <v>3</v>
      </c>
      <c r="R85" s="79">
        <v>60</v>
      </c>
      <c r="T85" s="113">
        <f t="shared" si="14"/>
        <v>9</v>
      </c>
      <c r="U85" s="113" t="s">
        <v>149</v>
      </c>
      <c r="V85" s="114"/>
      <c r="W85" s="114">
        <f t="shared" si="15"/>
        <v>45614</v>
      </c>
      <c r="X85" s="114"/>
      <c r="Y85" s="115">
        <v>0</v>
      </c>
      <c r="Z85" s="116">
        <v>1</v>
      </c>
      <c r="AA85" s="117">
        <f t="shared" si="10"/>
        <v>0</v>
      </c>
      <c r="AB85" s="118">
        <f t="shared" si="11"/>
        <v>44959</v>
      </c>
      <c r="AC85" s="118">
        <f t="shared" si="9"/>
        <v>45615</v>
      </c>
      <c r="AD85" s="118">
        <f t="shared" si="12"/>
        <v>-656</v>
      </c>
      <c r="AE85" s="117">
        <f t="shared" si="13"/>
        <v>0</v>
      </c>
    </row>
    <row r="86" spans="2:31" ht="15.75" customHeight="1" thickBot="1" x14ac:dyDescent="0.25">
      <c r="B86" s="123">
        <f>+B85+1</f>
        <v>2</v>
      </c>
      <c r="C86" s="159"/>
      <c r="D86" s="123">
        <f>+D85+1</f>
        <v>23</v>
      </c>
      <c r="E86" s="159"/>
      <c r="F86" s="123">
        <f>+F85+1</f>
        <v>44</v>
      </c>
      <c r="G86" s="158"/>
      <c r="H86" s="123">
        <f>+H85+1</f>
        <v>65</v>
      </c>
      <c r="I86" s="158"/>
      <c r="J86" s="123">
        <f>+J85+1</f>
        <v>86</v>
      </c>
      <c r="K86" s="158"/>
      <c r="L86" s="123">
        <f>+L85+1</f>
        <v>107</v>
      </c>
      <c r="M86" s="158"/>
      <c r="N86" s="196"/>
      <c r="P86" s="79">
        <v>3</v>
      </c>
      <c r="Q86" s="79">
        <v>6</v>
      </c>
      <c r="R86" s="79">
        <v>80</v>
      </c>
      <c r="T86" s="113">
        <f t="shared" si="14"/>
        <v>10</v>
      </c>
      <c r="U86" s="113" t="s">
        <v>150</v>
      </c>
      <c r="V86" s="114"/>
      <c r="W86" s="114">
        <f t="shared" si="15"/>
        <v>45614</v>
      </c>
      <c r="X86" s="114"/>
      <c r="Y86" s="115">
        <v>0</v>
      </c>
      <c r="Z86" s="116">
        <v>1</v>
      </c>
      <c r="AA86" s="117">
        <f t="shared" si="10"/>
        <v>0</v>
      </c>
      <c r="AB86" s="118">
        <f t="shared" si="11"/>
        <v>44959</v>
      </c>
      <c r="AC86" s="118">
        <f t="shared" si="9"/>
        <v>45615</v>
      </c>
      <c r="AD86" s="118">
        <f t="shared" si="12"/>
        <v>-656</v>
      </c>
      <c r="AE86" s="117">
        <f t="shared" si="13"/>
        <v>0</v>
      </c>
    </row>
    <row r="87" spans="2:31" ht="15.75" customHeight="1" thickBot="1" x14ac:dyDescent="0.25">
      <c r="B87" s="123">
        <f t="shared" ref="B87:B105" si="16">+B86+1</f>
        <v>3</v>
      </c>
      <c r="C87" s="159"/>
      <c r="D87" s="123">
        <f t="shared" ref="D87:L105" si="17">+D86+1</f>
        <v>24</v>
      </c>
      <c r="E87" s="159"/>
      <c r="F87" s="123">
        <f t="shared" si="17"/>
        <v>45</v>
      </c>
      <c r="G87" s="158"/>
      <c r="H87" s="123">
        <f t="shared" si="17"/>
        <v>66</v>
      </c>
      <c r="I87" s="158"/>
      <c r="J87" s="123">
        <f t="shared" si="17"/>
        <v>87</v>
      </c>
      <c r="K87" s="158"/>
      <c r="L87" s="123">
        <f t="shared" si="17"/>
        <v>108</v>
      </c>
      <c r="M87" s="158"/>
      <c r="N87" s="196"/>
      <c r="P87" s="79">
        <v>6</v>
      </c>
      <c r="Q87" s="79">
        <v>10</v>
      </c>
      <c r="R87" s="79">
        <v>100</v>
      </c>
      <c r="T87" s="113">
        <f t="shared" si="14"/>
        <v>11</v>
      </c>
      <c r="U87" s="113" t="s">
        <v>151</v>
      </c>
      <c r="V87" s="114"/>
      <c r="W87" s="114">
        <f t="shared" si="15"/>
        <v>45614</v>
      </c>
      <c r="X87" s="114"/>
      <c r="Y87" s="115">
        <v>0</v>
      </c>
      <c r="Z87" s="116">
        <v>1</v>
      </c>
      <c r="AA87" s="117">
        <f t="shared" si="10"/>
        <v>0</v>
      </c>
      <c r="AB87" s="118">
        <f t="shared" si="11"/>
        <v>44959</v>
      </c>
      <c r="AC87" s="118">
        <f t="shared" si="9"/>
        <v>45615</v>
      </c>
      <c r="AD87" s="118">
        <f t="shared" si="12"/>
        <v>-656</v>
      </c>
      <c r="AE87" s="117">
        <f t="shared" si="13"/>
        <v>0</v>
      </c>
    </row>
    <row r="88" spans="2:31" ht="15.75" customHeight="1" thickBot="1" x14ac:dyDescent="0.25">
      <c r="B88" s="123">
        <f t="shared" si="16"/>
        <v>4</v>
      </c>
      <c r="C88" s="159"/>
      <c r="D88" s="123">
        <f t="shared" si="17"/>
        <v>25</v>
      </c>
      <c r="E88" s="159"/>
      <c r="F88" s="123">
        <f t="shared" si="17"/>
        <v>46</v>
      </c>
      <c r="G88" s="158"/>
      <c r="H88" s="123">
        <f t="shared" si="17"/>
        <v>67</v>
      </c>
      <c r="I88" s="158"/>
      <c r="J88" s="123">
        <f t="shared" si="17"/>
        <v>88</v>
      </c>
      <c r="K88" s="158"/>
      <c r="L88" s="123">
        <f t="shared" si="17"/>
        <v>109</v>
      </c>
      <c r="M88" s="158"/>
      <c r="N88" s="196"/>
      <c r="P88" s="79">
        <v>10</v>
      </c>
      <c r="Q88" s="79"/>
      <c r="R88" s="79">
        <v>120</v>
      </c>
      <c r="T88" s="113">
        <f t="shared" si="14"/>
        <v>12</v>
      </c>
      <c r="U88" s="113" t="s">
        <v>152</v>
      </c>
      <c r="V88" s="114"/>
      <c r="W88" s="114">
        <f t="shared" si="15"/>
        <v>45614</v>
      </c>
      <c r="X88" s="114"/>
      <c r="Y88" s="115">
        <v>0</v>
      </c>
      <c r="Z88" s="116">
        <v>1</v>
      </c>
      <c r="AA88" s="117">
        <f t="shared" si="10"/>
        <v>0</v>
      </c>
      <c r="AB88" s="118">
        <f t="shared" si="11"/>
        <v>44959</v>
      </c>
      <c r="AC88" s="118">
        <f t="shared" si="9"/>
        <v>45615</v>
      </c>
      <c r="AD88" s="118">
        <f t="shared" si="12"/>
        <v>-656</v>
      </c>
      <c r="AE88" s="117">
        <f t="shared" si="13"/>
        <v>0</v>
      </c>
    </row>
    <row r="89" spans="2:31" ht="15.75" customHeight="1" thickBot="1" x14ac:dyDescent="0.25">
      <c r="B89" s="123">
        <f t="shared" si="16"/>
        <v>5</v>
      </c>
      <c r="C89" s="159"/>
      <c r="D89" s="123">
        <f t="shared" si="17"/>
        <v>26</v>
      </c>
      <c r="E89" s="159"/>
      <c r="F89" s="123">
        <f t="shared" si="17"/>
        <v>47</v>
      </c>
      <c r="G89" s="158"/>
      <c r="H89" s="123">
        <f t="shared" si="17"/>
        <v>68</v>
      </c>
      <c r="I89" s="158"/>
      <c r="J89" s="123">
        <f t="shared" si="17"/>
        <v>89</v>
      </c>
      <c r="K89" s="158"/>
      <c r="L89" s="123">
        <f t="shared" si="17"/>
        <v>110</v>
      </c>
      <c r="M89" s="158"/>
      <c r="N89" s="196"/>
      <c r="P89" s="212" t="s">
        <v>153</v>
      </c>
      <c r="Q89" s="212"/>
      <c r="R89" s="99" t="s">
        <v>147</v>
      </c>
      <c r="T89" s="113">
        <f t="shared" si="14"/>
        <v>13</v>
      </c>
      <c r="U89" s="113" t="s">
        <v>154</v>
      </c>
      <c r="V89" s="114"/>
      <c r="W89" s="114">
        <f t="shared" si="15"/>
        <v>45614</v>
      </c>
      <c r="X89" s="114"/>
      <c r="Y89" s="115">
        <v>0</v>
      </c>
      <c r="Z89" s="116">
        <v>1</v>
      </c>
      <c r="AA89" s="117">
        <f t="shared" si="10"/>
        <v>0</v>
      </c>
      <c r="AB89" s="118">
        <f t="shared" si="11"/>
        <v>44959</v>
      </c>
      <c r="AC89" s="118">
        <f t="shared" si="9"/>
        <v>45615</v>
      </c>
      <c r="AD89" s="118">
        <f t="shared" si="12"/>
        <v>-656</v>
      </c>
      <c r="AE89" s="117">
        <f t="shared" si="13"/>
        <v>0</v>
      </c>
    </row>
    <row r="90" spans="2:31" ht="15.75" customHeight="1" thickBot="1" x14ac:dyDescent="0.25">
      <c r="B90" s="123">
        <f t="shared" si="16"/>
        <v>6</v>
      </c>
      <c r="C90" s="159"/>
      <c r="D90" s="123">
        <f t="shared" si="17"/>
        <v>27</v>
      </c>
      <c r="E90" s="159"/>
      <c r="F90" s="123">
        <f t="shared" si="17"/>
        <v>48</v>
      </c>
      <c r="G90" s="158"/>
      <c r="H90" s="123">
        <f t="shared" si="17"/>
        <v>69</v>
      </c>
      <c r="I90" s="158"/>
      <c r="J90" s="123">
        <f t="shared" si="17"/>
        <v>90</v>
      </c>
      <c r="K90" s="158"/>
      <c r="L90" s="123">
        <f t="shared" si="17"/>
        <v>111</v>
      </c>
      <c r="M90" s="158"/>
      <c r="N90" s="196"/>
      <c r="P90" s="124">
        <v>0</v>
      </c>
      <c r="Q90" s="124">
        <v>0.5</v>
      </c>
      <c r="R90" s="79">
        <v>20</v>
      </c>
      <c r="T90" s="113">
        <f t="shared" si="14"/>
        <v>14</v>
      </c>
      <c r="U90" s="113" t="s">
        <v>155</v>
      </c>
      <c r="V90" s="114"/>
      <c r="W90" s="114">
        <f t="shared" si="15"/>
        <v>45614</v>
      </c>
      <c r="X90" s="114"/>
      <c r="Y90" s="115">
        <v>0</v>
      </c>
      <c r="Z90" s="116">
        <v>1</v>
      </c>
      <c r="AA90" s="117">
        <f t="shared" si="10"/>
        <v>0</v>
      </c>
      <c r="AB90" s="118">
        <f t="shared" si="11"/>
        <v>44959</v>
      </c>
      <c r="AC90" s="118">
        <f t="shared" si="9"/>
        <v>45615</v>
      </c>
      <c r="AD90" s="118">
        <f t="shared" si="12"/>
        <v>-656</v>
      </c>
      <c r="AE90" s="117">
        <f t="shared" si="13"/>
        <v>0</v>
      </c>
    </row>
    <row r="91" spans="2:31" ht="15.75" customHeight="1" thickBot="1" x14ac:dyDescent="0.25">
      <c r="B91" s="123">
        <f t="shared" si="16"/>
        <v>7</v>
      </c>
      <c r="C91" s="159"/>
      <c r="D91" s="123">
        <f t="shared" si="17"/>
        <v>28</v>
      </c>
      <c r="E91" s="159"/>
      <c r="F91" s="123">
        <f t="shared" si="17"/>
        <v>49</v>
      </c>
      <c r="G91" s="158"/>
      <c r="H91" s="123">
        <f t="shared" si="17"/>
        <v>70</v>
      </c>
      <c r="I91" s="158"/>
      <c r="J91" s="123">
        <f t="shared" si="17"/>
        <v>91</v>
      </c>
      <c r="K91" s="158"/>
      <c r="L91" s="123">
        <f t="shared" si="17"/>
        <v>112</v>
      </c>
      <c r="M91" s="158"/>
      <c r="N91" s="196"/>
      <c r="P91" s="124">
        <v>0.5</v>
      </c>
      <c r="Q91" s="124">
        <v>0.75</v>
      </c>
      <c r="R91" s="79">
        <v>25</v>
      </c>
      <c r="T91" s="113">
        <f t="shared" si="14"/>
        <v>15</v>
      </c>
      <c r="U91" s="113" t="s">
        <v>156</v>
      </c>
      <c r="V91" s="114"/>
      <c r="W91" s="114">
        <f t="shared" si="15"/>
        <v>45614</v>
      </c>
      <c r="X91" s="114"/>
      <c r="Y91" s="115">
        <v>0</v>
      </c>
      <c r="Z91" s="116">
        <v>1</v>
      </c>
      <c r="AA91" s="117">
        <f t="shared" si="10"/>
        <v>0</v>
      </c>
      <c r="AB91" s="118">
        <f t="shared" si="11"/>
        <v>44959</v>
      </c>
      <c r="AC91" s="118">
        <f t="shared" si="9"/>
        <v>45615</v>
      </c>
      <c r="AD91" s="118">
        <f t="shared" si="12"/>
        <v>-656</v>
      </c>
      <c r="AE91" s="117">
        <f t="shared" si="13"/>
        <v>0</v>
      </c>
    </row>
    <row r="92" spans="2:31" ht="15.75" customHeight="1" thickBot="1" x14ac:dyDescent="0.25">
      <c r="B92" s="123">
        <f t="shared" si="16"/>
        <v>8</v>
      </c>
      <c r="C92" s="159"/>
      <c r="D92" s="123">
        <f t="shared" si="17"/>
        <v>29</v>
      </c>
      <c r="E92" s="159"/>
      <c r="F92" s="123">
        <f t="shared" si="17"/>
        <v>50</v>
      </c>
      <c r="G92" s="158"/>
      <c r="H92" s="123">
        <f t="shared" si="17"/>
        <v>71</v>
      </c>
      <c r="I92" s="158"/>
      <c r="J92" s="123">
        <f t="shared" si="17"/>
        <v>92</v>
      </c>
      <c r="K92" s="158"/>
      <c r="L92" s="123">
        <f t="shared" si="17"/>
        <v>113</v>
      </c>
      <c r="M92" s="158"/>
      <c r="N92" s="196"/>
      <c r="P92" s="124">
        <v>0.75</v>
      </c>
      <c r="Q92" s="124">
        <v>1</v>
      </c>
      <c r="R92" s="79">
        <v>30</v>
      </c>
      <c r="T92" s="113">
        <f t="shared" si="14"/>
        <v>16</v>
      </c>
      <c r="U92" s="113" t="s">
        <v>157</v>
      </c>
      <c r="V92" s="114"/>
      <c r="W92" s="114">
        <f t="shared" si="15"/>
        <v>45614</v>
      </c>
      <c r="X92" s="114"/>
      <c r="Y92" s="115">
        <v>0</v>
      </c>
      <c r="Z92" s="116">
        <v>1</v>
      </c>
      <c r="AA92" s="117">
        <f t="shared" si="10"/>
        <v>0</v>
      </c>
      <c r="AB92" s="118">
        <f t="shared" si="11"/>
        <v>44959</v>
      </c>
      <c r="AC92" s="118">
        <f t="shared" si="9"/>
        <v>45615</v>
      </c>
      <c r="AD92" s="118">
        <f t="shared" si="12"/>
        <v>-656</v>
      </c>
      <c r="AE92" s="117">
        <f t="shared" si="13"/>
        <v>0</v>
      </c>
    </row>
    <row r="93" spans="2:31" ht="15.75" customHeight="1" thickBot="1" x14ac:dyDescent="0.25">
      <c r="B93" s="123">
        <f t="shared" si="16"/>
        <v>9</v>
      </c>
      <c r="C93" s="159"/>
      <c r="D93" s="123">
        <f t="shared" si="17"/>
        <v>30</v>
      </c>
      <c r="E93" s="159"/>
      <c r="F93" s="123">
        <f t="shared" si="17"/>
        <v>51</v>
      </c>
      <c r="G93" s="158"/>
      <c r="H93" s="123">
        <f t="shared" si="17"/>
        <v>72</v>
      </c>
      <c r="I93" s="158"/>
      <c r="J93" s="123">
        <f t="shared" si="17"/>
        <v>93</v>
      </c>
      <c r="K93" s="158"/>
      <c r="L93" s="123">
        <f t="shared" si="17"/>
        <v>114</v>
      </c>
      <c r="M93" s="158"/>
      <c r="N93" s="196"/>
      <c r="P93" s="124">
        <v>1</v>
      </c>
      <c r="Q93" s="124">
        <v>1.5</v>
      </c>
      <c r="R93" s="79">
        <v>35</v>
      </c>
      <c r="T93" s="113">
        <f t="shared" si="14"/>
        <v>17</v>
      </c>
      <c r="U93" s="113" t="s">
        <v>158</v>
      </c>
      <c r="V93" s="114"/>
      <c r="W93" s="114">
        <f t="shared" si="15"/>
        <v>45614</v>
      </c>
      <c r="X93" s="114"/>
      <c r="Y93" s="115">
        <v>0</v>
      </c>
      <c r="Z93" s="116">
        <v>1</v>
      </c>
      <c r="AA93" s="117">
        <f t="shared" si="10"/>
        <v>0</v>
      </c>
      <c r="AB93" s="118">
        <f t="shared" si="11"/>
        <v>44959</v>
      </c>
      <c r="AC93" s="118">
        <f t="shared" si="9"/>
        <v>45615</v>
      </c>
      <c r="AD93" s="118">
        <f t="shared" si="12"/>
        <v>-656</v>
      </c>
      <c r="AE93" s="117">
        <f t="shared" si="13"/>
        <v>0</v>
      </c>
    </row>
    <row r="94" spans="2:31" ht="15.75" customHeight="1" thickBot="1" x14ac:dyDescent="0.25">
      <c r="B94" s="123">
        <f t="shared" si="16"/>
        <v>10</v>
      </c>
      <c r="C94" s="159"/>
      <c r="D94" s="123">
        <f t="shared" si="17"/>
        <v>31</v>
      </c>
      <c r="E94" s="159"/>
      <c r="F94" s="123">
        <f t="shared" si="17"/>
        <v>52</v>
      </c>
      <c r="G94" s="158"/>
      <c r="H94" s="123">
        <f t="shared" si="17"/>
        <v>73</v>
      </c>
      <c r="I94" s="158"/>
      <c r="J94" s="123">
        <f t="shared" si="17"/>
        <v>94</v>
      </c>
      <c r="K94" s="158"/>
      <c r="L94" s="123">
        <f t="shared" si="17"/>
        <v>115</v>
      </c>
      <c r="M94" s="158"/>
      <c r="N94" s="196"/>
      <c r="P94" s="124">
        <v>1.5</v>
      </c>
      <c r="Q94" s="124"/>
      <c r="R94" s="79">
        <v>40</v>
      </c>
      <c r="T94" s="113">
        <f t="shared" si="14"/>
        <v>18</v>
      </c>
      <c r="U94" s="113" t="s">
        <v>159</v>
      </c>
      <c r="V94" s="114"/>
      <c r="W94" s="114">
        <f t="shared" si="15"/>
        <v>45614</v>
      </c>
      <c r="X94" s="114"/>
      <c r="Y94" s="115">
        <v>0</v>
      </c>
      <c r="Z94" s="116">
        <v>1</v>
      </c>
      <c r="AA94" s="117">
        <f t="shared" si="10"/>
        <v>0</v>
      </c>
      <c r="AB94" s="118">
        <f t="shared" si="11"/>
        <v>44959</v>
      </c>
      <c r="AC94" s="118">
        <f t="shared" si="9"/>
        <v>45615</v>
      </c>
      <c r="AD94" s="118">
        <f t="shared" si="12"/>
        <v>-656</v>
      </c>
      <c r="AE94" s="117">
        <f t="shared" si="13"/>
        <v>0</v>
      </c>
    </row>
    <row r="95" spans="2:31" ht="15.75" customHeight="1" thickBot="1" x14ac:dyDescent="0.25">
      <c r="B95" s="123">
        <f t="shared" si="16"/>
        <v>11</v>
      </c>
      <c r="C95" s="158"/>
      <c r="D95" s="123">
        <f t="shared" si="17"/>
        <v>32</v>
      </c>
      <c r="E95" s="158"/>
      <c r="F95" s="123">
        <f t="shared" si="17"/>
        <v>53</v>
      </c>
      <c r="G95" s="158"/>
      <c r="H95" s="123">
        <f t="shared" si="17"/>
        <v>74</v>
      </c>
      <c r="I95" s="158"/>
      <c r="J95" s="123">
        <f t="shared" si="17"/>
        <v>95</v>
      </c>
      <c r="K95" s="158"/>
      <c r="L95" s="123">
        <f t="shared" si="17"/>
        <v>116</v>
      </c>
      <c r="M95" s="158"/>
      <c r="N95" s="196"/>
      <c r="P95" s="212" t="s">
        <v>160</v>
      </c>
      <c r="Q95" s="212"/>
      <c r="R95" s="99" t="s">
        <v>147</v>
      </c>
      <c r="T95" s="113">
        <f t="shared" si="14"/>
        <v>19</v>
      </c>
      <c r="U95" s="113" t="s">
        <v>161</v>
      </c>
      <c r="V95" s="114"/>
      <c r="W95" s="114">
        <f t="shared" si="15"/>
        <v>45614</v>
      </c>
      <c r="X95" s="114"/>
      <c r="Y95" s="115">
        <v>0</v>
      </c>
      <c r="Z95" s="116">
        <v>1</v>
      </c>
      <c r="AA95" s="117">
        <f t="shared" si="10"/>
        <v>0</v>
      </c>
      <c r="AB95" s="118">
        <f t="shared" si="11"/>
        <v>44959</v>
      </c>
      <c r="AC95" s="118">
        <f t="shared" si="9"/>
        <v>45615</v>
      </c>
      <c r="AD95" s="118">
        <f t="shared" si="12"/>
        <v>-656</v>
      </c>
      <c r="AE95" s="117">
        <f t="shared" si="13"/>
        <v>0</v>
      </c>
    </row>
    <row r="96" spans="2:31" ht="15.75" customHeight="1" thickBot="1" x14ac:dyDescent="0.25">
      <c r="B96" s="123">
        <f t="shared" si="16"/>
        <v>12</v>
      </c>
      <c r="C96" s="158"/>
      <c r="D96" s="123">
        <f t="shared" si="17"/>
        <v>33</v>
      </c>
      <c r="E96" s="158"/>
      <c r="F96" s="123">
        <f t="shared" si="17"/>
        <v>54</v>
      </c>
      <c r="G96" s="158"/>
      <c r="H96" s="123">
        <f t="shared" si="17"/>
        <v>75</v>
      </c>
      <c r="I96" s="158"/>
      <c r="J96" s="123">
        <f t="shared" si="17"/>
        <v>96</v>
      </c>
      <c r="K96" s="158"/>
      <c r="L96" s="123">
        <f t="shared" si="17"/>
        <v>117</v>
      </c>
      <c r="M96" s="158"/>
      <c r="N96" s="196"/>
      <c r="P96" s="79"/>
      <c r="Q96" s="79"/>
      <c r="R96" s="79">
        <v>0</v>
      </c>
      <c r="T96" s="113">
        <f t="shared" si="14"/>
        <v>20</v>
      </c>
      <c r="U96" s="113" t="s">
        <v>162</v>
      </c>
      <c r="V96" s="114"/>
      <c r="W96" s="114">
        <f t="shared" si="15"/>
        <v>45614</v>
      </c>
      <c r="X96" s="114"/>
      <c r="Y96" s="115">
        <v>0</v>
      </c>
      <c r="Z96" s="116">
        <v>1</v>
      </c>
      <c r="AA96" s="117">
        <f t="shared" si="10"/>
        <v>0</v>
      </c>
      <c r="AB96" s="118">
        <f t="shared" si="11"/>
        <v>44959</v>
      </c>
      <c r="AC96" s="118">
        <f t="shared" si="9"/>
        <v>45615</v>
      </c>
      <c r="AD96" s="118">
        <f t="shared" si="12"/>
        <v>-656</v>
      </c>
      <c r="AE96" s="117">
        <f t="shared" si="13"/>
        <v>0</v>
      </c>
    </row>
    <row r="97" spans="2:31" ht="15.75" customHeight="1" thickBot="1" x14ac:dyDescent="0.25">
      <c r="B97" s="123">
        <f t="shared" si="16"/>
        <v>13</v>
      </c>
      <c r="C97" s="158"/>
      <c r="D97" s="123">
        <f t="shared" si="17"/>
        <v>34</v>
      </c>
      <c r="E97" s="158"/>
      <c r="F97" s="123">
        <f t="shared" si="17"/>
        <v>55</v>
      </c>
      <c r="G97" s="158"/>
      <c r="H97" s="123">
        <f t="shared" si="17"/>
        <v>76</v>
      </c>
      <c r="I97" s="158"/>
      <c r="J97" s="123">
        <f t="shared" si="17"/>
        <v>97</v>
      </c>
      <c r="K97" s="158"/>
      <c r="L97" s="123">
        <f t="shared" si="17"/>
        <v>118</v>
      </c>
      <c r="M97" s="158"/>
      <c r="N97" s="196"/>
      <c r="P97" s="79">
        <v>0</v>
      </c>
      <c r="Q97" s="79">
        <v>5</v>
      </c>
      <c r="R97" s="79">
        <v>20</v>
      </c>
      <c r="T97" s="113">
        <f t="shared" si="14"/>
        <v>21</v>
      </c>
      <c r="U97" s="113" t="s">
        <v>163</v>
      </c>
      <c r="V97" s="114"/>
      <c r="W97" s="114">
        <f t="shared" si="15"/>
        <v>45614</v>
      </c>
      <c r="X97" s="114"/>
      <c r="Y97" s="115">
        <v>0</v>
      </c>
      <c r="Z97" s="116">
        <v>1</v>
      </c>
      <c r="AA97" s="117">
        <f t="shared" si="10"/>
        <v>0</v>
      </c>
      <c r="AB97" s="118">
        <f t="shared" si="11"/>
        <v>44959</v>
      </c>
      <c r="AC97" s="118">
        <f t="shared" si="9"/>
        <v>45615</v>
      </c>
      <c r="AD97" s="118">
        <f t="shared" si="12"/>
        <v>-656</v>
      </c>
      <c r="AE97" s="117">
        <f t="shared" si="13"/>
        <v>0</v>
      </c>
    </row>
    <row r="98" spans="2:31" ht="15.75" customHeight="1" thickBot="1" x14ac:dyDescent="0.25">
      <c r="B98" s="123">
        <f t="shared" si="16"/>
        <v>14</v>
      </c>
      <c r="C98" s="158"/>
      <c r="D98" s="123">
        <f t="shared" si="17"/>
        <v>35</v>
      </c>
      <c r="E98" s="158"/>
      <c r="F98" s="123">
        <f t="shared" si="17"/>
        <v>56</v>
      </c>
      <c r="G98" s="158"/>
      <c r="H98" s="123">
        <f t="shared" si="17"/>
        <v>77</v>
      </c>
      <c r="I98" s="158"/>
      <c r="J98" s="123">
        <f t="shared" si="17"/>
        <v>98</v>
      </c>
      <c r="K98" s="158"/>
      <c r="L98" s="123">
        <f t="shared" si="17"/>
        <v>119</v>
      </c>
      <c r="M98" s="158"/>
      <c r="N98" s="196"/>
      <c r="P98" s="79">
        <v>5</v>
      </c>
      <c r="Q98" s="79">
        <v>10</v>
      </c>
      <c r="R98" s="79">
        <v>30</v>
      </c>
      <c r="T98" s="113">
        <f t="shared" si="14"/>
        <v>22</v>
      </c>
      <c r="U98" s="113" t="s">
        <v>164</v>
      </c>
      <c r="V98" s="114"/>
      <c r="W98" s="114">
        <f t="shared" si="15"/>
        <v>45614</v>
      </c>
      <c r="X98" s="114"/>
      <c r="Y98" s="115">
        <v>0</v>
      </c>
      <c r="Z98" s="116">
        <v>1</v>
      </c>
      <c r="AA98" s="117">
        <f t="shared" si="10"/>
        <v>0</v>
      </c>
      <c r="AB98" s="118">
        <f t="shared" si="11"/>
        <v>44959</v>
      </c>
      <c r="AC98" s="118">
        <f t="shared" si="9"/>
        <v>45615</v>
      </c>
      <c r="AD98" s="118">
        <f t="shared" si="12"/>
        <v>-656</v>
      </c>
      <c r="AE98" s="117">
        <f t="shared" si="13"/>
        <v>0</v>
      </c>
    </row>
    <row r="99" spans="2:31" ht="15.75" customHeight="1" thickBot="1" x14ac:dyDescent="0.25">
      <c r="B99" s="123">
        <f t="shared" si="16"/>
        <v>15</v>
      </c>
      <c r="C99" s="158"/>
      <c r="D99" s="123">
        <f t="shared" si="17"/>
        <v>36</v>
      </c>
      <c r="E99" s="158"/>
      <c r="F99" s="123">
        <f t="shared" si="17"/>
        <v>57</v>
      </c>
      <c r="G99" s="158"/>
      <c r="H99" s="123">
        <f t="shared" si="17"/>
        <v>78</v>
      </c>
      <c r="I99" s="158"/>
      <c r="J99" s="123">
        <f t="shared" si="17"/>
        <v>99</v>
      </c>
      <c r="K99" s="158"/>
      <c r="L99" s="123">
        <f t="shared" si="17"/>
        <v>120</v>
      </c>
      <c r="M99" s="158"/>
      <c r="N99" s="196"/>
      <c r="O99" s="125"/>
      <c r="P99" s="79">
        <v>10</v>
      </c>
      <c r="Q99" s="79"/>
      <c r="R99" s="79">
        <v>40</v>
      </c>
      <c r="T99" s="113">
        <f t="shared" si="14"/>
        <v>23</v>
      </c>
      <c r="U99" s="113" t="s">
        <v>165</v>
      </c>
      <c r="V99" s="114"/>
      <c r="W99" s="114">
        <f t="shared" si="15"/>
        <v>45614</v>
      </c>
      <c r="X99" s="114"/>
      <c r="Y99" s="115">
        <v>0</v>
      </c>
      <c r="Z99" s="116">
        <v>1</v>
      </c>
      <c r="AA99" s="117">
        <f t="shared" si="10"/>
        <v>0</v>
      </c>
      <c r="AB99" s="118">
        <f t="shared" si="11"/>
        <v>44959</v>
      </c>
      <c r="AC99" s="118">
        <f t="shared" si="9"/>
        <v>45615</v>
      </c>
      <c r="AD99" s="118">
        <f t="shared" si="12"/>
        <v>-656</v>
      </c>
      <c r="AE99" s="117">
        <f t="shared" si="13"/>
        <v>0</v>
      </c>
    </row>
    <row r="100" spans="2:31" ht="15.75" customHeight="1" thickBot="1" x14ac:dyDescent="0.25">
      <c r="B100" s="123">
        <f t="shared" si="16"/>
        <v>16</v>
      </c>
      <c r="C100" s="158"/>
      <c r="D100" s="123">
        <f t="shared" si="17"/>
        <v>37</v>
      </c>
      <c r="E100" s="158"/>
      <c r="F100" s="123">
        <f t="shared" si="17"/>
        <v>58</v>
      </c>
      <c r="G100" s="158"/>
      <c r="H100" s="123">
        <f t="shared" si="17"/>
        <v>79</v>
      </c>
      <c r="I100" s="158"/>
      <c r="J100" s="123">
        <f t="shared" si="17"/>
        <v>100</v>
      </c>
      <c r="K100" s="158"/>
      <c r="L100" s="123">
        <f t="shared" si="17"/>
        <v>121</v>
      </c>
      <c r="M100" s="158"/>
      <c r="N100" s="196"/>
      <c r="O100" s="125"/>
      <c r="T100" s="113">
        <f t="shared" si="14"/>
        <v>24</v>
      </c>
      <c r="U100" s="113" t="s">
        <v>166</v>
      </c>
      <c r="V100" s="114"/>
      <c r="W100" s="114">
        <f t="shared" si="15"/>
        <v>45614</v>
      </c>
      <c r="X100" s="114"/>
      <c r="Y100" s="115">
        <v>0</v>
      </c>
      <c r="Z100" s="116">
        <v>1</v>
      </c>
      <c r="AA100" s="117">
        <f t="shared" si="10"/>
        <v>0</v>
      </c>
      <c r="AB100" s="118">
        <f t="shared" si="11"/>
        <v>44959</v>
      </c>
      <c r="AC100" s="118">
        <f t="shared" si="9"/>
        <v>45615</v>
      </c>
      <c r="AD100" s="118">
        <f t="shared" si="12"/>
        <v>-656</v>
      </c>
      <c r="AE100" s="117">
        <f t="shared" si="13"/>
        <v>0</v>
      </c>
    </row>
    <row r="101" spans="2:31" ht="15.75" customHeight="1" thickBot="1" x14ac:dyDescent="0.25">
      <c r="B101" s="123">
        <f t="shared" si="16"/>
        <v>17</v>
      </c>
      <c r="C101" s="158"/>
      <c r="D101" s="123">
        <f t="shared" si="17"/>
        <v>38</v>
      </c>
      <c r="E101" s="158"/>
      <c r="F101" s="123">
        <f t="shared" si="17"/>
        <v>59</v>
      </c>
      <c r="G101" s="158"/>
      <c r="H101" s="123">
        <f t="shared" si="17"/>
        <v>80</v>
      </c>
      <c r="I101" s="158"/>
      <c r="J101" s="123">
        <f t="shared" si="17"/>
        <v>101</v>
      </c>
      <c r="K101" s="158"/>
      <c r="L101" s="123">
        <f t="shared" si="17"/>
        <v>122</v>
      </c>
      <c r="M101" s="158"/>
      <c r="N101" s="196"/>
      <c r="O101" s="125"/>
      <c r="R101" s="130" t="s">
        <v>213</v>
      </c>
      <c r="T101" s="113">
        <f t="shared" si="14"/>
        <v>25</v>
      </c>
      <c r="U101" s="113" t="s">
        <v>168</v>
      </c>
      <c r="V101" s="114"/>
      <c r="W101" s="114">
        <f t="shared" si="15"/>
        <v>45614</v>
      </c>
      <c r="X101" s="114"/>
      <c r="Y101" s="115">
        <v>0</v>
      </c>
      <c r="Z101" s="116">
        <v>1</v>
      </c>
      <c r="AA101" s="117">
        <f t="shared" si="10"/>
        <v>0</v>
      </c>
      <c r="AB101" s="118">
        <f t="shared" si="11"/>
        <v>44959</v>
      </c>
      <c r="AC101" s="118">
        <f t="shared" si="9"/>
        <v>45615</v>
      </c>
      <c r="AD101" s="118">
        <f t="shared" si="12"/>
        <v>-656</v>
      </c>
      <c r="AE101" s="117">
        <f t="shared" si="13"/>
        <v>0</v>
      </c>
    </row>
    <row r="102" spans="2:31" ht="15.75" customHeight="1" thickBot="1" x14ac:dyDescent="0.25">
      <c r="B102" s="123">
        <f t="shared" si="16"/>
        <v>18</v>
      </c>
      <c r="C102" s="158"/>
      <c r="D102" s="123">
        <f t="shared" si="17"/>
        <v>39</v>
      </c>
      <c r="E102" s="158"/>
      <c r="F102" s="123">
        <f t="shared" si="17"/>
        <v>60</v>
      </c>
      <c r="G102" s="158"/>
      <c r="H102" s="123">
        <f t="shared" si="17"/>
        <v>81</v>
      </c>
      <c r="I102" s="158"/>
      <c r="J102" s="123">
        <f t="shared" si="17"/>
        <v>102</v>
      </c>
      <c r="K102" s="158"/>
      <c r="L102" s="123">
        <f t="shared" si="17"/>
        <v>123</v>
      </c>
      <c r="M102" s="158"/>
      <c r="N102" s="196"/>
      <c r="O102" s="125"/>
      <c r="P102" s="82" t="s">
        <v>201</v>
      </c>
      <c r="R102" s="131">
        <v>17282722097</v>
      </c>
      <c r="T102" s="113">
        <f t="shared" si="14"/>
        <v>26</v>
      </c>
      <c r="U102" s="113" t="s">
        <v>170</v>
      </c>
      <c r="V102" s="114"/>
      <c r="W102" s="114">
        <f t="shared" si="15"/>
        <v>45614</v>
      </c>
      <c r="X102" s="114"/>
      <c r="Y102" s="115">
        <v>0</v>
      </c>
      <c r="Z102" s="116">
        <v>1</v>
      </c>
      <c r="AA102" s="117">
        <f t="shared" si="10"/>
        <v>0</v>
      </c>
      <c r="AB102" s="118">
        <f t="shared" si="11"/>
        <v>44959</v>
      </c>
      <c r="AC102" s="118">
        <f t="shared" si="9"/>
        <v>45615</v>
      </c>
      <c r="AD102" s="118">
        <f t="shared" si="12"/>
        <v>-656</v>
      </c>
      <c r="AE102" s="117">
        <f t="shared" si="13"/>
        <v>0</v>
      </c>
    </row>
    <row r="103" spans="2:31" ht="15.75" customHeight="1" thickBot="1" x14ac:dyDescent="0.25">
      <c r="B103" s="123">
        <f t="shared" si="16"/>
        <v>19</v>
      </c>
      <c r="C103" s="158"/>
      <c r="D103" s="123">
        <f t="shared" si="17"/>
        <v>40</v>
      </c>
      <c r="E103" s="158"/>
      <c r="F103" s="123">
        <f t="shared" si="17"/>
        <v>61</v>
      </c>
      <c r="G103" s="158"/>
      <c r="H103" s="123">
        <f t="shared" si="17"/>
        <v>82</v>
      </c>
      <c r="I103" s="158"/>
      <c r="J103" s="123">
        <f t="shared" si="17"/>
        <v>103</v>
      </c>
      <c r="K103" s="158"/>
      <c r="L103" s="123">
        <f t="shared" si="17"/>
        <v>124</v>
      </c>
      <c r="M103" s="158"/>
      <c r="N103" s="196"/>
      <c r="O103" s="125"/>
      <c r="P103" s="82" t="s">
        <v>214</v>
      </c>
      <c r="R103" s="131">
        <v>14101948434</v>
      </c>
      <c r="T103" s="113">
        <f t="shared" si="14"/>
        <v>27</v>
      </c>
      <c r="U103" s="113" t="s">
        <v>172</v>
      </c>
      <c r="V103" s="114"/>
      <c r="W103" s="114">
        <f t="shared" si="15"/>
        <v>45614</v>
      </c>
      <c r="X103" s="114"/>
      <c r="Y103" s="115">
        <v>0</v>
      </c>
      <c r="Z103" s="116">
        <v>1</v>
      </c>
      <c r="AA103" s="117">
        <f t="shared" si="10"/>
        <v>0</v>
      </c>
      <c r="AB103" s="118">
        <f t="shared" si="11"/>
        <v>44959</v>
      </c>
      <c r="AC103" s="118">
        <f t="shared" si="9"/>
        <v>45615</v>
      </c>
      <c r="AD103" s="118">
        <f t="shared" si="12"/>
        <v>-656</v>
      </c>
      <c r="AE103" s="117">
        <f t="shared" si="13"/>
        <v>0</v>
      </c>
    </row>
    <row r="104" spans="2:31" ht="15.75" customHeight="1" thickBot="1" x14ac:dyDescent="0.25">
      <c r="B104" s="123">
        <f t="shared" si="16"/>
        <v>20</v>
      </c>
      <c r="C104" s="158"/>
      <c r="D104" s="123">
        <f t="shared" si="17"/>
        <v>41</v>
      </c>
      <c r="E104" s="158"/>
      <c r="F104" s="123">
        <f t="shared" si="17"/>
        <v>62</v>
      </c>
      <c r="G104" s="158"/>
      <c r="H104" s="123">
        <f t="shared" si="17"/>
        <v>83</v>
      </c>
      <c r="I104" s="158"/>
      <c r="J104" s="123">
        <f t="shared" si="17"/>
        <v>104</v>
      </c>
      <c r="K104" s="158"/>
      <c r="L104" s="123">
        <f t="shared" si="17"/>
        <v>125</v>
      </c>
      <c r="M104" s="158"/>
      <c r="N104" s="196"/>
      <c r="O104" s="125"/>
      <c r="P104" s="82" t="s">
        <v>202</v>
      </c>
      <c r="R104" s="131">
        <v>8860786921</v>
      </c>
      <c r="T104" s="113">
        <f t="shared" si="14"/>
        <v>28</v>
      </c>
      <c r="U104" s="113" t="s">
        <v>174</v>
      </c>
      <c r="V104" s="114"/>
      <c r="W104" s="114">
        <f t="shared" si="15"/>
        <v>45614</v>
      </c>
      <c r="X104" s="114"/>
      <c r="Y104" s="115">
        <v>0</v>
      </c>
      <c r="Z104" s="116">
        <v>1</v>
      </c>
      <c r="AA104" s="117">
        <f t="shared" si="10"/>
        <v>0</v>
      </c>
      <c r="AB104" s="118">
        <f t="shared" si="11"/>
        <v>44959</v>
      </c>
      <c r="AC104" s="118">
        <f t="shared" si="9"/>
        <v>45615</v>
      </c>
      <c r="AD104" s="118">
        <f t="shared" si="12"/>
        <v>-656</v>
      </c>
      <c r="AE104" s="117">
        <f t="shared" si="13"/>
        <v>0</v>
      </c>
    </row>
    <row r="105" spans="2:31" ht="15.75" customHeight="1" thickBot="1" x14ac:dyDescent="0.25">
      <c r="B105" s="123">
        <f t="shared" si="16"/>
        <v>21</v>
      </c>
      <c r="C105" s="158"/>
      <c r="D105" s="123">
        <f t="shared" si="17"/>
        <v>42</v>
      </c>
      <c r="E105" s="158"/>
      <c r="F105" s="123">
        <f t="shared" si="17"/>
        <v>63</v>
      </c>
      <c r="G105" s="158"/>
      <c r="H105" s="123">
        <f t="shared" si="17"/>
        <v>84</v>
      </c>
      <c r="I105" s="158"/>
      <c r="J105" s="123">
        <f t="shared" si="17"/>
        <v>105</v>
      </c>
      <c r="K105" s="158"/>
      <c r="L105" s="123">
        <f t="shared" si="17"/>
        <v>126</v>
      </c>
      <c r="M105" s="158"/>
      <c r="N105" s="197"/>
      <c r="P105" s="82" t="s">
        <v>203</v>
      </c>
      <c r="R105" s="131">
        <v>19587312969</v>
      </c>
      <c r="T105" s="113">
        <f t="shared" si="14"/>
        <v>29</v>
      </c>
      <c r="U105" s="113" t="s">
        <v>176</v>
      </c>
      <c r="V105" s="114"/>
      <c r="W105" s="114">
        <f t="shared" si="15"/>
        <v>45614</v>
      </c>
      <c r="X105" s="114"/>
      <c r="Y105" s="115">
        <v>0</v>
      </c>
      <c r="Z105" s="116">
        <v>1</v>
      </c>
      <c r="AA105" s="117">
        <f t="shared" si="10"/>
        <v>0</v>
      </c>
      <c r="AB105" s="118">
        <f t="shared" si="11"/>
        <v>44959</v>
      </c>
      <c r="AC105" s="118">
        <f t="shared" si="9"/>
        <v>45615</v>
      </c>
      <c r="AD105" s="118">
        <f t="shared" si="12"/>
        <v>-656</v>
      </c>
      <c r="AE105" s="117">
        <f t="shared" si="13"/>
        <v>0</v>
      </c>
    </row>
    <row r="106" spans="2:31" ht="15.75" customHeight="1" thickBot="1" x14ac:dyDescent="0.25">
      <c r="B106" s="161" t="s">
        <v>167</v>
      </c>
      <c r="C106" s="161"/>
      <c r="D106" s="161"/>
      <c r="E106" s="161"/>
      <c r="F106" s="161"/>
      <c r="G106" s="161"/>
      <c r="H106" s="161"/>
      <c r="I106" s="161"/>
      <c r="J106" s="198">
        <f>SUM(C85:C105,G85:G105,K85:K105,E85:E105,I85:I105,K85:K105,M85:M105)</f>
        <v>0</v>
      </c>
      <c r="K106" s="198"/>
      <c r="L106" s="198"/>
      <c r="M106" s="198"/>
      <c r="N106" s="198"/>
      <c r="P106" s="82" t="s">
        <v>204</v>
      </c>
      <c r="R106" s="131">
        <v>10049355290</v>
      </c>
      <c r="T106" s="113">
        <f t="shared" si="14"/>
        <v>30</v>
      </c>
      <c r="U106" s="113" t="s">
        <v>178</v>
      </c>
      <c r="V106" s="114"/>
      <c r="W106" s="114">
        <f t="shared" si="15"/>
        <v>45614</v>
      </c>
      <c r="X106" s="114"/>
      <c r="Y106" s="115">
        <v>0</v>
      </c>
      <c r="Z106" s="116">
        <v>1</v>
      </c>
      <c r="AA106" s="117">
        <f t="shared" si="10"/>
        <v>0</v>
      </c>
      <c r="AB106" s="118">
        <f t="shared" si="11"/>
        <v>44959</v>
      </c>
      <c r="AC106" s="118">
        <f t="shared" si="9"/>
        <v>45615</v>
      </c>
      <c r="AD106" s="118">
        <f t="shared" si="12"/>
        <v>-656</v>
      </c>
      <c r="AE106" s="117">
        <f t="shared" si="13"/>
        <v>0</v>
      </c>
    </row>
    <row r="107" spans="2:31" ht="15.75" customHeight="1" thickBot="1" x14ac:dyDescent="0.25">
      <c r="B107" s="161" t="s">
        <v>171</v>
      </c>
      <c r="C107" s="161"/>
      <c r="D107" s="161"/>
      <c r="E107" s="161"/>
      <c r="F107" s="161"/>
      <c r="G107" s="161"/>
      <c r="H107" s="161"/>
      <c r="I107" s="161"/>
      <c r="J107" s="212">
        <f>IFERROR(J106/(($B$19)*I73),0)</f>
        <v>0</v>
      </c>
      <c r="K107" s="212"/>
      <c r="L107" s="212"/>
      <c r="M107" s="212"/>
      <c r="N107" s="212"/>
      <c r="P107" s="82" t="s">
        <v>205</v>
      </c>
      <c r="R107" s="131">
        <v>16751309190</v>
      </c>
      <c r="T107" s="113">
        <f t="shared" si="14"/>
        <v>31</v>
      </c>
      <c r="U107" s="113" t="s">
        <v>180</v>
      </c>
      <c r="V107" s="114"/>
      <c r="W107" s="114">
        <f t="shared" si="15"/>
        <v>45614</v>
      </c>
      <c r="X107" s="114"/>
      <c r="Y107" s="115">
        <v>0</v>
      </c>
      <c r="Z107" s="116">
        <v>1</v>
      </c>
      <c r="AA107" s="117">
        <f t="shared" si="10"/>
        <v>0</v>
      </c>
      <c r="AB107" s="118">
        <f t="shared" si="11"/>
        <v>44959</v>
      </c>
      <c r="AC107" s="118">
        <f t="shared" si="9"/>
        <v>45615</v>
      </c>
      <c r="AD107" s="118">
        <f t="shared" si="12"/>
        <v>-656</v>
      </c>
      <c r="AE107" s="117">
        <f t="shared" si="13"/>
        <v>0</v>
      </c>
    </row>
    <row r="108" spans="2:31" ht="15.75" customHeight="1" x14ac:dyDescent="0.2">
      <c r="B108" s="161" t="s">
        <v>173</v>
      </c>
      <c r="C108" s="161"/>
      <c r="D108" s="161"/>
      <c r="E108" s="161"/>
      <c r="F108" s="161"/>
      <c r="G108" s="161"/>
      <c r="H108" s="161"/>
      <c r="I108" s="161"/>
      <c r="J108" s="161"/>
      <c r="K108" s="161"/>
      <c r="L108" s="211">
        <f>IF(J107&gt;P88,R88,IF(J107&gt;P87,R87,IF(J107&gt;P86,R86,R85)))</f>
        <v>60</v>
      </c>
      <c r="M108" s="211"/>
      <c r="N108" s="211"/>
      <c r="O108" s="125"/>
      <c r="P108" s="82" t="s">
        <v>206</v>
      </c>
      <c r="R108" s="131">
        <v>14142724014</v>
      </c>
      <c r="T108" s="113">
        <f t="shared" si="14"/>
        <v>32</v>
      </c>
      <c r="U108" s="113" t="s">
        <v>182</v>
      </c>
      <c r="V108" s="114"/>
      <c r="W108" s="114">
        <f t="shared" si="15"/>
        <v>45614</v>
      </c>
      <c r="X108" s="114"/>
      <c r="Y108" s="115">
        <v>0</v>
      </c>
      <c r="Z108" s="116">
        <v>1</v>
      </c>
      <c r="AA108" s="117">
        <f t="shared" si="10"/>
        <v>0</v>
      </c>
      <c r="AB108" s="118">
        <f t="shared" si="11"/>
        <v>44959</v>
      </c>
      <c r="AC108" s="118">
        <f t="shared" si="9"/>
        <v>45615</v>
      </c>
      <c r="AD108" s="118">
        <f t="shared" si="12"/>
        <v>-656</v>
      </c>
      <c r="AE108" s="117">
        <f t="shared" si="13"/>
        <v>0</v>
      </c>
    </row>
    <row r="109" spans="2:31" ht="15.75" customHeight="1" x14ac:dyDescent="0.25">
      <c r="B109" s="212" t="s">
        <v>215</v>
      </c>
      <c r="C109" s="212"/>
      <c r="D109" s="212"/>
      <c r="E109" s="212"/>
      <c r="F109" s="212"/>
      <c r="G109" s="212"/>
      <c r="H109" s="212"/>
      <c r="I109" s="212"/>
      <c r="J109" s="212"/>
      <c r="K109" s="212"/>
      <c r="L109" s="212"/>
      <c r="M109" s="212"/>
      <c r="N109" s="212"/>
      <c r="O109" s="125"/>
      <c r="T109" s="113">
        <f t="shared" si="14"/>
        <v>33</v>
      </c>
      <c r="U109" s="113" t="s">
        <v>184</v>
      </c>
      <c r="V109" s="114"/>
      <c r="W109" s="114">
        <f t="shared" si="15"/>
        <v>45614</v>
      </c>
      <c r="X109" s="114"/>
      <c r="Y109" s="115">
        <v>0</v>
      </c>
      <c r="Z109" s="116">
        <v>1</v>
      </c>
      <c r="AA109" s="117">
        <f t="shared" si="10"/>
        <v>0</v>
      </c>
      <c r="AB109" s="118">
        <f t="shared" si="11"/>
        <v>44959</v>
      </c>
      <c r="AC109" s="118">
        <f t="shared" si="9"/>
        <v>45615</v>
      </c>
      <c r="AD109" s="118">
        <f t="shared" si="12"/>
        <v>-656</v>
      </c>
      <c r="AE109" s="117">
        <f t="shared" si="13"/>
        <v>0</v>
      </c>
    </row>
    <row r="110" spans="2:31" ht="15.75" customHeight="1" x14ac:dyDescent="0.2">
      <c r="B110" s="186"/>
      <c r="C110" s="187"/>
      <c r="D110" s="187"/>
      <c r="E110" s="187"/>
      <c r="F110" s="187"/>
      <c r="G110" s="188"/>
      <c r="H110" s="223" t="s">
        <v>177</v>
      </c>
      <c r="I110" s="223"/>
      <c r="J110" s="223"/>
      <c r="K110" s="223"/>
      <c r="L110" s="224">
        <f>$I$8</f>
        <v>0</v>
      </c>
      <c r="M110" s="224"/>
      <c r="N110" s="224"/>
      <c r="O110" s="125"/>
      <c r="R110" s="130" t="s">
        <v>216</v>
      </c>
      <c r="T110" s="113">
        <f t="shared" si="14"/>
        <v>34</v>
      </c>
      <c r="U110" s="113" t="s">
        <v>186</v>
      </c>
      <c r="V110" s="114"/>
      <c r="W110" s="114">
        <f t="shared" si="15"/>
        <v>45614</v>
      </c>
      <c r="X110" s="114"/>
      <c r="Y110" s="115">
        <v>0</v>
      </c>
      <c r="Z110" s="116">
        <v>1</v>
      </c>
      <c r="AA110" s="117">
        <f t="shared" si="10"/>
        <v>0</v>
      </c>
      <c r="AB110" s="118">
        <f t="shared" si="11"/>
        <v>44959</v>
      </c>
      <c r="AC110" s="118">
        <f t="shared" si="9"/>
        <v>45615</v>
      </c>
      <c r="AD110" s="118">
        <f t="shared" si="12"/>
        <v>-656</v>
      </c>
      <c r="AE110" s="117">
        <f t="shared" si="13"/>
        <v>0</v>
      </c>
    </row>
    <row r="111" spans="2:31" ht="15.75" customHeight="1" x14ac:dyDescent="0.2">
      <c r="B111" s="189"/>
      <c r="C111" s="190"/>
      <c r="D111" s="190"/>
      <c r="E111" s="190"/>
      <c r="F111" s="190"/>
      <c r="G111" s="191"/>
      <c r="H111" s="223" t="s">
        <v>179</v>
      </c>
      <c r="I111" s="223"/>
      <c r="J111" s="223"/>
      <c r="K111" s="223"/>
      <c r="L111" s="224">
        <f>$J$8</f>
        <v>0</v>
      </c>
      <c r="M111" s="224"/>
      <c r="N111" s="224"/>
      <c r="O111" s="125"/>
      <c r="P111" s="82" t="s">
        <v>201</v>
      </c>
      <c r="R111" s="131">
        <v>8053415585</v>
      </c>
      <c r="T111" s="113">
        <f t="shared" si="14"/>
        <v>35</v>
      </c>
      <c r="U111" s="113" t="s">
        <v>187</v>
      </c>
      <c r="V111" s="114"/>
      <c r="W111" s="114">
        <f t="shared" si="15"/>
        <v>45614</v>
      </c>
      <c r="X111" s="114"/>
      <c r="Y111" s="115">
        <v>0</v>
      </c>
      <c r="Z111" s="116">
        <v>1</v>
      </c>
      <c r="AA111" s="117">
        <f t="shared" si="10"/>
        <v>0</v>
      </c>
      <c r="AB111" s="118">
        <f t="shared" si="11"/>
        <v>44959</v>
      </c>
      <c r="AC111" s="118">
        <f t="shared" si="9"/>
        <v>45615</v>
      </c>
      <c r="AD111" s="118">
        <f t="shared" si="12"/>
        <v>-656</v>
      </c>
      <c r="AE111" s="117">
        <f t="shared" si="13"/>
        <v>0</v>
      </c>
    </row>
    <row r="112" spans="2:31" ht="15.75" customHeight="1" x14ac:dyDescent="0.2">
      <c r="B112" s="192"/>
      <c r="C112" s="193"/>
      <c r="D112" s="193"/>
      <c r="E112" s="193"/>
      <c r="F112" s="193"/>
      <c r="G112" s="194"/>
      <c r="H112" s="161" t="s">
        <v>181</v>
      </c>
      <c r="I112" s="161"/>
      <c r="J112" s="161"/>
      <c r="K112" s="161"/>
      <c r="L112" s="210">
        <f>IFERROR(ROUND(L110/L111,2),0)</f>
        <v>0</v>
      </c>
      <c r="M112" s="210"/>
      <c r="N112" s="210"/>
      <c r="O112" s="125"/>
      <c r="P112" s="82" t="s">
        <v>214</v>
      </c>
      <c r="R112" s="131">
        <v>6562161350</v>
      </c>
      <c r="T112" s="113">
        <f t="shared" si="14"/>
        <v>36</v>
      </c>
      <c r="U112" s="113" t="s">
        <v>189</v>
      </c>
      <c r="V112" s="114"/>
      <c r="W112" s="114">
        <f t="shared" si="15"/>
        <v>45614</v>
      </c>
      <c r="X112" s="114"/>
      <c r="Y112" s="115">
        <v>0</v>
      </c>
      <c r="Z112" s="116">
        <v>1</v>
      </c>
      <c r="AA112" s="117">
        <f t="shared" si="10"/>
        <v>0</v>
      </c>
      <c r="AB112" s="118">
        <f t="shared" si="11"/>
        <v>44959</v>
      </c>
      <c r="AC112" s="118">
        <f t="shared" si="9"/>
        <v>45615</v>
      </c>
      <c r="AD112" s="118">
        <f t="shared" si="12"/>
        <v>-656</v>
      </c>
      <c r="AE112" s="117">
        <f t="shared" si="13"/>
        <v>0</v>
      </c>
    </row>
    <row r="113" spans="2:31" ht="15.75" customHeight="1" x14ac:dyDescent="0.2">
      <c r="B113" s="161" t="s">
        <v>183</v>
      </c>
      <c r="C113" s="161"/>
      <c r="D113" s="161"/>
      <c r="E113" s="161"/>
      <c r="F113" s="161"/>
      <c r="G113" s="161"/>
      <c r="H113" s="161"/>
      <c r="I113" s="161"/>
      <c r="J113" s="161"/>
      <c r="K113" s="161"/>
      <c r="L113" s="211">
        <f>IF(L112&gt;P94,R94,IF(L112&gt;P93,R93,IF(L112&gt;P92,R92,IF(L112&gt;P91,R91,R90))))</f>
        <v>20</v>
      </c>
      <c r="M113" s="211"/>
      <c r="N113" s="211"/>
      <c r="O113" s="125"/>
      <c r="P113" s="82" t="s">
        <v>202</v>
      </c>
      <c r="R113" s="131">
        <v>4132783282</v>
      </c>
      <c r="T113" s="113">
        <f>T112+1</f>
        <v>37</v>
      </c>
      <c r="U113" s="113" t="s">
        <v>190</v>
      </c>
      <c r="V113" s="114"/>
      <c r="W113" s="114">
        <f>W112</f>
        <v>45614</v>
      </c>
      <c r="X113" s="114"/>
      <c r="Y113" s="115">
        <v>0</v>
      </c>
      <c r="Z113" s="116">
        <v>1</v>
      </c>
      <c r="AA113" s="117">
        <f t="shared" si="10"/>
        <v>0</v>
      </c>
      <c r="AB113" s="118">
        <f t="shared" si="11"/>
        <v>44959</v>
      </c>
      <c r="AC113" s="118">
        <f t="shared" si="9"/>
        <v>45615</v>
      </c>
      <c r="AD113" s="118">
        <f t="shared" si="12"/>
        <v>-656</v>
      </c>
      <c r="AE113" s="117">
        <f t="shared" si="13"/>
        <v>0</v>
      </c>
    </row>
    <row r="114" spans="2:31" ht="15.75" customHeight="1" x14ac:dyDescent="0.25">
      <c r="B114" s="212" t="s">
        <v>185</v>
      </c>
      <c r="C114" s="212"/>
      <c r="D114" s="212"/>
      <c r="E114" s="212"/>
      <c r="F114" s="212"/>
      <c r="G114" s="212"/>
      <c r="H114" s="212"/>
      <c r="I114" s="212"/>
      <c r="J114" s="212"/>
      <c r="K114" s="212"/>
      <c r="L114" s="212"/>
      <c r="M114" s="212"/>
      <c r="N114" s="212"/>
      <c r="P114" s="82" t="s">
        <v>203</v>
      </c>
      <c r="R114" s="131">
        <v>9125008249</v>
      </c>
      <c r="T114" s="113">
        <f>T113+1</f>
        <v>38</v>
      </c>
      <c r="U114" s="113" t="s">
        <v>191</v>
      </c>
      <c r="V114" s="114"/>
      <c r="W114" s="114">
        <f>W113</f>
        <v>45614</v>
      </c>
      <c r="X114" s="114"/>
      <c r="Y114" s="115">
        <v>0</v>
      </c>
      <c r="Z114" s="116">
        <v>1</v>
      </c>
      <c r="AA114" s="117">
        <f t="shared" si="10"/>
        <v>0</v>
      </c>
      <c r="AB114" s="118">
        <f t="shared" si="11"/>
        <v>44959</v>
      </c>
      <c r="AC114" s="118">
        <f t="shared" si="9"/>
        <v>45615</v>
      </c>
      <c r="AD114" s="118">
        <f t="shared" si="12"/>
        <v>-656</v>
      </c>
      <c r="AE114" s="117">
        <f t="shared" si="13"/>
        <v>0</v>
      </c>
    </row>
    <row r="115" spans="2:31" ht="15.75" customHeight="1" x14ac:dyDescent="0.25">
      <c r="B115" s="220" t="s">
        <v>94</v>
      </c>
      <c r="C115" s="220"/>
      <c r="D115" s="220"/>
      <c r="E115" s="220"/>
      <c r="F115" s="220"/>
      <c r="G115" s="220"/>
      <c r="H115" s="220"/>
      <c r="I115" s="220"/>
      <c r="J115" s="220"/>
      <c r="K115" s="220"/>
      <c r="L115" s="220"/>
      <c r="M115" s="221">
        <f>$K$8</f>
        <v>0</v>
      </c>
      <c r="N115" s="221"/>
      <c r="P115" s="82" t="s">
        <v>204</v>
      </c>
      <c r="R115" s="131">
        <v>4685421355</v>
      </c>
      <c r="T115" s="113">
        <f t="shared" si="14"/>
        <v>39</v>
      </c>
      <c r="U115" s="113" t="s">
        <v>192</v>
      </c>
      <c r="V115" s="114"/>
      <c r="W115" s="114">
        <f t="shared" si="15"/>
        <v>45614</v>
      </c>
      <c r="X115" s="114"/>
      <c r="Y115" s="115">
        <v>0</v>
      </c>
      <c r="Z115" s="116">
        <v>1</v>
      </c>
      <c r="AA115" s="117">
        <f t="shared" si="10"/>
        <v>0</v>
      </c>
      <c r="AB115" s="118">
        <f t="shared" si="11"/>
        <v>44959</v>
      </c>
      <c r="AC115" s="118">
        <f t="shared" si="9"/>
        <v>45615</v>
      </c>
      <c r="AD115" s="118">
        <f t="shared" si="12"/>
        <v>-656</v>
      </c>
      <c r="AE115" s="117">
        <f t="shared" si="13"/>
        <v>0</v>
      </c>
    </row>
    <row r="116" spans="2:31" ht="15.75" customHeight="1" x14ac:dyDescent="0.2">
      <c r="B116" s="161" t="s">
        <v>188</v>
      </c>
      <c r="C116" s="161"/>
      <c r="D116" s="161"/>
      <c r="E116" s="161"/>
      <c r="F116" s="161"/>
      <c r="G116" s="161"/>
      <c r="H116" s="161"/>
      <c r="I116" s="161"/>
      <c r="J116" s="161"/>
      <c r="K116" s="161"/>
      <c r="L116" s="211">
        <f>IF(M115&gt;P99,R99,IF(M115&gt;P98,R98,IF(M115&gt;P97,R97,R96)))</f>
        <v>0</v>
      </c>
      <c r="M116" s="211"/>
      <c r="N116" s="211"/>
      <c r="P116" s="82" t="s">
        <v>205</v>
      </c>
      <c r="R116" s="131">
        <v>7832191370</v>
      </c>
      <c r="T116" s="113">
        <f t="shared" si="14"/>
        <v>40</v>
      </c>
      <c r="U116" s="113" t="s">
        <v>193</v>
      </c>
      <c r="V116" s="114"/>
      <c r="W116" s="114">
        <f t="shared" si="15"/>
        <v>45614</v>
      </c>
      <c r="X116" s="114"/>
      <c r="Y116" s="115">
        <v>0</v>
      </c>
      <c r="Z116" s="116">
        <v>1</v>
      </c>
      <c r="AA116" s="117">
        <f t="shared" si="10"/>
        <v>0</v>
      </c>
      <c r="AB116" s="118">
        <f t="shared" si="11"/>
        <v>44959</v>
      </c>
      <c r="AC116" s="118">
        <f t="shared" si="9"/>
        <v>45615</v>
      </c>
      <c r="AD116" s="118">
        <f t="shared" si="12"/>
        <v>-656</v>
      </c>
      <c r="AE116" s="117">
        <f t="shared" si="13"/>
        <v>0</v>
      </c>
    </row>
    <row r="117" spans="2:31" ht="15.75" customHeight="1" x14ac:dyDescent="0.25">
      <c r="P117" s="82" t="s">
        <v>206</v>
      </c>
      <c r="R117" s="131">
        <v>6568014622</v>
      </c>
      <c r="T117" s="113">
        <f t="shared" si="14"/>
        <v>41</v>
      </c>
      <c r="U117" s="113" t="s">
        <v>194</v>
      </c>
      <c r="V117" s="114"/>
      <c r="W117" s="114">
        <f t="shared" si="15"/>
        <v>45614</v>
      </c>
      <c r="X117" s="114"/>
      <c r="Y117" s="115">
        <v>0</v>
      </c>
      <c r="Z117" s="116">
        <v>1</v>
      </c>
      <c r="AA117" s="117">
        <f t="shared" si="10"/>
        <v>0</v>
      </c>
      <c r="AB117" s="118">
        <f t="shared" si="11"/>
        <v>44959</v>
      </c>
      <c r="AC117" s="118">
        <f t="shared" si="9"/>
        <v>45615</v>
      </c>
      <c r="AD117" s="118">
        <f t="shared" si="12"/>
        <v>-656</v>
      </c>
      <c r="AE117" s="117">
        <f t="shared" si="13"/>
        <v>0</v>
      </c>
    </row>
    <row r="118" spans="2:31" ht="15.75" customHeight="1" x14ac:dyDescent="0.2">
      <c r="B118" s="161" t="str">
        <f>"CAPACIDAD DE CONTRATACIÓN "&amp;$F$72</f>
        <v xml:space="preserve">CAPACIDAD DE CONTRATACIÓN </v>
      </c>
      <c r="C118" s="161"/>
      <c r="D118" s="161"/>
      <c r="E118" s="161"/>
      <c r="F118" s="161"/>
      <c r="G118" s="161"/>
      <c r="H118" s="161"/>
      <c r="I118" s="161"/>
      <c r="J118" s="161"/>
      <c r="K118" s="161"/>
      <c r="L118" s="167">
        <f>I81*((L108+L113+L116)/100)</f>
        <v>426630400</v>
      </c>
      <c r="M118" s="167"/>
      <c r="N118" s="167"/>
      <c r="T118" s="113">
        <f t="shared" si="14"/>
        <v>42</v>
      </c>
      <c r="U118" s="113" t="s">
        <v>195</v>
      </c>
      <c r="V118" s="114"/>
      <c r="W118" s="114">
        <f t="shared" si="15"/>
        <v>45614</v>
      </c>
      <c r="X118" s="114"/>
      <c r="Y118" s="115">
        <v>0</v>
      </c>
      <c r="Z118" s="116">
        <v>1</v>
      </c>
      <c r="AA118" s="117">
        <f t="shared" si="10"/>
        <v>0</v>
      </c>
      <c r="AB118" s="118">
        <f t="shared" si="11"/>
        <v>44959</v>
      </c>
      <c r="AC118" s="118">
        <f t="shared" si="9"/>
        <v>45615</v>
      </c>
      <c r="AD118" s="118">
        <f t="shared" si="12"/>
        <v>-656</v>
      </c>
      <c r="AE118" s="117">
        <f t="shared" si="13"/>
        <v>0</v>
      </c>
    </row>
    <row r="119" spans="2:31" ht="12.75" x14ac:dyDescent="0.2">
      <c r="B119" s="161" t="str">
        <f>"SALDO DE LOS CONTRATOS EN EJECUCIÓN "&amp;$F$72</f>
        <v xml:space="preserve">SALDO DE LOS CONTRATOS EN EJECUCIÓN </v>
      </c>
      <c r="C119" s="161"/>
      <c r="D119" s="161"/>
      <c r="E119" s="161"/>
      <c r="F119" s="161"/>
      <c r="G119" s="161"/>
      <c r="H119" s="161"/>
      <c r="I119" s="161"/>
      <c r="J119" s="161"/>
      <c r="K119" s="161"/>
      <c r="L119" s="167">
        <f>$M$8</f>
        <v>0</v>
      </c>
      <c r="M119" s="167"/>
      <c r="N119" s="167"/>
      <c r="R119" s="130" t="s">
        <v>200</v>
      </c>
      <c r="T119" s="113">
        <f t="shared" si="14"/>
        <v>43</v>
      </c>
      <c r="U119" s="113" t="s">
        <v>198</v>
      </c>
      <c r="V119" s="114"/>
      <c r="W119" s="114">
        <f t="shared" si="15"/>
        <v>45614</v>
      </c>
      <c r="X119" s="114"/>
      <c r="Y119" s="115">
        <v>0</v>
      </c>
      <c r="Z119" s="116">
        <v>1</v>
      </c>
      <c r="AA119" s="117">
        <f t="shared" si="10"/>
        <v>0</v>
      </c>
      <c r="AB119" s="118">
        <f t="shared" si="11"/>
        <v>44959</v>
      </c>
      <c r="AC119" s="118">
        <f t="shared" si="9"/>
        <v>45615</v>
      </c>
      <c r="AD119" s="118">
        <f t="shared" si="12"/>
        <v>-656</v>
      </c>
      <c r="AE119" s="117">
        <f t="shared" si="13"/>
        <v>0</v>
      </c>
    </row>
    <row r="120" spans="2:31" ht="15.75" customHeight="1" x14ac:dyDescent="0.2">
      <c r="B120" s="161" t="str">
        <f>"CAPACIDAD RESIDUAL DE CONTRATACIÓN "&amp;$F$72</f>
        <v xml:space="preserve">CAPACIDAD RESIDUAL DE CONTRATACIÓN </v>
      </c>
      <c r="C120" s="161"/>
      <c r="D120" s="161"/>
      <c r="E120" s="161"/>
      <c r="F120" s="161"/>
      <c r="G120" s="161"/>
      <c r="H120" s="161"/>
      <c r="I120" s="161"/>
      <c r="J120" s="161"/>
      <c r="K120" s="161"/>
      <c r="L120" s="167">
        <f>L118-L119</f>
        <v>426630400</v>
      </c>
      <c r="M120" s="167"/>
      <c r="N120" s="167"/>
      <c r="P120" s="82" t="s">
        <v>201</v>
      </c>
      <c r="R120" s="83">
        <v>16</v>
      </c>
      <c r="Z120" s="235" t="s">
        <v>199</v>
      </c>
      <c r="AA120" s="235"/>
      <c r="AB120" s="235"/>
      <c r="AC120" s="235"/>
      <c r="AD120" s="235"/>
      <c r="AE120" s="126">
        <f>SUM(AE77:AE119)</f>
        <v>25000000</v>
      </c>
    </row>
    <row r="121" spans="2:31" ht="15.75" customHeight="1" x14ac:dyDescent="0.2">
      <c r="B121" s="127"/>
      <c r="C121" s="127"/>
      <c r="D121" s="127"/>
      <c r="E121" s="127"/>
      <c r="F121" s="127"/>
      <c r="G121" s="127"/>
      <c r="H121" s="127"/>
      <c r="I121" s="127"/>
      <c r="J121" s="127"/>
      <c r="K121" s="127"/>
      <c r="L121" s="128"/>
      <c r="M121" s="128"/>
      <c r="N121" s="128"/>
      <c r="P121" s="82"/>
      <c r="R121" s="83"/>
      <c r="Z121" s="132"/>
      <c r="AA121" s="132"/>
      <c r="AB121" s="132"/>
      <c r="AC121" s="132"/>
      <c r="AD121" s="132"/>
      <c r="AE121" s="133"/>
    </row>
    <row r="122" spans="2:31" ht="15.75" customHeight="1" x14ac:dyDescent="0.25">
      <c r="B122" s="180" t="str">
        <f>"INTEGRANTE 3: "&amp;$C$9</f>
        <v>INTEGRANTE 3: 0</v>
      </c>
      <c r="C122" s="181"/>
      <c r="D122" s="181"/>
      <c r="E122" s="181"/>
      <c r="F122" s="181"/>
      <c r="G122" s="181"/>
      <c r="H122" s="181"/>
      <c r="I122" s="181"/>
      <c r="J122" s="181"/>
      <c r="K122" s="181"/>
      <c r="L122" s="181"/>
      <c r="M122" s="181"/>
      <c r="N122" s="182"/>
      <c r="T122" s="231" t="s">
        <v>108</v>
      </c>
      <c r="U122" s="231"/>
      <c r="V122" s="232" t="str">
        <f>B122</f>
        <v>INTEGRANTE 3: 0</v>
      </c>
      <c r="W122" s="233"/>
      <c r="X122" s="233"/>
      <c r="Y122" s="233"/>
      <c r="Z122" s="233"/>
      <c r="AA122" s="234"/>
    </row>
    <row r="123" spans="2:31" ht="15.75" customHeight="1" x14ac:dyDescent="0.25">
      <c r="B123" s="167" t="s">
        <v>102</v>
      </c>
      <c r="C123" s="167"/>
      <c r="D123" s="167"/>
      <c r="E123" s="167"/>
      <c r="F123" s="167"/>
      <c r="G123" s="167"/>
      <c r="H123" s="167"/>
      <c r="I123" s="228">
        <f>$G$9</f>
        <v>0</v>
      </c>
      <c r="J123" s="228"/>
      <c r="K123" s="228"/>
      <c r="L123" s="228"/>
      <c r="M123" s="228"/>
      <c r="N123" s="228"/>
      <c r="T123" s="104" t="s">
        <v>111</v>
      </c>
      <c r="U123" s="129">
        <f>U72</f>
        <v>0</v>
      </c>
    </row>
    <row r="124" spans="2:31" ht="15.75" customHeight="1" x14ac:dyDescent="0.25">
      <c r="B124" s="212" t="s">
        <v>103</v>
      </c>
      <c r="C124" s="212"/>
      <c r="D124" s="212"/>
      <c r="E124" s="212"/>
      <c r="F124" s="212"/>
      <c r="G124" s="212"/>
      <c r="H124" s="212" t="s">
        <v>104</v>
      </c>
      <c r="I124" s="212"/>
      <c r="J124" s="212"/>
      <c r="K124" s="212"/>
      <c r="L124" s="212"/>
      <c r="M124" s="212"/>
      <c r="N124" s="91" t="s">
        <v>105</v>
      </c>
      <c r="T124" s="109"/>
      <c r="U124" s="110"/>
    </row>
    <row r="125" spans="2:31" ht="18.75" customHeight="1" x14ac:dyDescent="0.25">
      <c r="B125" s="186"/>
      <c r="C125" s="187"/>
      <c r="D125" s="187"/>
      <c r="E125" s="187"/>
      <c r="F125" s="187"/>
      <c r="G125" s="188"/>
      <c r="H125" s="217" t="s">
        <v>106</v>
      </c>
      <c r="I125" s="217"/>
      <c r="J125" s="217"/>
      <c r="K125" s="217"/>
      <c r="L125" s="217"/>
      <c r="M125" s="217"/>
      <c r="N125" s="79">
        <v>120</v>
      </c>
      <c r="Q125" s="103" t="s">
        <v>210</v>
      </c>
      <c r="T125" s="229" t="s">
        <v>113</v>
      </c>
      <c r="U125" s="225" t="s">
        <v>114</v>
      </c>
      <c r="V125" s="225" t="s">
        <v>115</v>
      </c>
      <c r="W125" s="225" t="s">
        <v>116</v>
      </c>
      <c r="X125" s="225" t="s">
        <v>117</v>
      </c>
      <c r="Y125" s="225" t="s">
        <v>118</v>
      </c>
      <c r="Z125" s="225" t="s">
        <v>119</v>
      </c>
      <c r="AA125" s="225" t="s">
        <v>120</v>
      </c>
      <c r="AB125" s="225" t="s">
        <v>121</v>
      </c>
      <c r="AC125" s="225" t="s">
        <v>122</v>
      </c>
      <c r="AD125" s="225" t="s">
        <v>123</v>
      </c>
      <c r="AE125" s="225" t="s">
        <v>124</v>
      </c>
    </row>
    <row r="126" spans="2:31" ht="15.75" customHeight="1" x14ac:dyDescent="0.25">
      <c r="B126" s="189"/>
      <c r="C126" s="190"/>
      <c r="D126" s="190"/>
      <c r="E126" s="190"/>
      <c r="F126" s="190"/>
      <c r="G126" s="191"/>
      <c r="H126" s="217" t="s">
        <v>107</v>
      </c>
      <c r="I126" s="217"/>
      <c r="J126" s="217"/>
      <c r="K126" s="217"/>
      <c r="L126" s="217"/>
      <c r="M126" s="217"/>
      <c r="N126" s="79">
        <v>40</v>
      </c>
      <c r="Q126" s="108">
        <v>1423500</v>
      </c>
      <c r="T126" s="230"/>
      <c r="U126" s="226"/>
      <c r="V126" s="226"/>
      <c r="W126" s="226"/>
      <c r="X126" s="226"/>
      <c r="Y126" s="226"/>
      <c r="Z126" s="226"/>
      <c r="AA126" s="226"/>
      <c r="AB126" s="226"/>
      <c r="AC126" s="226"/>
      <c r="AD126" s="226"/>
      <c r="AE126" s="226"/>
    </row>
    <row r="127" spans="2:31" ht="15.75" customHeight="1" x14ac:dyDescent="0.25">
      <c r="B127" s="189"/>
      <c r="C127" s="190"/>
      <c r="D127" s="190"/>
      <c r="E127" s="190"/>
      <c r="F127" s="190"/>
      <c r="G127" s="191"/>
      <c r="H127" s="217" t="s">
        <v>109</v>
      </c>
      <c r="I127" s="217"/>
      <c r="J127" s="217"/>
      <c r="K127" s="217"/>
      <c r="L127" s="217"/>
      <c r="M127" s="217"/>
      <c r="N127" s="79">
        <v>40</v>
      </c>
      <c r="O127" s="119"/>
      <c r="T127" s="113">
        <v>1</v>
      </c>
      <c r="U127" s="113" t="s">
        <v>128</v>
      </c>
      <c r="V127" s="114">
        <v>42095</v>
      </c>
      <c r="W127" s="114">
        <v>42124</v>
      </c>
      <c r="X127" s="114">
        <v>42099</v>
      </c>
      <c r="Y127" s="115">
        <v>30000000</v>
      </c>
      <c r="Z127" s="116">
        <v>1</v>
      </c>
      <c r="AA127" s="117">
        <f>Y127*Z127</f>
        <v>30000000</v>
      </c>
      <c r="AB127" s="118">
        <f>DAYS360(V127,W127)+1</f>
        <v>30</v>
      </c>
      <c r="AC127" s="118">
        <f t="shared" ref="AC127:AC169" si="18">IF(X127&gt;$R$45,(X127-V127)+1,($U$22-V127)+1)</f>
        <v>5</v>
      </c>
      <c r="AD127" s="118">
        <f>IF((AB127-AC127)&gt;$P$28,$P$28,(AB127-AC127))</f>
        <v>25</v>
      </c>
      <c r="AE127" s="117">
        <f>ROUND((AA127/AB127)*AD127,0)</f>
        <v>25000000</v>
      </c>
    </row>
    <row r="128" spans="2:31" ht="15.75" customHeight="1" x14ac:dyDescent="0.25">
      <c r="B128" s="192"/>
      <c r="C128" s="193"/>
      <c r="D128" s="193"/>
      <c r="E128" s="193"/>
      <c r="F128" s="193"/>
      <c r="G128" s="194"/>
      <c r="H128" s="212" t="s">
        <v>44</v>
      </c>
      <c r="I128" s="212"/>
      <c r="J128" s="212"/>
      <c r="K128" s="212"/>
      <c r="L128" s="212"/>
      <c r="M128" s="212"/>
      <c r="N128" s="79">
        <f>SUM(N125:N127)</f>
        <v>200</v>
      </c>
      <c r="O128" s="119"/>
      <c r="P128" s="99" t="s">
        <v>130</v>
      </c>
      <c r="Q128" s="99" t="s">
        <v>0</v>
      </c>
      <c r="R128" s="99" t="s">
        <v>131</v>
      </c>
      <c r="T128" s="113">
        <f>T127+1</f>
        <v>2</v>
      </c>
      <c r="U128" s="113" t="s">
        <v>132</v>
      </c>
      <c r="V128" s="114"/>
      <c r="W128" s="114">
        <f>U123</f>
        <v>0</v>
      </c>
      <c r="X128" s="114"/>
      <c r="Y128" s="115">
        <v>0</v>
      </c>
      <c r="Z128" s="116">
        <v>1</v>
      </c>
      <c r="AA128" s="117">
        <f t="shared" ref="AA128:AA169" si="19">Y128*Z128</f>
        <v>0</v>
      </c>
      <c r="AB128" s="118">
        <f t="shared" ref="AB128:AB169" si="20">DAYS360(V128,W128)+1</f>
        <v>1</v>
      </c>
      <c r="AC128" s="118">
        <f t="shared" si="18"/>
        <v>45615</v>
      </c>
      <c r="AD128" s="118">
        <f t="shared" ref="AD128:AD169" si="21">IF((AB128-AC128)&gt;$P$28,$P$28,(AB128-AC128))</f>
        <v>-45614</v>
      </c>
      <c r="AE128" s="117">
        <f t="shared" ref="AE128:AE169" si="22">ROUND((AA128/AB128)*AD128,0)</f>
        <v>0</v>
      </c>
    </row>
    <row r="129" spans="2:31" ht="15.75" customHeight="1" x14ac:dyDescent="0.25">
      <c r="B129" s="212" t="s">
        <v>211</v>
      </c>
      <c r="C129" s="212"/>
      <c r="D129" s="212"/>
      <c r="E129" s="212"/>
      <c r="F129" s="212"/>
      <c r="G129" s="212"/>
      <c r="H129" s="212"/>
      <c r="I129" s="212"/>
      <c r="J129" s="212"/>
      <c r="K129" s="212"/>
      <c r="L129" s="212"/>
      <c r="M129" s="212"/>
      <c r="N129" s="212"/>
      <c r="O129" s="119"/>
      <c r="P129" s="79">
        <v>360</v>
      </c>
      <c r="Q129" s="79" t="s">
        <v>3</v>
      </c>
      <c r="R129" s="79">
        <v>12</v>
      </c>
      <c r="T129" s="113">
        <f t="shared" ref="T129:T169" si="23">T128+1</f>
        <v>3</v>
      </c>
      <c r="U129" s="113" t="s">
        <v>134</v>
      </c>
      <c r="V129" s="114"/>
      <c r="W129" s="114">
        <f t="shared" ref="W129:W169" si="24">W128</f>
        <v>0</v>
      </c>
      <c r="X129" s="114"/>
      <c r="Y129" s="115">
        <v>0</v>
      </c>
      <c r="Z129" s="116">
        <v>1</v>
      </c>
      <c r="AA129" s="117">
        <f t="shared" si="19"/>
        <v>0</v>
      </c>
      <c r="AB129" s="118">
        <f t="shared" si="20"/>
        <v>1</v>
      </c>
      <c r="AC129" s="118">
        <f t="shared" si="18"/>
        <v>45615</v>
      </c>
      <c r="AD129" s="118">
        <f t="shared" si="21"/>
        <v>-45614</v>
      </c>
      <c r="AE129" s="117">
        <f t="shared" si="22"/>
        <v>0</v>
      </c>
    </row>
    <row r="130" spans="2:31" ht="15.75" customHeight="1" x14ac:dyDescent="0.25">
      <c r="B130" s="239" t="s">
        <v>125</v>
      </c>
      <c r="C130" s="240"/>
      <c r="D130" s="240"/>
      <c r="E130" s="240"/>
      <c r="F130" s="240"/>
      <c r="G130" s="240"/>
      <c r="H130" s="241"/>
      <c r="I130" s="183" t="s">
        <v>126</v>
      </c>
      <c r="J130" s="184"/>
      <c r="K130" s="184"/>
      <c r="L130" s="184"/>
      <c r="M130" s="184"/>
      <c r="N130" s="185"/>
      <c r="T130" s="113">
        <f t="shared" si="23"/>
        <v>4</v>
      </c>
      <c r="U130" s="113" t="s">
        <v>138</v>
      </c>
      <c r="V130" s="114"/>
      <c r="W130" s="114">
        <f t="shared" si="24"/>
        <v>0</v>
      </c>
      <c r="X130" s="114"/>
      <c r="Y130" s="115">
        <v>0</v>
      </c>
      <c r="Z130" s="116">
        <v>1</v>
      </c>
      <c r="AA130" s="117">
        <f t="shared" si="19"/>
        <v>0</v>
      </c>
      <c r="AB130" s="118">
        <f t="shared" si="20"/>
        <v>1</v>
      </c>
      <c r="AC130" s="118">
        <f t="shared" si="18"/>
        <v>45615</v>
      </c>
      <c r="AD130" s="118">
        <f t="shared" si="21"/>
        <v>-45614</v>
      </c>
      <c r="AE130" s="117">
        <f t="shared" si="22"/>
        <v>0</v>
      </c>
    </row>
    <row r="131" spans="2:31" ht="15.75" customHeight="1" x14ac:dyDescent="0.25">
      <c r="B131" s="236" t="s">
        <v>127</v>
      </c>
      <c r="C131" s="237"/>
      <c r="D131" s="237"/>
      <c r="E131" s="237"/>
      <c r="F131" s="237"/>
      <c r="G131" s="237"/>
      <c r="H131" s="238"/>
      <c r="I131" s="168">
        <f>IF($H$9&gt;$R$31,$H$9,$R$31)</f>
        <v>533288000</v>
      </c>
      <c r="J131" s="169"/>
      <c r="K131" s="169"/>
      <c r="L131" s="169"/>
      <c r="M131" s="169"/>
      <c r="N131" s="170"/>
      <c r="P131" s="99" t="s">
        <v>139</v>
      </c>
      <c r="Q131" s="99" t="s">
        <v>140</v>
      </c>
      <c r="R131" s="99" t="s">
        <v>141</v>
      </c>
      <c r="T131" s="113">
        <f t="shared" si="23"/>
        <v>5</v>
      </c>
      <c r="U131" s="113" t="s">
        <v>142</v>
      </c>
      <c r="V131" s="114"/>
      <c r="W131" s="114">
        <f t="shared" si="24"/>
        <v>0</v>
      </c>
      <c r="X131" s="114"/>
      <c r="Y131" s="115">
        <v>0</v>
      </c>
      <c r="Z131" s="116">
        <v>1</v>
      </c>
      <c r="AA131" s="117">
        <f t="shared" si="19"/>
        <v>0</v>
      </c>
      <c r="AB131" s="118">
        <f t="shared" si="20"/>
        <v>1</v>
      </c>
      <c r="AC131" s="118">
        <f t="shared" si="18"/>
        <v>45615</v>
      </c>
      <c r="AD131" s="118">
        <f t="shared" si="21"/>
        <v>-45614</v>
      </c>
      <c r="AE131" s="117">
        <f t="shared" si="22"/>
        <v>0</v>
      </c>
    </row>
    <row r="132" spans="2:31" ht="15.75" customHeight="1" x14ac:dyDescent="0.25">
      <c r="B132" s="212" t="s">
        <v>212</v>
      </c>
      <c r="C132" s="212"/>
      <c r="D132" s="212"/>
      <c r="E132" s="212"/>
      <c r="F132" s="212"/>
      <c r="G132" s="212"/>
      <c r="H132" s="212"/>
      <c r="I132" s="212"/>
      <c r="J132" s="212"/>
      <c r="K132" s="212"/>
      <c r="L132" s="212"/>
      <c r="M132" s="212"/>
      <c r="N132" s="212"/>
      <c r="P132" s="121">
        <v>125000</v>
      </c>
      <c r="Q132" s="108">
        <f>533287768/P132</f>
        <v>4266.3021440000002</v>
      </c>
      <c r="R132" s="108">
        <f>ROUNDUP(P132*Q132,-3)</f>
        <v>533288000</v>
      </c>
      <c r="T132" s="113">
        <f t="shared" si="23"/>
        <v>6</v>
      </c>
      <c r="U132" s="113" t="s">
        <v>143</v>
      </c>
      <c r="V132" s="114"/>
      <c r="W132" s="114">
        <f t="shared" si="24"/>
        <v>0</v>
      </c>
      <c r="X132" s="114"/>
      <c r="Y132" s="115">
        <v>0</v>
      </c>
      <c r="Z132" s="116">
        <v>1</v>
      </c>
      <c r="AA132" s="117">
        <f t="shared" si="19"/>
        <v>0</v>
      </c>
      <c r="AB132" s="118">
        <f t="shared" si="20"/>
        <v>1</v>
      </c>
      <c r="AC132" s="118">
        <f t="shared" si="18"/>
        <v>45615</v>
      </c>
      <c r="AD132" s="118">
        <f t="shared" si="21"/>
        <v>-45614</v>
      </c>
      <c r="AE132" s="117">
        <f t="shared" si="22"/>
        <v>0</v>
      </c>
    </row>
    <row r="133" spans="2:31" ht="15.75" customHeight="1" thickBot="1" x14ac:dyDescent="0.3">
      <c r="B133" s="212" t="s">
        <v>133</v>
      </c>
      <c r="C133" s="212"/>
      <c r="D133" s="212"/>
      <c r="E133" s="212"/>
      <c r="F133" s="212"/>
      <c r="G133" s="212"/>
      <c r="H133" s="212"/>
      <c r="I133" s="212"/>
      <c r="J133" s="212"/>
      <c r="K133" s="212"/>
      <c r="L133" s="212"/>
      <c r="M133" s="212"/>
      <c r="N133" s="212"/>
      <c r="Q133" s="81" t="s">
        <v>144</v>
      </c>
      <c r="T133" s="113">
        <f t="shared" si="23"/>
        <v>7</v>
      </c>
      <c r="U133" s="113" t="s">
        <v>145</v>
      </c>
      <c r="V133" s="114"/>
      <c r="W133" s="114">
        <f t="shared" si="24"/>
        <v>0</v>
      </c>
      <c r="X133" s="114"/>
      <c r="Y133" s="115">
        <v>0</v>
      </c>
      <c r="Z133" s="116">
        <v>1</v>
      </c>
      <c r="AA133" s="117">
        <f t="shared" si="19"/>
        <v>0</v>
      </c>
      <c r="AB133" s="118">
        <f t="shared" si="20"/>
        <v>1</v>
      </c>
      <c r="AC133" s="118">
        <f t="shared" si="18"/>
        <v>45615</v>
      </c>
      <c r="AD133" s="118">
        <f t="shared" si="21"/>
        <v>-45614</v>
      </c>
      <c r="AE133" s="117">
        <f t="shared" si="22"/>
        <v>0</v>
      </c>
    </row>
    <row r="134" spans="2:31" ht="15.75" customHeight="1" thickBot="1" x14ac:dyDescent="0.25">
      <c r="B134" s="122" t="s">
        <v>135</v>
      </c>
      <c r="C134" s="160" t="s">
        <v>136</v>
      </c>
      <c r="D134" s="122" t="s">
        <v>135</v>
      </c>
      <c r="E134" s="160" t="s">
        <v>136</v>
      </c>
      <c r="F134" s="122" t="s">
        <v>135</v>
      </c>
      <c r="G134" s="160" t="s">
        <v>136</v>
      </c>
      <c r="H134" s="122" t="s">
        <v>135</v>
      </c>
      <c r="I134" s="160" t="s">
        <v>136</v>
      </c>
      <c r="J134" s="122" t="s">
        <v>135</v>
      </c>
      <c r="K134" s="160" t="s">
        <v>136</v>
      </c>
      <c r="L134" s="122" t="s">
        <v>135</v>
      </c>
      <c r="M134" s="160" t="s">
        <v>136</v>
      </c>
      <c r="N134" s="195" t="s">
        <v>137</v>
      </c>
      <c r="P134" s="212" t="s">
        <v>146</v>
      </c>
      <c r="Q134" s="212"/>
      <c r="R134" s="99" t="s">
        <v>147</v>
      </c>
      <c r="T134" s="113">
        <f t="shared" si="23"/>
        <v>8</v>
      </c>
      <c r="U134" s="113" t="s">
        <v>148</v>
      </c>
      <c r="V134" s="114"/>
      <c r="W134" s="114">
        <f t="shared" si="24"/>
        <v>0</v>
      </c>
      <c r="X134" s="114"/>
      <c r="Y134" s="115">
        <v>0</v>
      </c>
      <c r="Z134" s="116">
        <v>1</v>
      </c>
      <c r="AA134" s="117">
        <f t="shared" si="19"/>
        <v>0</v>
      </c>
      <c r="AB134" s="118">
        <f t="shared" si="20"/>
        <v>1</v>
      </c>
      <c r="AC134" s="118">
        <f t="shared" si="18"/>
        <v>45615</v>
      </c>
      <c r="AD134" s="118">
        <f t="shared" si="21"/>
        <v>-45614</v>
      </c>
      <c r="AE134" s="117">
        <f t="shared" si="22"/>
        <v>0</v>
      </c>
    </row>
    <row r="135" spans="2:31" ht="15.75" customHeight="1" thickBot="1" x14ac:dyDescent="0.25">
      <c r="B135" s="123">
        <v>1</v>
      </c>
      <c r="C135" s="159"/>
      <c r="D135" s="123">
        <v>22</v>
      </c>
      <c r="E135" s="159"/>
      <c r="F135" s="123">
        <v>43</v>
      </c>
      <c r="G135" s="158"/>
      <c r="H135" s="123">
        <v>64</v>
      </c>
      <c r="I135" s="158"/>
      <c r="J135" s="123">
        <v>85</v>
      </c>
      <c r="K135" s="158"/>
      <c r="L135" s="123">
        <v>106</v>
      </c>
      <c r="M135" s="158"/>
      <c r="N135" s="196"/>
      <c r="P135" s="79">
        <v>0</v>
      </c>
      <c r="Q135" s="79">
        <v>3</v>
      </c>
      <c r="R135" s="79">
        <v>60</v>
      </c>
      <c r="T135" s="113">
        <f t="shared" si="23"/>
        <v>9</v>
      </c>
      <c r="U135" s="113" t="s">
        <v>149</v>
      </c>
      <c r="V135" s="114"/>
      <c r="W135" s="114">
        <f t="shared" si="24"/>
        <v>0</v>
      </c>
      <c r="X135" s="114"/>
      <c r="Y135" s="115">
        <v>0</v>
      </c>
      <c r="Z135" s="116">
        <v>1</v>
      </c>
      <c r="AA135" s="117">
        <f t="shared" si="19"/>
        <v>0</v>
      </c>
      <c r="AB135" s="118">
        <f t="shared" si="20"/>
        <v>1</v>
      </c>
      <c r="AC135" s="118">
        <f t="shared" si="18"/>
        <v>45615</v>
      </c>
      <c r="AD135" s="118">
        <f t="shared" si="21"/>
        <v>-45614</v>
      </c>
      <c r="AE135" s="117">
        <f t="shared" si="22"/>
        <v>0</v>
      </c>
    </row>
    <row r="136" spans="2:31" ht="15.75" customHeight="1" thickBot="1" x14ac:dyDescent="0.25">
      <c r="B136" s="123">
        <f>+B135+1</f>
        <v>2</v>
      </c>
      <c r="C136" s="159"/>
      <c r="D136" s="123">
        <f>+D135+1</f>
        <v>23</v>
      </c>
      <c r="E136" s="159"/>
      <c r="F136" s="123">
        <f>+F135+1</f>
        <v>44</v>
      </c>
      <c r="G136" s="158"/>
      <c r="H136" s="123">
        <f>+H135+1</f>
        <v>65</v>
      </c>
      <c r="I136" s="158"/>
      <c r="J136" s="123">
        <f>+J135+1</f>
        <v>86</v>
      </c>
      <c r="K136" s="158"/>
      <c r="L136" s="123">
        <f>+L135+1</f>
        <v>107</v>
      </c>
      <c r="M136" s="158"/>
      <c r="N136" s="196"/>
      <c r="P136" s="79">
        <v>3</v>
      </c>
      <c r="Q136" s="79">
        <v>6</v>
      </c>
      <c r="R136" s="79">
        <v>80</v>
      </c>
      <c r="T136" s="113">
        <f t="shared" si="23"/>
        <v>10</v>
      </c>
      <c r="U136" s="113" t="s">
        <v>150</v>
      </c>
      <c r="V136" s="114"/>
      <c r="W136" s="114">
        <f t="shared" si="24"/>
        <v>0</v>
      </c>
      <c r="X136" s="114"/>
      <c r="Y136" s="115">
        <v>0</v>
      </c>
      <c r="Z136" s="116">
        <v>1</v>
      </c>
      <c r="AA136" s="117">
        <f t="shared" si="19"/>
        <v>0</v>
      </c>
      <c r="AB136" s="118">
        <f t="shared" si="20"/>
        <v>1</v>
      </c>
      <c r="AC136" s="118">
        <f t="shared" si="18"/>
        <v>45615</v>
      </c>
      <c r="AD136" s="118">
        <f t="shared" si="21"/>
        <v>-45614</v>
      </c>
      <c r="AE136" s="117">
        <f t="shared" si="22"/>
        <v>0</v>
      </c>
    </row>
    <row r="137" spans="2:31" ht="15.75" customHeight="1" thickBot="1" x14ac:dyDescent="0.25">
      <c r="B137" s="123">
        <f t="shared" ref="B137:B155" si="25">+B136+1</f>
        <v>3</v>
      </c>
      <c r="C137" s="159"/>
      <c r="D137" s="123">
        <f t="shared" ref="D137:L155" si="26">+D136+1</f>
        <v>24</v>
      </c>
      <c r="E137" s="159"/>
      <c r="F137" s="123">
        <f t="shared" si="26"/>
        <v>45</v>
      </c>
      <c r="G137" s="158"/>
      <c r="H137" s="123">
        <f t="shared" si="26"/>
        <v>66</v>
      </c>
      <c r="I137" s="158"/>
      <c r="J137" s="123">
        <f t="shared" si="26"/>
        <v>87</v>
      </c>
      <c r="K137" s="158"/>
      <c r="L137" s="123">
        <f t="shared" si="26"/>
        <v>108</v>
      </c>
      <c r="M137" s="158"/>
      <c r="N137" s="196"/>
      <c r="P137" s="79">
        <v>6</v>
      </c>
      <c r="Q137" s="79">
        <v>10</v>
      </c>
      <c r="R137" s="79">
        <v>100</v>
      </c>
      <c r="T137" s="113">
        <f t="shared" si="23"/>
        <v>11</v>
      </c>
      <c r="U137" s="113" t="s">
        <v>151</v>
      </c>
      <c r="V137" s="114"/>
      <c r="W137" s="114">
        <f t="shared" si="24"/>
        <v>0</v>
      </c>
      <c r="X137" s="114"/>
      <c r="Y137" s="115">
        <v>0</v>
      </c>
      <c r="Z137" s="116">
        <v>1</v>
      </c>
      <c r="AA137" s="117">
        <f t="shared" si="19"/>
        <v>0</v>
      </c>
      <c r="AB137" s="118">
        <f t="shared" si="20"/>
        <v>1</v>
      </c>
      <c r="AC137" s="118">
        <f t="shared" si="18"/>
        <v>45615</v>
      </c>
      <c r="AD137" s="118">
        <f t="shared" si="21"/>
        <v>-45614</v>
      </c>
      <c r="AE137" s="117">
        <f t="shared" si="22"/>
        <v>0</v>
      </c>
    </row>
    <row r="138" spans="2:31" ht="15.75" customHeight="1" thickBot="1" x14ac:dyDescent="0.25">
      <c r="B138" s="123">
        <f t="shared" si="25"/>
        <v>4</v>
      </c>
      <c r="C138" s="159"/>
      <c r="D138" s="123">
        <f t="shared" si="26"/>
        <v>25</v>
      </c>
      <c r="E138" s="159"/>
      <c r="F138" s="123">
        <f t="shared" si="26"/>
        <v>46</v>
      </c>
      <c r="G138" s="158"/>
      <c r="H138" s="123">
        <f t="shared" si="26"/>
        <v>67</v>
      </c>
      <c r="I138" s="158"/>
      <c r="J138" s="123">
        <f t="shared" si="26"/>
        <v>88</v>
      </c>
      <c r="K138" s="158"/>
      <c r="L138" s="123">
        <f t="shared" si="26"/>
        <v>109</v>
      </c>
      <c r="M138" s="158"/>
      <c r="N138" s="196"/>
      <c r="P138" s="79">
        <v>10</v>
      </c>
      <c r="Q138" s="79"/>
      <c r="R138" s="79">
        <v>120</v>
      </c>
      <c r="T138" s="113">
        <f t="shared" si="23"/>
        <v>12</v>
      </c>
      <c r="U138" s="113" t="s">
        <v>152</v>
      </c>
      <c r="V138" s="114"/>
      <c r="W138" s="114">
        <f t="shared" si="24"/>
        <v>0</v>
      </c>
      <c r="X138" s="114"/>
      <c r="Y138" s="115">
        <v>0</v>
      </c>
      <c r="Z138" s="116">
        <v>1</v>
      </c>
      <c r="AA138" s="117">
        <f t="shared" si="19"/>
        <v>0</v>
      </c>
      <c r="AB138" s="118">
        <f t="shared" si="20"/>
        <v>1</v>
      </c>
      <c r="AC138" s="118">
        <f t="shared" si="18"/>
        <v>45615</v>
      </c>
      <c r="AD138" s="118">
        <f t="shared" si="21"/>
        <v>-45614</v>
      </c>
      <c r="AE138" s="117">
        <f t="shared" si="22"/>
        <v>0</v>
      </c>
    </row>
    <row r="139" spans="2:31" ht="15.75" customHeight="1" thickBot="1" x14ac:dyDescent="0.25">
      <c r="B139" s="123">
        <f t="shared" si="25"/>
        <v>5</v>
      </c>
      <c r="C139" s="159"/>
      <c r="D139" s="123">
        <f t="shared" si="26"/>
        <v>26</v>
      </c>
      <c r="E139" s="159"/>
      <c r="F139" s="123">
        <f t="shared" si="26"/>
        <v>47</v>
      </c>
      <c r="G139" s="158"/>
      <c r="H139" s="123">
        <f t="shared" si="26"/>
        <v>68</v>
      </c>
      <c r="I139" s="158"/>
      <c r="J139" s="123">
        <f t="shared" si="26"/>
        <v>89</v>
      </c>
      <c r="K139" s="158"/>
      <c r="L139" s="123">
        <f t="shared" si="26"/>
        <v>110</v>
      </c>
      <c r="M139" s="158"/>
      <c r="N139" s="196"/>
      <c r="P139" s="212" t="s">
        <v>153</v>
      </c>
      <c r="Q139" s="212"/>
      <c r="R139" s="99" t="s">
        <v>147</v>
      </c>
      <c r="T139" s="113">
        <f t="shared" si="23"/>
        <v>13</v>
      </c>
      <c r="U139" s="113" t="s">
        <v>154</v>
      </c>
      <c r="V139" s="114"/>
      <c r="W139" s="114">
        <f t="shared" si="24"/>
        <v>0</v>
      </c>
      <c r="X139" s="114"/>
      <c r="Y139" s="115">
        <v>0</v>
      </c>
      <c r="Z139" s="116">
        <v>1</v>
      </c>
      <c r="AA139" s="117">
        <f t="shared" si="19"/>
        <v>0</v>
      </c>
      <c r="AB139" s="118">
        <f t="shared" si="20"/>
        <v>1</v>
      </c>
      <c r="AC139" s="118">
        <f t="shared" si="18"/>
        <v>45615</v>
      </c>
      <c r="AD139" s="118">
        <f t="shared" si="21"/>
        <v>-45614</v>
      </c>
      <c r="AE139" s="117">
        <f t="shared" si="22"/>
        <v>0</v>
      </c>
    </row>
    <row r="140" spans="2:31" ht="15.75" customHeight="1" thickBot="1" x14ac:dyDescent="0.25">
      <c r="B140" s="123">
        <f t="shared" si="25"/>
        <v>6</v>
      </c>
      <c r="C140" s="159"/>
      <c r="D140" s="123">
        <f t="shared" si="26"/>
        <v>27</v>
      </c>
      <c r="E140" s="159"/>
      <c r="F140" s="123">
        <f t="shared" si="26"/>
        <v>48</v>
      </c>
      <c r="G140" s="158"/>
      <c r="H140" s="123">
        <f t="shared" si="26"/>
        <v>69</v>
      </c>
      <c r="I140" s="158"/>
      <c r="J140" s="123">
        <f t="shared" si="26"/>
        <v>90</v>
      </c>
      <c r="K140" s="158"/>
      <c r="L140" s="123">
        <f t="shared" si="26"/>
        <v>111</v>
      </c>
      <c r="M140" s="158"/>
      <c r="N140" s="196"/>
      <c r="P140" s="124">
        <v>0</v>
      </c>
      <c r="Q140" s="124">
        <v>0.5</v>
      </c>
      <c r="R140" s="79">
        <v>20</v>
      </c>
      <c r="T140" s="113">
        <f t="shared" si="23"/>
        <v>14</v>
      </c>
      <c r="U140" s="113" t="s">
        <v>155</v>
      </c>
      <c r="V140" s="114"/>
      <c r="W140" s="114">
        <f t="shared" si="24"/>
        <v>0</v>
      </c>
      <c r="X140" s="114"/>
      <c r="Y140" s="115">
        <v>0</v>
      </c>
      <c r="Z140" s="116">
        <v>1</v>
      </c>
      <c r="AA140" s="117">
        <f t="shared" si="19"/>
        <v>0</v>
      </c>
      <c r="AB140" s="118">
        <f t="shared" si="20"/>
        <v>1</v>
      </c>
      <c r="AC140" s="118">
        <f t="shared" si="18"/>
        <v>45615</v>
      </c>
      <c r="AD140" s="118">
        <f t="shared" si="21"/>
        <v>-45614</v>
      </c>
      <c r="AE140" s="117">
        <f t="shared" si="22"/>
        <v>0</v>
      </c>
    </row>
    <row r="141" spans="2:31" ht="15.75" customHeight="1" thickBot="1" x14ac:dyDescent="0.25">
      <c r="B141" s="123">
        <f t="shared" si="25"/>
        <v>7</v>
      </c>
      <c r="C141" s="159"/>
      <c r="D141" s="123">
        <f t="shared" si="26"/>
        <v>28</v>
      </c>
      <c r="E141" s="159"/>
      <c r="F141" s="123">
        <f t="shared" si="26"/>
        <v>49</v>
      </c>
      <c r="G141" s="158"/>
      <c r="H141" s="123">
        <f t="shared" si="26"/>
        <v>70</v>
      </c>
      <c r="I141" s="158"/>
      <c r="J141" s="123">
        <f t="shared" si="26"/>
        <v>91</v>
      </c>
      <c r="K141" s="158"/>
      <c r="L141" s="123">
        <f t="shared" si="26"/>
        <v>112</v>
      </c>
      <c r="M141" s="158"/>
      <c r="N141" s="196"/>
      <c r="P141" s="124">
        <v>0.5</v>
      </c>
      <c r="Q141" s="124">
        <v>0.75</v>
      </c>
      <c r="R141" s="79">
        <v>25</v>
      </c>
      <c r="T141" s="113">
        <f t="shared" si="23"/>
        <v>15</v>
      </c>
      <c r="U141" s="113" t="s">
        <v>156</v>
      </c>
      <c r="V141" s="114"/>
      <c r="W141" s="114">
        <f t="shared" si="24"/>
        <v>0</v>
      </c>
      <c r="X141" s="114"/>
      <c r="Y141" s="115">
        <v>0</v>
      </c>
      <c r="Z141" s="116">
        <v>1</v>
      </c>
      <c r="AA141" s="117">
        <f t="shared" si="19"/>
        <v>0</v>
      </c>
      <c r="AB141" s="118">
        <f t="shared" si="20"/>
        <v>1</v>
      </c>
      <c r="AC141" s="118">
        <f t="shared" si="18"/>
        <v>45615</v>
      </c>
      <c r="AD141" s="118">
        <f t="shared" si="21"/>
        <v>-45614</v>
      </c>
      <c r="AE141" s="117">
        <f t="shared" si="22"/>
        <v>0</v>
      </c>
    </row>
    <row r="142" spans="2:31" ht="15.75" customHeight="1" thickBot="1" x14ac:dyDescent="0.25">
      <c r="B142" s="123">
        <f t="shared" si="25"/>
        <v>8</v>
      </c>
      <c r="C142" s="159"/>
      <c r="D142" s="123">
        <f t="shared" si="26"/>
        <v>29</v>
      </c>
      <c r="E142" s="159"/>
      <c r="F142" s="123">
        <f t="shared" si="26"/>
        <v>50</v>
      </c>
      <c r="G142" s="158"/>
      <c r="H142" s="123">
        <f t="shared" si="26"/>
        <v>71</v>
      </c>
      <c r="I142" s="158"/>
      <c r="J142" s="123">
        <f t="shared" si="26"/>
        <v>92</v>
      </c>
      <c r="K142" s="158"/>
      <c r="L142" s="123">
        <f t="shared" si="26"/>
        <v>113</v>
      </c>
      <c r="M142" s="158"/>
      <c r="N142" s="196"/>
      <c r="P142" s="124">
        <v>0.75</v>
      </c>
      <c r="Q142" s="124">
        <v>1</v>
      </c>
      <c r="R142" s="79">
        <v>30</v>
      </c>
      <c r="T142" s="113">
        <f t="shared" si="23"/>
        <v>16</v>
      </c>
      <c r="U142" s="113" t="s">
        <v>157</v>
      </c>
      <c r="V142" s="114"/>
      <c r="W142" s="114">
        <f t="shared" si="24"/>
        <v>0</v>
      </c>
      <c r="X142" s="114"/>
      <c r="Y142" s="115">
        <v>0</v>
      </c>
      <c r="Z142" s="116">
        <v>1</v>
      </c>
      <c r="AA142" s="117">
        <f t="shared" si="19"/>
        <v>0</v>
      </c>
      <c r="AB142" s="118">
        <f t="shared" si="20"/>
        <v>1</v>
      </c>
      <c r="AC142" s="118">
        <f t="shared" si="18"/>
        <v>45615</v>
      </c>
      <c r="AD142" s="118">
        <f t="shared" si="21"/>
        <v>-45614</v>
      </c>
      <c r="AE142" s="117">
        <f t="shared" si="22"/>
        <v>0</v>
      </c>
    </row>
    <row r="143" spans="2:31" ht="15.75" customHeight="1" thickBot="1" x14ac:dyDescent="0.25">
      <c r="B143" s="123">
        <f t="shared" si="25"/>
        <v>9</v>
      </c>
      <c r="C143" s="159"/>
      <c r="D143" s="123">
        <f t="shared" si="26"/>
        <v>30</v>
      </c>
      <c r="E143" s="159"/>
      <c r="F143" s="123">
        <f t="shared" si="26"/>
        <v>51</v>
      </c>
      <c r="G143" s="158"/>
      <c r="H143" s="123">
        <f t="shared" si="26"/>
        <v>72</v>
      </c>
      <c r="I143" s="158"/>
      <c r="J143" s="123">
        <f t="shared" si="26"/>
        <v>93</v>
      </c>
      <c r="K143" s="158"/>
      <c r="L143" s="123">
        <f t="shared" si="26"/>
        <v>114</v>
      </c>
      <c r="M143" s="158"/>
      <c r="N143" s="196"/>
      <c r="P143" s="124">
        <v>1</v>
      </c>
      <c r="Q143" s="124">
        <v>1.5</v>
      </c>
      <c r="R143" s="79">
        <v>35</v>
      </c>
      <c r="T143" s="113">
        <f t="shared" si="23"/>
        <v>17</v>
      </c>
      <c r="U143" s="113" t="s">
        <v>158</v>
      </c>
      <c r="V143" s="114"/>
      <c r="W143" s="114">
        <f t="shared" si="24"/>
        <v>0</v>
      </c>
      <c r="X143" s="114"/>
      <c r="Y143" s="115">
        <v>0</v>
      </c>
      <c r="Z143" s="116">
        <v>1</v>
      </c>
      <c r="AA143" s="117">
        <f t="shared" si="19"/>
        <v>0</v>
      </c>
      <c r="AB143" s="118">
        <f t="shared" si="20"/>
        <v>1</v>
      </c>
      <c r="AC143" s="118">
        <f t="shared" si="18"/>
        <v>45615</v>
      </c>
      <c r="AD143" s="118">
        <f t="shared" si="21"/>
        <v>-45614</v>
      </c>
      <c r="AE143" s="117">
        <f t="shared" si="22"/>
        <v>0</v>
      </c>
    </row>
    <row r="144" spans="2:31" ht="15.75" customHeight="1" thickBot="1" x14ac:dyDescent="0.25">
      <c r="B144" s="123">
        <f t="shared" si="25"/>
        <v>10</v>
      </c>
      <c r="C144" s="159"/>
      <c r="D144" s="123">
        <f t="shared" si="26"/>
        <v>31</v>
      </c>
      <c r="E144" s="159"/>
      <c r="F144" s="123">
        <f t="shared" si="26"/>
        <v>52</v>
      </c>
      <c r="G144" s="158"/>
      <c r="H144" s="123">
        <f t="shared" si="26"/>
        <v>73</v>
      </c>
      <c r="I144" s="158"/>
      <c r="J144" s="123">
        <f t="shared" si="26"/>
        <v>94</v>
      </c>
      <c r="K144" s="158"/>
      <c r="L144" s="123">
        <f t="shared" si="26"/>
        <v>115</v>
      </c>
      <c r="M144" s="158"/>
      <c r="N144" s="196"/>
      <c r="P144" s="124">
        <v>1.5</v>
      </c>
      <c r="Q144" s="124"/>
      <c r="R144" s="79">
        <v>40</v>
      </c>
      <c r="T144" s="113">
        <f t="shared" si="23"/>
        <v>18</v>
      </c>
      <c r="U144" s="113" t="s">
        <v>159</v>
      </c>
      <c r="V144" s="114"/>
      <c r="W144" s="114">
        <f t="shared" si="24"/>
        <v>0</v>
      </c>
      <c r="X144" s="114"/>
      <c r="Y144" s="115">
        <v>0</v>
      </c>
      <c r="Z144" s="116">
        <v>1</v>
      </c>
      <c r="AA144" s="117">
        <f t="shared" si="19"/>
        <v>0</v>
      </c>
      <c r="AB144" s="118">
        <f t="shared" si="20"/>
        <v>1</v>
      </c>
      <c r="AC144" s="118">
        <f t="shared" si="18"/>
        <v>45615</v>
      </c>
      <c r="AD144" s="118">
        <f t="shared" si="21"/>
        <v>-45614</v>
      </c>
      <c r="AE144" s="117">
        <f t="shared" si="22"/>
        <v>0</v>
      </c>
    </row>
    <row r="145" spans="2:31" ht="15.75" customHeight="1" thickBot="1" x14ac:dyDescent="0.25">
      <c r="B145" s="123">
        <f t="shared" si="25"/>
        <v>11</v>
      </c>
      <c r="C145" s="158"/>
      <c r="D145" s="123">
        <f t="shared" si="26"/>
        <v>32</v>
      </c>
      <c r="E145" s="158"/>
      <c r="F145" s="123">
        <f t="shared" si="26"/>
        <v>53</v>
      </c>
      <c r="G145" s="158"/>
      <c r="H145" s="123">
        <f t="shared" si="26"/>
        <v>74</v>
      </c>
      <c r="I145" s="158"/>
      <c r="J145" s="123">
        <f t="shared" si="26"/>
        <v>95</v>
      </c>
      <c r="K145" s="158"/>
      <c r="L145" s="123">
        <f t="shared" si="26"/>
        <v>116</v>
      </c>
      <c r="M145" s="158"/>
      <c r="N145" s="196"/>
      <c r="P145" s="212" t="s">
        <v>160</v>
      </c>
      <c r="Q145" s="212"/>
      <c r="R145" s="99" t="s">
        <v>147</v>
      </c>
      <c r="T145" s="113">
        <f t="shared" si="23"/>
        <v>19</v>
      </c>
      <c r="U145" s="113" t="s">
        <v>161</v>
      </c>
      <c r="V145" s="114"/>
      <c r="W145" s="114">
        <f t="shared" si="24"/>
        <v>0</v>
      </c>
      <c r="X145" s="114"/>
      <c r="Y145" s="115">
        <v>0</v>
      </c>
      <c r="Z145" s="116">
        <v>1</v>
      </c>
      <c r="AA145" s="117">
        <f t="shared" si="19"/>
        <v>0</v>
      </c>
      <c r="AB145" s="118">
        <f t="shared" si="20"/>
        <v>1</v>
      </c>
      <c r="AC145" s="118">
        <f t="shared" si="18"/>
        <v>45615</v>
      </c>
      <c r="AD145" s="118">
        <f t="shared" si="21"/>
        <v>-45614</v>
      </c>
      <c r="AE145" s="117">
        <f t="shared" si="22"/>
        <v>0</v>
      </c>
    </row>
    <row r="146" spans="2:31" ht="15.75" customHeight="1" thickBot="1" x14ac:dyDescent="0.25">
      <c r="B146" s="123">
        <f t="shared" si="25"/>
        <v>12</v>
      </c>
      <c r="C146" s="158"/>
      <c r="D146" s="123">
        <f t="shared" si="26"/>
        <v>33</v>
      </c>
      <c r="E146" s="158"/>
      <c r="F146" s="123">
        <f t="shared" si="26"/>
        <v>54</v>
      </c>
      <c r="G146" s="158"/>
      <c r="H146" s="123">
        <f t="shared" si="26"/>
        <v>75</v>
      </c>
      <c r="I146" s="158"/>
      <c r="J146" s="123">
        <f t="shared" si="26"/>
        <v>96</v>
      </c>
      <c r="K146" s="158"/>
      <c r="L146" s="123">
        <f t="shared" si="26"/>
        <v>117</v>
      </c>
      <c r="M146" s="158"/>
      <c r="N146" s="196"/>
      <c r="P146" s="79"/>
      <c r="Q146" s="79"/>
      <c r="R146" s="79">
        <v>0</v>
      </c>
      <c r="T146" s="113">
        <f t="shared" si="23"/>
        <v>20</v>
      </c>
      <c r="U146" s="113" t="s">
        <v>162</v>
      </c>
      <c r="V146" s="114"/>
      <c r="W146" s="114">
        <f t="shared" si="24"/>
        <v>0</v>
      </c>
      <c r="X146" s="114"/>
      <c r="Y146" s="115">
        <v>0</v>
      </c>
      <c r="Z146" s="116">
        <v>1</v>
      </c>
      <c r="AA146" s="117">
        <f t="shared" si="19"/>
        <v>0</v>
      </c>
      <c r="AB146" s="118">
        <f t="shared" si="20"/>
        <v>1</v>
      </c>
      <c r="AC146" s="118">
        <f t="shared" si="18"/>
        <v>45615</v>
      </c>
      <c r="AD146" s="118">
        <f t="shared" si="21"/>
        <v>-45614</v>
      </c>
      <c r="AE146" s="117">
        <f t="shared" si="22"/>
        <v>0</v>
      </c>
    </row>
    <row r="147" spans="2:31" ht="15.75" customHeight="1" thickBot="1" x14ac:dyDescent="0.25">
      <c r="B147" s="123">
        <f t="shared" si="25"/>
        <v>13</v>
      </c>
      <c r="C147" s="158"/>
      <c r="D147" s="123">
        <f t="shared" si="26"/>
        <v>34</v>
      </c>
      <c r="E147" s="158"/>
      <c r="F147" s="123">
        <f t="shared" si="26"/>
        <v>55</v>
      </c>
      <c r="G147" s="158"/>
      <c r="H147" s="123">
        <f t="shared" si="26"/>
        <v>76</v>
      </c>
      <c r="I147" s="158"/>
      <c r="J147" s="123">
        <f t="shared" si="26"/>
        <v>97</v>
      </c>
      <c r="K147" s="158"/>
      <c r="L147" s="123">
        <f t="shared" si="26"/>
        <v>118</v>
      </c>
      <c r="M147" s="158"/>
      <c r="N147" s="196"/>
      <c r="P147" s="79">
        <v>0</v>
      </c>
      <c r="Q147" s="79">
        <v>5</v>
      </c>
      <c r="R147" s="79">
        <v>20</v>
      </c>
      <c r="T147" s="113">
        <f t="shared" si="23"/>
        <v>21</v>
      </c>
      <c r="U147" s="113" t="s">
        <v>163</v>
      </c>
      <c r="V147" s="114"/>
      <c r="W147" s="114">
        <f t="shared" si="24"/>
        <v>0</v>
      </c>
      <c r="X147" s="114"/>
      <c r="Y147" s="115">
        <v>0</v>
      </c>
      <c r="Z147" s="116">
        <v>1</v>
      </c>
      <c r="AA147" s="117">
        <f t="shared" si="19"/>
        <v>0</v>
      </c>
      <c r="AB147" s="118">
        <f t="shared" si="20"/>
        <v>1</v>
      </c>
      <c r="AC147" s="118">
        <f t="shared" si="18"/>
        <v>45615</v>
      </c>
      <c r="AD147" s="118">
        <f t="shared" si="21"/>
        <v>-45614</v>
      </c>
      <c r="AE147" s="117">
        <f t="shared" si="22"/>
        <v>0</v>
      </c>
    </row>
    <row r="148" spans="2:31" ht="15.75" customHeight="1" thickBot="1" x14ac:dyDescent="0.25">
      <c r="B148" s="123">
        <f t="shared" si="25"/>
        <v>14</v>
      </c>
      <c r="C148" s="158"/>
      <c r="D148" s="123">
        <f t="shared" si="26"/>
        <v>35</v>
      </c>
      <c r="E148" s="158"/>
      <c r="F148" s="123">
        <f t="shared" si="26"/>
        <v>56</v>
      </c>
      <c r="G148" s="158"/>
      <c r="H148" s="123">
        <f t="shared" si="26"/>
        <v>77</v>
      </c>
      <c r="I148" s="158"/>
      <c r="J148" s="123">
        <f t="shared" si="26"/>
        <v>98</v>
      </c>
      <c r="K148" s="158"/>
      <c r="L148" s="123">
        <f t="shared" si="26"/>
        <v>119</v>
      </c>
      <c r="M148" s="158"/>
      <c r="N148" s="196"/>
      <c r="P148" s="79">
        <v>5</v>
      </c>
      <c r="Q148" s="79">
        <v>10</v>
      </c>
      <c r="R148" s="79">
        <v>30</v>
      </c>
      <c r="T148" s="113">
        <f t="shared" si="23"/>
        <v>22</v>
      </c>
      <c r="U148" s="113" t="s">
        <v>164</v>
      </c>
      <c r="V148" s="114"/>
      <c r="W148" s="114">
        <f t="shared" si="24"/>
        <v>0</v>
      </c>
      <c r="X148" s="114"/>
      <c r="Y148" s="115">
        <v>0</v>
      </c>
      <c r="Z148" s="116">
        <v>1</v>
      </c>
      <c r="AA148" s="117">
        <f t="shared" si="19"/>
        <v>0</v>
      </c>
      <c r="AB148" s="118">
        <f t="shared" si="20"/>
        <v>1</v>
      </c>
      <c r="AC148" s="118">
        <f t="shared" si="18"/>
        <v>45615</v>
      </c>
      <c r="AD148" s="118">
        <f t="shared" si="21"/>
        <v>-45614</v>
      </c>
      <c r="AE148" s="117">
        <f t="shared" si="22"/>
        <v>0</v>
      </c>
    </row>
    <row r="149" spans="2:31" ht="15.75" customHeight="1" thickBot="1" x14ac:dyDescent="0.25">
      <c r="B149" s="123">
        <f t="shared" si="25"/>
        <v>15</v>
      </c>
      <c r="C149" s="158"/>
      <c r="D149" s="123">
        <f t="shared" si="26"/>
        <v>36</v>
      </c>
      <c r="E149" s="158"/>
      <c r="F149" s="123">
        <f t="shared" si="26"/>
        <v>57</v>
      </c>
      <c r="G149" s="158"/>
      <c r="H149" s="123">
        <f t="shared" si="26"/>
        <v>78</v>
      </c>
      <c r="I149" s="158"/>
      <c r="J149" s="123">
        <f t="shared" si="26"/>
        <v>99</v>
      </c>
      <c r="K149" s="158"/>
      <c r="L149" s="123">
        <f t="shared" si="26"/>
        <v>120</v>
      </c>
      <c r="M149" s="158"/>
      <c r="N149" s="196"/>
      <c r="O149" s="125"/>
      <c r="P149" s="79">
        <v>10</v>
      </c>
      <c r="Q149" s="79"/>
      <c r="R149" s="79">
        <v>40</v>
      </c>
      <c r="T149" s="113">
        <f t="shared" si="23"/>
        <v>23</v>
      </c>
      <c r="U149" s="113" t="s">
        <v>165</v>
      </c>
      <c r="V149" s="114"/>
      <c r="W149" s="114">
        <f t="shared" si="24"/>
        <v>0</v>
      </c>
      <c r="X149" s="114"/>
      <c r="Y149" s="115">
        <v>0</v>
      </c>
      <c r="Z149" s="116">
        <v>1</v>
      </c>
      <c r="AA149" s="117">
        <f t="shared" si="19"/>
        <v>0</v>
      </c>
      <c r="AB149" s="118">
        <f t="shared" si="20"/>
        <v>1</v>
      </c>
      <c r="AC149" s="118">
        <f t="shared" si="18"/>
        <v>45615</v>
      </c>
      <c r="AD149" s="118">
        <f t="shared" si="21"/>
        <v>-45614</v>
      </c>
      <c r="AE149" s="117">
        <f t="shared" si="22"/>
        <v>0</v>
      </c>
    </row>
    <row r="150" spans="2:31" ht="15.75" customHeight="1" thickBot="1" x14ac:dyDescent="0.25">
      <c r="B150" s="123">
        <f t="shared" si="25"/>
        <v>16</v>
      </c>
      <c r="C150" s="158"/>
      <c r="D150" s="123">
        <f t="shared" si="26"/>
        <v>37</v>
      </c>
      <c r="E150" s="158"/>
      <c r="F150" s="123">
        <f t="shared" si="26"/>
        <v>58</v>
      </c>
      <c r="G150" s="158"/>
      <c r="H150" s="123">
        <f t="shared" si="26"/>
        <v>79</v>
      </c>
      <c r="I150" s="158"/>
      <c r="J150" s="123">
        <f t="shared" si="26"/>
        <v>100</v>
      </c>
      <c r="K150" s="158"/>
      <c r="L150" s="123">
        <f t="shared" si="26"/>
        <v>121</v>
      </c>
      <c r="M150" s="158"/>
      <c r="N150" s="196"/>
      <c r="O150" s="125"/>
      <c r="T150" s="113">
        <f t="shared" si="23"/>
        <v>24</v>
      </c>
      <c r="U150" s="113" t="s">
        <v>166</v>
      </c>
      <c r="V150" s="114"/>
      <c r="W150" s="114">
        <f t="shared" si="24"/>
        <v>0</v>
      </c>
      <c r="X150" s="114"/>
      <c r="Y150" s="115">
        <v>0</v>
      </c>
      <c r="Z150" s="116">
        <v>1</v>
      </c>
      <c r="AA150" s="117">
        <f t="shared" si="19"/>
        <v>0</v>
      </c>
      <c r="AB150" s="118">
        <f t="shared" si="20"/>
        <v>1</v>
      </c>
      <c r="AC150" s="118">
        <f t="shared" si="18"/>
        <v>45615</v>
      </c>
      <c r="AD150" s="118">
        <f t="shared" si="21"/>
        <v>-45614</v>
      </c>
      <c r="AE150" s="117">
        <f t="shared" si="22"/>
        <v>0</v>
      </c>
    </row>
    <row r="151" spans="2:31" ht="15.75" customHeight="1" thickBot="1" x14ac:dyDescent="0.25">
      <c r="B151" s="123">
        <f t="shared" si="25"/>
        <v>17</v>
      </c>
      <c r="C151" s="158"/>
      <c r="D151" s="123">
        <f t="shared" si="26"/>
        <v>38</v>
      </c>
      <c r="E151" s="158"/>
      <c r="F151" s="123">
        <f t="shared" si="26"/>
        <v>59</v>
      </c>
      <c r="G151" s="158"/>
      <c r="H151" s="123">
        <f t="shared" si="26"/>
        <v>80</v>
      </c>
      <c r="I151" s="158"/>
      <c r="J151" s="123">
        <f t="shared" si="26"/>
        <v>101</v>
      </c>
      <c r="K151" s="158"/>
      <c r="L151" s="123">
        <f t="shared" si="26"/>
        <v>122</v>
      </c>
      <c r="M151" s="158"/>
      <c r="N151" s="196"/>
      <c r="O151" s="125"/>
      <c r="R151" s="130" t="s">
        <v>213</v>
      </c>
      <c r="T151" s="113">
        <f t="shared" si="23"/>
        <v>25</v>
      </c>
      <c r="U151" s="113" t="s">
        <v>168</v>
      </c>
      <c r="V151" s="114"/>
      <c r="W151" s="114">
        <f t="shared" si="24"/>
        <v>0</v>
      </c>
      <c r="X151" s="114"/>
      <c r="Y151" s="115">
        <v>0</v>
      </c>
      <c r="Z151" s="116">
        <v>1</v>
      </c>
      <c r="AA151" s="117">
        <f t="shared" si="19"/>
        <v>0</v>
      </c>
      <c r="AB151" s="118">
        <f t="shared" si="20"/>
        <v>1</v>
      </c>
      <c r="AC151" s="118">
        <f t="shared" si="18"/>
        <v>45615</v>
      </c>
      <c r="AD151" s="118">
        <f t="shared" si="21"/>
        <v>-45614</v>
      </c>
      <c r="AE151" s="117">
        <f t="shared" si="22"/>
        <v>0</v>
      </c>
    </row>
    <row r="152" spans="2:31" ht="15.75" customHeight="1" thickBot="1" x14ac:dyDescent="0.25">
      <c r="B152" s="123">
        <f t="shared" si="25"/>
        <v>18</v>
      </c>
      <c r="C152" s="158"/>
      <c r="D152" s="123">
        <f t="shared" si="26"/>
        <v>39</v>
      </c>
      <c r="E152" s="158"/>
      <c r="F152" s="123">
        <f t="shared" si="26"/>
        <v>60</v>
      </c>
      <c r="G152" s="158"/>
      <c r="H152" s="123">
        <f t="shared" si="26"/>
        <v>81</v>
      </c>
      <c r="I152" s="158"/>
      <c r="J152" s="123">
        <f t="shared" si="26"/>
        <v>102</v>
      </c>
      <c r="K152" s="158"/>
      <c r="L152" s="123">
        <f t="shared" si="26"/>
        <v>123</v>
      </c>
      <c r="M152" s="158"/>
      <c r="N152" s="196"/>
      <c r="O152" s="125"/>
      <c r="P152" s="82" t="s">
        <v>201</v>
      </c>
      <c r="R152" s="131">
        <v>17282722097</v>
      </c>
      <c r="T152" s="113">
        <f t="shared" si="23"/>
        <v>26</v>
      </c>
      <c r="U152" s="113" t="s">
        <v>170</v>
      </c>
      <c r="V152" s="114"/>
      <c r="W152" s="114">
        <f t="shared" si="24"/>
        <v>0</v>
      </c>
      <c r="X152" s="114"/>
      <c r="Y152" s="115">
        <v>0</v>
      </c>
      <c r="Z152" s="116">
        <v>1</v>
      </c>
      <c r="AA152" s="117">
        <f t="shared" si="19"/>
        <v>0</v>
      </c>
      <c r="AB152" s="118">
        <f t="shared" si="20"/>
        <v>1</v>
      </c>
      <c r="AC152" s="118">
        <f t="shared" si="18"/>
        <v>45615</v>
      </c>
      <c r="AD152" s="118">
        <f t="shared" si="21"/>
        <v>-45614</v>
      </c>
      <c r="AE152" s="117">
        <f t="shared" si="22"/>
        <v>0</v>
      </c>
    </row>
    <row r="153" spans="2:31" ht="15.75" customHeight="1" thickBot="1" x14ac:dyDescent="0.25">
      <c r="B153" s="123">
        <f t="shared" si="25"/>
        <v>19</v>
      </c>
      <c r="C153" s="158"/>
      <c r="D153" s="123">
        <f t="shared" si="26"/>
        <v>40</v>
      </c>
      <c r="E153" s="158"/>
      <c r="F153" s="123">
        <f t="shared" si="26"/>
        <v>61</v>
      </c>
      <c r="G153" s="158"/>
      <c r="H153" s="123">
        <f t="shared" si="26"/>
        <v>82</v>
      </c>
      <c r="I153" s="158"/>
      <c r="J153" s="123">
        <f t="shared" si="26"/>
        <v>103</v>
      </c>
      <c r="K153" s="158"/>
      <c r="L153" s="123">
        <f t="shared" si="26"/>
        <v>124</v>
      </c>
      <c r="M153" s="158"/>
      <c r="N153" s="196"/>
      <c r="O153" s="125"/>
      <c r="P153" s="82" t="s">
        <v>214</v>
      </c>
      <c r="R153" s="131">
        <v>14101948434</v>
      </c>
      <c r="T153" s="113">
        <f t="shared" si="23"/>
        <v>27</v>
      </c>
      <c r="U153" s="113" t="s">
        <v>172</v>
      </c>
      <c r="V153" s="114"/>
      <c r="W153" s="114">
        <f t="shared" si="24"/>
        <v>0</v>
      </c>
      <c r="X153" s="114"/>
      <c r="Y153" s="115">
        <v>0</v>
      </c>
      <c r="Z153" s="116">
        <v>1</v>
      </c>
      <c r="AA153" s="117">
        <f t="shared" si="19"/>
        <v>0</v>
      </c>
      <c r="AB153" s="118">
        <f t="shared" si="20"/>
        <v>1</v>
      </c>
      <c r="AC153" s="118">
        <f t="shared" si="18"/>
        <v>45615</v>
      </c>
      <c r="AD153" s="118">
        <f t="shared" si="21"/>
        <v>-45614</v>
      </c>
      <c r="AE153" s="117">
        <f t="shared" si="22"/>
        <v>0</v>
      </c>
    </row>
    <row r="154" spans="2:31" ht="15.75" customHeight="1" thickBot="1" x14ac:dyDescent="0.25">
      <c r="B154" s="123">
        <f t="shared" si="25"/>
        <v>20</v>
      </c>
      <c r="C154" s="158"/>
      <c r="D154" s="123">
        <f t="shared" si="26"/>
        <v>41</v>
      </c>
      <c r="E154" s="158"/>
      <c r="F154" s="123">
        <f t="shared" si="26"/>
        <v>62</v>
      </c>
      <c r="G154" s="158"/>
      <c r="H154" s="123">
        <f t="shared" si="26"/>
        <v>83</v>
      </c>
      <c r="I154" s="158"/>
      <c r="J154" s="123">
        <f t="shared" si="26"/>
        <v>104</v>
      </c>
      <c r="K154" s="158"/>
      <c r="L154" s="123">
        <f t="shared" si="26"/>
        <v>125</v>
      </c>
      <c r="M154" s="158"/>
      <c r="N154" s="196"/>
      <c r="O154" s="125"/>
      <c r="P154" s="82" t="s">
        <v>202</v>
      </c>
      <c r="R154" s="131">
        <v>8860786921</v>
      </c>
      <c r="T154" s="113">
        <f t="shared" si="23"/>
        <v>28</v>
      </c>
      <c r="U154" s="113" t="s">
        <v>174</v>
      </c>
      <c r="V154" s="114"/>
      <c r="W154" s="114">
        <f t="shared" si="24"/>
        <v>0</v>
      </c>
      <c r="X154" s="114"/>
      <c r="Y154" s="115">
        <v>0</v>
      </c>
      <c r="Z154" s="116">
        <v>1</v>
      </c>
      <c r="AA154" s="117">
        <f t="shared" si="19"/>
        <v>0</v>
      </c>
      <c r="AB154" s="118">
        <f t="shared" si="20"/>
        <v>1</v>
      </c>
      <c r="AC154" s="118">
        <f t="shared" si="18"/>
        <v>45615</v>
      </c>
      <c r="AD154" s="118">
        <f t="shared" si="21"/>
        <v>-45614</v>
      </c>
      <c r="AE154" s="117">
        <f t="shared" si="22"/>
        <v>0</v>
      </c>
    </row>
    <row r="155" spans="2:31" ht="15.75" customHeight="1" thickBot="1" x14ac:dyDescent="0.25">
      <c r="B155" s="123">
        <f t="shared" si="25"/>
        <v>21</v>
      </c>
      <c r="C155" s="158"/>
      <c r="D155" s="123">
        <f t="shared" si="26"/>
        <v>42</v>
      </c>
      <c r="E155" s="158"/>
      <c r="F155" s="123">
        <f t="shared" si="26"/>
        <v>63</v>
      </c>
      <c r="G155" s="158"/>
      <c r="H155" s="123">
        <f t="shared" si="26"/>
        <v>84</v>
      </c>
      <c r="I155" s="158"/>
      <c r="J155" s="123">
        <f t="shared" si="26"/>
        <v>105</v>
      </c>
      <c r="K155" s="158"/>
      <c r="L155" s="123">
        <f t="shared" si="26"/>
        <v>126</v>
      </c>
      <c r="M155" s="158"/>
      <c r="N155" s="197"/>
      <c r="P155" s="82" t="s">
        <v>203</v>
      </c>
      <c r="R155" s="131">
        <v>19587312969</v>
      </c>
      <c r="T155" s="113">
        <f t="shared" si="23"/>
        <v>29</v>
      </c>
      <c r="U155" s="113" t="s">
        <v>176</v>
      </c>
      <c r="V155" s="114"/>
      <c r="W155" s="114">
        <f t="shared" si="24"/>
        <v>0</v>
      </c>
      <c r="X155" s="114"/>
      <c r="Y155" s="115">
        <v>0</v>
      </c>
      <c r="Z155" s="116">
        <v>1</v>
      </c>
      <c r="AA155" s="117">
        <f t="shared" si="19"/>
        <v>0</v>
      </c>
      <c r="AB155" s="118">
        <f t="shared" si="20"/>
        <v>1</v>
      </c>
      <c r="AC155" s="118">
        <f t="shared" si="18"/>
        <v>45615</v>
      </c>
      <c r="AD155" s="118">
        <f t="shared" si="21"/>
        <v>-45614</v>
      </c>
      <c r="AE155" s="117">
        <f t="shared" si="22"/>
        <v>0</v>
      </c>
    </row>
    <row r="156" spans="2:31" ht="15.75" customHeight="1" thickBot="1" x14ac:dyDescent="0.25">
      <c r="B156" s="161" t="s">
        <v>167</v>
      </c>
      <c r="C156" s="161"/>
      <c r="D156" s="161"/>
      <c r="E156" s="161"/>
      <c r="F156" s="161"/>
      <c r="G156" s="161"/>
      <c r="H156" s="161"/>
      <c r="I156" s="161"/>
      <c r="J156" s="198">
        <f>SUM(C135:C155,G135:G155,K135:K155,E135:E155,I135:I155,K135:K155,M135:M155)</f>
        <v>0</v>
      </c>
      <c r="K156" s="198"/>
      <c r="L156" s="198"/>
      <c r="M156" s="198"/>
      <c r="N156" s="198"/>
      <c r="P156" s="82" t="s">
        <v>204</v>
      </c>
      <c r="R156" s="131">
        <v>10049355290</v>
      </c>
      <c r="T156" s="113">
        <f t="shared" si="23"/>
        <v>30</v>
      </c>
      <c r="U156" s="113" t="s">
        <v>178</v>
      </c>
      <c r="V156" s="114"/>
      <c r="W156" s="114">
        <f t="shared" si="24"/>
        <v>0</v>
      </c>
      <c r="X156" s="114"/>
      <c r="Y156" s="115">
        <v>0</v>
      </c>
      <c r="Z156" s="116">
        <v>1</v>
      </c>
      <c r="AA156" s="117">
        <f t="shared" si="19"/>
        <v>0</v>
      </c>
      <c r="AB156" s="118">
        <f t="shared" si="20"/>
        <v>1</v>
      </c>
      <c r="AC156" s="118">
        <f t="shared" si="18"/>
        <v>45615</v>
      </c>
      <c r="AD156" s="118">
        <f t="shared" si="21"/>
        <v>-45614</v>
      </c>
      <c r="AE156" s="117">
        <f t="shared" si="22"/>
        <v>0</v>
      </c>
    </row>
    <row r="157" spans="2:31" ht="15.75" customHeight="1" thickBot="1" x14ac:dyDescent="0.25">
      <c r="B157" s="161" t="s">
        <v>171</v>
      </c>
      <c r="C157" s="161"/>
      <c r="D157" s="161"/>
      <c r="E157" s="161"/>
      <c r="F157" s="161"/>
      <c r="G157" s="161"/>
      <c r="H157" s="161"/>
      <c r="I157" s="161"/>
      <c r="J157" s="212">
        <f>IFERROR(J156/(($B$19)*I123),0)</f>
        <v>0</v>
      </c>
      <c r="K157" s="212"/>
      <c r="L157" s="212"/>
      <c r="M157" s="212"/>
      <c r="N157" s="212"/>
      <c r="P157" s="82" t="s">
        <v>205</v>
      </c>
      <c r="R157" s="131">
        <v>16751309190</v>
      </c>
      <c r="T157" s="113">
        <f t="shared" si="23"/>
        <v>31</v>
      </c>
      <c r="U157" s="113" t="s">
        <v>180</v>
      </c>
      <c r="V157" s="114"/>
      <c r="W157" s="114">
        <f t="shared" si="24"/>
        <v>0</v>
      </c>
      <c r="X157" s="114"/>
      <c r="Y157" s="115">
        <v>0</v>
      </c>
      <c r="Z157" s="116">
        <v>1</v>
      </c>
      <c r="AA157" s="117">
        <f t="shared" si="19"/>
        <v>0</v>
      </c>
      <c r="AB157" s="118">
        <f t="shared" si="20"/>
        <v>1</v>
      </c>
      <c r="AC157" s="118">
        <f t="shared" si="18"/>
        <v>45615</v>
      </c>
      <c r="AD157" s="118">
        <f t="shared" si="21"/>
        <v>-45614</v>
      </c>
      <c r="AE157" s="117">
        <f t="shared" si="22"/>
        <v>0</v>
      </c>
    </row>
    <row r="158" spans="2:31" ht="15.75" customHeight="1" x14ac:dyDescent="0.2">
      <c r="B158" s="161" t="s">
        <v>173</v>
      </c>
      <c r="C158" s="161"/>
      <c r="D158" s="161"/>
      <c r="E158" s="161"/>
      <c r="F158" s="161"/>
      <c r="G158" s="161"/>
      <c r="H158" s="161"/>
      <c r="I158" s="161"/>
      <c r="J158" s="161"/>
      <c r="K158" s="161"/>
      <c r="L158" s="211">
        <f>IF(J157&gt;P138,R138,IF(J157&gt;P137,R137,IF(J157&gt;P136,R136,R135)))</f>
        <v>60</v>
      </c>
      <c r="M158" s="211"/>
      <c r="N158" s="211"/>
      <c r="O158" s="125"/>
      <c r="P158" s="82" t="s">
        <v>206</v>
      </c>
      <c r="R158" s="131">
        <v>14142724014</v>
      </c>
      <c r="T158" s="113">
        <f t="shared" si="23"/>
        <v>32</v>
      </c>
      <c r="U158" s="113" t="s">
        <v>182</v>
      </c>
      <c r="V158" s="114"/>
      <c r="W158" s="114">
        <f t="shared" si="24"/>
        <v>0</v>
      </c>
      <c r="X158" s="114"/>
      <c r="Y158" s="115">
        <v>0</v>
      </c>
      <c r="Z158" s="116">
        <v>1</v>
      </c>
      <c r="AA158" s="117">
        <f t="shared" si="19"/>
        <v>0</v>
      </c>
      <c r="AB158" s="118">
        <f t="shared" si="20"/>
        <v>1</v>
      </c>
      <c r="AC158" s="118">
        <f t="shared" si="18"/>
        <v>45615</v>
      </c>
      <c r="AD158" s="118">
        <f t="shared" si="21"/>
        <v>-45614</v>
      </c>
      <c r="AE158" s="117">
        <f t="shared" si="22"/>
        <v>0</v>
      </c>
    </row>
    <row r="159" spans="2:31" ht="15.75" customHeight="1" x14ac:dyDescent="0.25">
      <c r="B159" s="212" t="s">
        <v>215</v>
      </c>
      <c r="C159" s="212"/>
      <c r="D159" s="212"/>
      <c r="E159" s="212"/>
      <c r="F159" s="212"/>
      <c r="G159" s="212"/>
      <c r="H159" s="212"/>
      <c r="I159" s="212"/>
      <c r="J159" s="212"/>
      <c r="K159" s="212"/>
      <c r="L159" s="212"/>
      <c r="M159" s="212"/>
      <c r="N159" s="212"/>
      <c r="O159" s="125"/>
      <c r="T159" s="113">
        <f t="shared" si="23"/>
        <v>33</v>
      </c>
      <c r="U159" s="113" t="s">
        <v>184</v>
      </c>
      <c r="V159" s="114"/>
      <c r="W159" s="114">
        <f t="shared" si="24"/>
        <v>0</v>
      </c>
      <c r="X159" s="114"/>
      <c r="Y159" s="115">
        <v>0</v>
      </c>
      <c r="Z159" s="116">
        <v>1</v>
      </c>
      <c r="AA159" s="117">
        <f t="shared" si="19"/>
        <v>0</v>
      </c>
      <c r="AB159" s="118">
        <f t="shared" si="20"/>
        <v>1</v>
      </c>
      <c r="AC159" s="118">
        <f t="shared" si="18"/>
        <v>45615</v>
      </c>
      <c r="AD159" s="118">
        <f t="shared" si="21"/>
        <v>-45614</v>
      </c>
      <c r="AE159" s="117">
        <f t="shared" si="22"/>
        <v>0</v>
      </c>
    </row>
    <row r="160" spans="2:31" ht="15.75" customHeight="1" x14ac:dyDescent="0.2">
      <c r="B160" s="186"/>
      <c r="C160" s="187"/>
      <c r="D160" s="187"/>
      <c r="E160" s="187"/>
      <c r="F160" s="187"/>
      <c r="G160" s="188"/>
      <c r="H160" s="223" t="s">
        <v>177</v>
      </c>
      <c r="I160" s="223"/>
      <c r="J160" s="223"/>
      <c r="K160" s="223"/>
      <c r="L160" s="224">
        <f>$I$9</f>
        <v>0</v>
      </c>
      <c r="M160" s="224"/>
      <c r="N160" s="224"/>
      <c r="O160" s="125"/>
      <c r="R160" s="130" t="s">
        <v>216</v>
      </c>
      <c r="T160" s="113">
        <f t="shared" si="23"/>
        <v>34</v>
      </c>
      <c r="U160" s="113" t="s">
        <v>186</v>
      </c>
      <c r="V160" s="114"/>
      <c r="W160" s="114">
        <f t="shared" si="24"/>
        <v>0</v>
      </c>
      <c r="X160" s="114"/>
      <c r="Y160" s="115">
        <v>0</v>
      </c>
      <c r="Z160" s="116">
        <v>1</v>
      </c>
      <c r="AA160" s="117">
        <f t="shared" si="19"/>
        <v>0</v>
      </c>
      <c r="AB160" s="118">
        <f t="shared" si="20"/>
        <v>1</v>
      </c>
      <c r="AC160" s="118">
        <f t="shared" si="18"/>
        <v>45615</v>
      </c>
      <c r="AD160" s="118">
        <f t="shared" si="21"/>
        <v>-45614</v>
      </c>
      <c r="AE160" s="117">
        <f t="shared" si="22"/>
        <v>0</v>
      </c>
    </row>
    <row r="161" spans="2:31" ht="15.75" customHeight="1" x14ac:dyDescent="0.2">
      <c r="B161" s="189"/>
      <c r="C161" s="190"/>
      <c r="D161" s="190"/>
      <c r="E161" s="190"/>
      <c r="F161" s="190"/>
      <c r="G161" s="191"/>
      <c r="H161" s="223" t="s">
        <v>179</v>
      </c>
      <c r="I161" s="223"/>
      <c r="J161" s="223"/>
      <c r="K161" s="223"/>
      <c r="L161" s="224">
        <f>$J$9</f>
        <v>0</v>
      </c>
      <c r="M161" s="224"/>
      <c r="N161" s="224"/>
      <c r="O161" s="125"/>
      <c r="P161" s="82" t="s">
        <v>201</v>
      </c>
      <c r="R161" s="131">
        <v>8053415585</v>
      </c>
      <c r="T161" s="113">
        <f t="shared" si="23"/>
        <v>35</v>
      </c>
      <c r="U161" s="113" t="s">
        <v>187</v>
      </c>
      <c r="V161" s="114"/>
      <c r="W161" s="114">
        <f t="shared" si="24"/>
        <v>0</v>
      </c>
      <c r="X161" s="114"/>
      <c r="Y161" s="115">
        <v>0</v>
      </c>
      <c r="Z161" s="116">
        <v>1</v>
      </c>
      <c r="AA161" s="117">
        <f t="shared" si="19"/>
        <v>0</v>
      </c>
      <c r="AB161" s="118">
        <f t="shared" si="20"/>
        <v>1</v>
      </c>
      <c r="AC161" s="118">
        <f t="shared" si="18"/>
        <v>45615</v>
      </c>
      <c r="AD161" s="118">
        <f t="shared" si="21"/>
        <v>-45614</v>
      </c>
      <c r="AE161" s="117">
        <f t="shared" si="22"/>
        <v>0</v>
      </c>
    </row>
    <row r="162" spans="2:31" ht="15.75" customHeight="1" x14ac:dyDescent="0.2">
      <c r="B162" s="192"/>
      <c r="C162" s="193"/>
      <c r="D162" s="193"/>
      <c r="E162" s="193"/>
      <c r="F162" s="193"/>
      <c r="G162" s="194"/>
      <c r="H162" s="161" t="s">
        <v>181</v>
      </c>
      <c r="I162" s="161"/>
      <c r="J162" s="161"/>
      <c r="K162" s="161"/>
      <c r="L162" s="210">
        <f>IFERROR(ROUND(L160/L161,2),0)</f>
        <v>0</v>
      </c>
      <c r="M162" s="210"/>
      <c r="N162" s="210"/>
      <c r="O162" s="125"/>
      <c r="P162" s="82" t="s">
        <v>214</v>
      </c>
      <c r="R162" s="131">
        <v>6562161350</v>
      </c>
      <c r="T162" s="113">
        <f t="shared" si="23"/>
        <v>36</v>
      </c>
      <c r="U162" s="113" t="s">
        <v>189</v>
      </c>
      <c r="V162" s="114"/>
      <c r="W162" s="114">
        <f t="shared" si="24"/>
        <v>0</v>
      </c>
      <c r="X162" s="114"/>
      <c r="Y162" s="115">
        <v>0</v>
      </c>
      <c r="Z162" s="116">
        <v>1</v>
      </c>
      <c r="AA162" s="117">
        <f t="shared" si="19"/>
        <v>0</v>
      </c>
      <c r="AB162" s="118">
        <f t="shared" si="20"/>
        <v>1</v>
      </c>
      <c r="AC162" s="118">
        <f t="shared" si="18"/>
        <v>45615</v>
      </c>
      <c r="AD162" s="118">
        <f t="shared" si="21"/>
        <v>-45614</v>
      </c>
      <c r="AE162" s="117">
        <f t="shared" si="22"/>
        <v>0</v>
      </c>
    </row>
    <row r="163" spans="2:31" ht="15.75" customHeight="1" x14ac:dyDescent="0.2">
      <c r="B163" s="161" t="s">
        <v>183</v>
      </c>
      <c r="C163" s="161"/>
      <c r="D163" s="161"/>
      <c r="E163" s="161"/>
      <c r="F163" s="161"/>
      <c r="G163" s="161"/>
      <c r="H163" s="161"/>
      <c r="I163" s="161"/>
      <c r="J163" s="161"/>
      <c r="K163" s="161"/>
      <c r="L163" s="211">
        <f>IF(L162&gt;P144,R144,IF(L162&gt;P143,R143,IF(L162&gt;P142,R142,IF(L162&gt;P141,R141,R140))))</f>
        <v>20</v>
      </c>
      <c r="M163" s="211"/>
      <c r="N163" s="211"/>
      <c r="O163" s="125"/>
      <c r="P163" s="82" t="s">
        <v>202</v>
      </c>
      <c r="R163" s="131">
        <v>4132783282</v>
      </c>
      <c r="T163" s="113">
        <f>T162+1</f>
        <v>37</v>
      </c>
      <c r="U163" s="113" t="s">
        <v>190</v>
      </c>
      <c r="V163" s="114"/>
      <c r="W163" s="114">
        <f>W162</f>
        <v>0</v>
      </c>
      <c r="X163" s="114"/>
      <c r="Y163" s="115">
        <v>0</v>
      </c>
      <c r="Z163" s="116">
        <v>1</v>
      </c>
      <c r="AA163" s="117">
        <f t="shared" si="19"/>
        <v>0</v>
      </c>
      <c r="AB163" s="118">
        <f t="shared" si="20"/>
        <v>1</v>
      </c>
      <c r="AC163" s="118">
        <f t="shared" si="18"/>
        <v>45615</v>
      </c>
      <c r="AD163" s="118">
        <f t="shared" si="21"/>
        <v>-45614</v>
      </c>
      <c r="AE163" s="117">
        <f t="shared" si="22"/>
        <v>0</v>
      </c>
    </row>
    <row r="164" spans="2:31" ht="15.75" customHeight="1" x14ac:dyDescent="0.25">
      <c r="B164" s="212" t="s">
        <v>185</v>
      </c>
      <c r="C164" s="212"/>
      <c r="D164" s="212"/>
      <c r="E164" s="212"/>
      <c r="F164" s="212"/>
      <c r="G164" s="212"/>
      <c r="H164" s="212"/>
      <c r="I164" s="212"/>
      <c r="J164" s="212"/>
      <c r="K164" s="212"/>
      <c r="L164" s="212"/>
      <c r="M164" s="212"/>
      <c r="N164" s="212"/>
      <c r="P164" s="82" t="s">
        <v>203</v>
      </c>
      <c r="R164" s="131">
        <v>9125008249</v>
      </c>
      <c r="T164" s="113">
        <f>T163+1</f>
        <v>38</v>
      </c>
      <c r="U164" s="113" t="s">
        <v>191</v>
      </c>
      <c r="V164" s="114"/>
      <c r="W164" s="114">
        <f>W163</f>
        <v>0</v>
      </c>
      <c r="X164" s="114"/>
      <c r="Y164" s="115">
        <v>0</v>
      </c>
      <c r="Z164" s="116">
        <v>1</v>
      </c>
      <c r="AA164" s="117">
        <f t="shared" si="19"/>
        <v>0</v>
      </c>
      <c r="AB164" s="118">
        <f t="shared" si="20"/>
        <v>1</v>
      </c>
      <c r="AC164" s="118">
        <f t="shared" si="18"/>
        <v>45615</v>
      </c>
      <c r="AD164" s="118">
        <f t="shared" si="21"/>
        <v>-45614</v>
      </c>
      <c r="AE164" s="117">
        <f t="shared" si="22"/>
        <v>0</v>
      </c>
    </row>
    <row r="165" spans="2:31" ht="15.75" customHeight="1" x14ac:dyDescent="0.25">
      <c r="B165" s="220" t="s">
        <v>94</v>
      </c>
      <c r="C165" s="220"/>
      <c r="D165" s="220"/>
      <c r="E165" s="220"/>
      <c r="F165" s="220"/>
      <c r="G165" s="220"/>
      <c r="H165" s="220"/>
      <c r="I165" s="220"/>
      <c r="J165" s="220"/>
      <c r="K165" s="220"/>
      <c r="L165" s="220"/>
      <c r="M165" s="221">
        <f>$K$9</f>
        <v>0</v>
      </c>
      <c r="N165" s="221"/>
      <c r="P165" s="82" t="s">
        <v>204</v>
      </c>
      <c r="R165" s="131">
        <v>4685421355</v>
      </c>
      <c r="T165" s="113">
        <f t="shared" si="23"/>
        <v>39</v>
      </c>
      <c r="U165" s="113" t="s">
        <v>192</v>
      </c>
      <c r="V165" s="114"/>
      <c r="W165" s="114">
        <f t="shared" si="24"/>
        <v>0</v>
      </c>
      <c r="X165" s="114"/>
      <c r="Y165" s="115">
        <v>0</v>
      </c>
      <c r="Z165" s="116">
        <v>1</v>
      </c>
      <c r="AA165" s="117">
        <f t="shared" si="19"/>
        <v>0</v>
      </c>
      <c r="AB165" s="118">
        <f t="shared" si="20"/>
        <v>1</v>
      </c>
      <c r="AC165" s="118">
        <f t="shared" si="18"/>
        <v>45615</v>
      </c>
      <c r="AD165" s="118">
        <f t="shared" si="21"/>
        <v>-45614</v>
      </c>
      <c r="AE165" s="117">
        <f t="shared" si="22"/>
        <v>0</v>
      </c>
    </row>
    <row r="166" spans="2:31" ht="15.75" customHeight="1" x14ac:dyDescent="0.2">
      <c r="B166" s="161" t="s">
        <v>188</v>
      </c>
      <c r="C166" s="161"/>
      <c r="D166" s="161"/>
      <c r="E166" s="161"/>
      <c r="F166" s="161"/>
      <c r="G166" s="161"/>
      <c r="H166" s="161"/>
      <c r="I166" s="161"/>
      <c r="J166" s="161"/>
      <c r="K166" s="161"/>
      <c r="L166" s="211">
        <f>IF(M165&gt;P149,R149,IF(M165&gt;P148,R148,IF(M165&gt;P147,R147,R146)))</f>
        <v>0</v>
      </c>
      <c r="M166" s="211"/>
      <c r="N166" s="211"/>
      <c r="P166" s="82" t="s">
        <v>205</v>
      </c>
      <c r="R166" s="131">
        <v>7832191370</v>
      </c>
      <c r="T166" s="113">
        <f t="shared" si="23"/>
        <v>40</v>
      </c>
      <c r="U166" s="113" t="s">
        <v>193</v>
      </c>
      <c r="V166" s="114"/>
      <c r="W166" s="114">
        <f t="shared" si="24"/>
        <v>0</v>
      </c>
      <c r="X166" s="114"/>
      <c r="Y166" s="115">
        <v>0</v>
      </c>
      <c r="Z166" s="116">
        <v>1</v>
      </c>
      <c r="AA166" s="117">
        <f t="shared" si="19"/>
        <v>0</v>
      </c>
      <c r="AB166" s="118">
        <f t="shared" si="20"/>
        <v>1</v>
      </c>
      <c r="AC166" s="118">
        <f t="shared" si="18"/>
        <v>45615</v>
      </c>
      <c r="AD166" s="118">
        <f t="shared" si="21"/>
        <v>-45614</v>
      </c>
      <c r="AE166" s="117">
        <f t="shared" si="22"/>
        <v>0</v>
      </c>
    </row>
    <row r="167" spans="2:31" ht="15.75" customHeight="1" x14ac:dyDescent="0.25">
      <c r="P167" s="82" t="s">
        <v>206</v>
      </c>
      <c r="R167" s="131">
        <v>6568014622</v>
      </c>
      <c r="T167" s="113">
        <f t="shared" si="23"/>
        <v>41</v>
      </c>
      <c r="U167" s="113" t="s">
        <v>194</v>
      </c>
      <c r="V167" s="114"/>
      <c r="W167" s="114">
        <f t="shared" si="24"/>
        <v>0</v>
      </c>
      <c r="X167" s="114"/>
      <c r="Y167" s="115">
        <v>0</v>
      </c>
      <c r="Z167" s="116">
        <v>1</v>
      </c>
      <c r="AA167" s="117">
        <f t="shared" si="19"/>
        <v>0</v>
      </c>
      <c r="AB167" s="118">
        <f t="shared" si="20"/>
        <v>1</v>
      </c>
      <c r="AC167" s="118">
        <f t="shared" si="18"/>
        <v>45615</v>
      </c>
      <c r="AD167" s="118">
        <f t="shared" si="21"/>
        <v>-45614</v>
      </c>
      <c r="AE167" s="117">
        <f t="shared" si="22"/>
        <v>0</v>
      </c>
    </row>
    <row r="168" spans="2:31" ht="15.75" customHeight="1" x14ac:dyDescent="0.2">
      <c r="B168" s="161" t="str">
        <f>"CAPACIDAD DE CONTRATACIÓN "&amp;$F$122</f>
        <v xml:space="preserve">CAPACIDAD DE CONTRATACIÓN </v>
      </c>
      <c r="C168" s="161"/>
      <c r="D168" s="161"/>
      <c r="E168" s="161"/>
      <c r="F168" s="161"/>
      <c r="G168" s="161"/>
      <c r="H168" s="161"/>
      <c r="I168" s="161"/>
      <c r="J168" s="161"/>
      <c r="K168" s="161"/>
      <c r="L168" s="167">
        <f>I131*((L158+L163+L166)/100)</f>
        <v>426630400</v>
      </c>
      <c r="M168" s="167"/>
      <c r="N168" s="167"/>
      <c r="T168" s="113">
        <f t="shared" si="23"/>
        <v>42</v>
      </c>
      <c r="U168" s="113" t="s">
        <v>195</v>
      </c>
      <c r="V168" s="114"/>
      <c r="W168" s="114">
        <f t="shared" si="24"/>
        <v>0</v>
      </c>
      <c r="X168" s="114"/>
      <c r="Y168" s="115">
        <v>0</v>
      </c>
      <c r="Z168" s="116">
        <v>1</v>
      </c>
      <c r="AA168" s="117">
        <f t="shared" si="19"/>
        <v>0</v>
      </c>
      <c r="AB168" s="118">
        <f t="shared" si="20"/>
        <v>1</v>
      </c>
      <c r="AC168" s="118">
        <f t="shared" si="18"/>
        <v>45615</v>
      </c>
      <c r="AD168" s="118">
        <f t="shared" si="21"/>
        <v>-45614</v>
      </c>
      <c r="AE168" s="117">
        <f t="shared" si="22"/>
        <v>0</v>
      </c>
    </row>
    <row r="169" spans="2:31" ht="12.75" x14ac:dyDescent="0.2">
      <c r="B169" s="161" t="str">
        <f>"SALDO DE LOS CONTRATOS EN EJECUCIÓN "&amp;$F$122</f>
        <v xml:space="preserve">SALDO DE LOS CONTRATOS EN EJECUCIÓN </v>
      </c>
      <c r="C169" s="161"/>
      <c r="D169" s="161"/>
      <c r="E169" s="161"/>
      <c r="F169" s="161"/>
      <c r="G169" s="161"/>
      <c r="H169" s="161"/>
      <c r="I169" s="161"/>
      <c r="J169" s="161"/>
      <c r="K169" s="161"/>
      <c r="L169" s="167">
        <f>$M$9</f>
        <v>0</v>
      </c>
      <c r="M169" s="167"/>
      <c r="N169" s="167"/>
      <c r="R169" s="130" t="s">
        <v>200</v>
      </c>
      <c r="T169" s="113">
        <f t="shared" si="23"/>
        <v>43</v>
      </c>
      <c r="U169" s="113" t="s">
        <v>198</v>
      </c>
      <c r="V169" s="114"/>
      <c r="W169" s="114">
        <f t="shared" si="24"/>
        <v>0</v>
      </c>
      <c r="X169" s="114"/>
      <c r="Y169" s="115">
        <v>0</v>
      </c>
      <c r="Z169" s="116">
        <v>1</v>
      </c>
      <c r="AA169" s="117">
        <f t="shared" si="19"/>
        <v>0</v>
      </c>
      <c r="AB169" s="118">
        <f t="shared" si="20"/>
        <v>1</v>
      </c>
      <c r="AC169" s="118">
        <f t="shared" si="18"/>
        <v>45615</v>
      </c>
      <c r="AD169" s="118">
        <f t="shared" si="21"/>
        <v>-45614</v>
      </c>
      <c r="AE169" s="117">
        <f t="shared" si="22"/>
        <v>0</v>
      </c>
    </row>
    <row r="170" spans="2:31" ht="15.75" customHeight="1" x14ac:dyDescent="0.2">
      <c r="B170" s="161" t="str">
        <f>"CAPACIDAD RESIDUAL DE CONTRATACIÓN "&amp;$F$122</f>
        <v xml:space="preserve">CAPACIDAD RESIDUAL DE CONTRATACIÓN </v>
      </c>
      <c r="C170" s="161"/>
      <c r="D170" s="161"/>
      <c r="E170" s="161"/>
      <c r="F170" s="161"/>
      <c r="G170" s="161"/>
      <c r="H170" s="161"/>
      <c r="I170" s="161"/>
      <c r="J170" s="161"/>
      <c r="K170" s="161"/>
      <c r="L170" s="167">
        <f>L168-L169</f>
        <v>426630400</v>
      </c>
      <c r="M170" s="167"/>
      <c r="N170" s="167"/>
      <c r="P170" s="82" t="s">
        <v>201</v>
      </c>
      <c r="R170" s="83">
        <v>16</v>
      </c>
      <c r="Z170" s="235" t="s">
        <v>199</v>
      </c>
      <c r="AA170" s="235"/>
      <c r="AB170" s="235"/>
      <c r="AC170" s="235"/>
      <c r="AD170" s="235"/>
      <c r="AE170" s="126">
        <f>SUM(AE127:AE169)</f>
        <v>25000000</v>
      </c>
    </row>
    <row r="171" spans="2:31" ht="15.75" customHeight="1" x14ac:dyDescent="0.2">
      <c r="B171" s="127"/>
      <c r="C171" s="127"/>
      <c r="D171" s="127"/>
      <c r="E171" s="127"/>
      <c r="F171" s="127"/>
      <c r="G171" s="127"/>
      <c r="H171" s="127"/>
      <c r="I171" s="127"/>
      <c r="J171" s="127"/>
      <c r="K171" s="127"/>
      <c r="L171" s="128"/>
      <c r="M171" s="128"/>
      <c r="N171" s="128"/>
      <c r="P171" s="82"/>
      <c r="R171" s="83"/>
      <c r="Z171" s="132"/>
      <c r="AA171" s="132"/>
      <c r="AB171" s="132"/>
      <c r="AC171" s="132"/>
      <c r="AD171" s="132"/>
      <c r="AE171" s="133"/>
    </row>
    <row r="172" spans="2:31" ht="15.75" customHeight="1" x14ac:dyDescent="0.25">
      <c r="B172" s="213" t="str">
        <f>"INTEGRANTE 1: "&amp;$C$7&amp;" PRESENTA ESTADOS FINANCIEROS DICTAMINADOS"</f>
        <v>INTEGRANTE 1: Juan Pablo Dorado Martínez PRESENTA ESTADOS FINANCIEROS DICTAMINADOS</v>
      </c>
      <c r="C172" s="214"/>
      <c r="D172" s="214"/>
      <c r="E172" s="214"/>
      <c r="F172" s="214"/>
      <c r="G172" s="214"/>
      <c r="H172" s="214"/>
      <c r="I172" s="214"/>
      <c r="J172" s="214"/>
      <c r="K172" s="407"/>
      <c r="L172" s="215" t="str">
        <f>IF(L173="","",IF(L174="","",IF(AND(L173="si",L174="si")=TRUE,"CUMPLE","NO CUMPLE")))</f>
        <v/>
      </c>
      <c r="M172" s="215"/>
      <c r="N172" s="215"/>
      <c r="P172" s="82" t="s">
        <v>202</v>
      </c>
      <c r="R172" s="83">
        <v>15</v>
      </c>
    </row>
    <row r="173" spans="2:31" ht="54.75" customHeight="1" x14ac:dyDescent="0.25">
      <c r="B173" s="163" t="s">
        <v>196</v>
      </c>
      <c r="C173" s="163"/>
      <c r="D173" s="163"/>
      <c r="E173" s="163"/>
      <c r="F173" s="163"/>
      <c r="G173" s="163"/>
      <c r="H173" s="163"/>
      <c r="I173" s="163"/>
      <c r="J173" s="163"/>
      <c r="K173" s="163"/>
      <c r="L173" s="164"/>
      <c r="M173" s="164"/>
      <c r="N173" s="164"/>
      <c r="P173" s="82"/>
      <c r="R173" s="83"/>
    </row>
    <row r="174" spans="2:31" ht="32.25" customHeight="1" x14ac:dyDescent="0.25">
      <c r="B174" s="163" t="s">
        <v>197</v>
      </c>
      <c r="C174" s="163"/>
      <c r="D174" s="163"/>
      <c r="E174" s="163"/>
      <c r="F174" s="163"/>
      <c r="G174" s="163"/>
      <c r="H174" s="163"/>
      <c r="I174" s="163"/>
      <c r="J174" s="163"/>
      <c r="K174" s="163"/>
      <c r="L174" s="164"/>
      <c r="M174" s="164"/>
      <c r="N174" s="164"/>
      <c r="P174" s="82"/>
      <c r="R174" s="83"/>
    </row>
    <row r="175" spans="2:31" ht="15.75" customHeight="1" x14ac:dyDescent="0.25">
      <c r="B175" s="213" t="str">
        <f>"INTEGRANTE 2: "&amp;$C$8&amp;" PRESENTA ESTADOS FINANCIEROS DICTAMINADOS"</f>
        <v>INTEGRANTE 2: Dorado Asociados SAS PRESENTA ESTADOS FINANCIEROS DICTAMINADOS</v>
      </c>
      <c r="C175" s="214"/>
      <c r="D175" s="214"/>
      <c r="E175" s="214"/>
      <c r="F175" s="214"/>
      <c r="G175" s="214"/>
      <c r="H175" s="214"/>
      <c r="I175" s="214"/>
      <c r="J175" s="214"/>
      <c r="K175" s="407"/>
      <c r="L175" s="215" t="str">
        <f>IF(L176="","",IF(L177="","",IF(AND(L176="si",L177="si")=TRUE,"CUMPLE","NO CUMPLE")))</f>
        <v/>
      </c>
      <c r="M175" s="215"/>
      <c r="N175" s="215"/>
      <c r="P175" s="82" t="s">
        <v>203</v>
      </c>
      <c r="R175" s="83">
        <v>19</v>
      </c>
    </row>
    <row r="176" spans="2:31" ht="54.75" customHeight="1" x14ac:dyDescent="0.25">
      <c r="B176" s="163" t="s">
        <v>196</v>
      </c>
      <c r="C176" s="163"/>
      <c r="D176" s="163"/>
      <c r="E176" s="163"/>
      <c r="F176" s="163"/>
      <c r="G176" s="163"/>
      <c r="H176" s="163"/>
      <c r="I176" s="163"/>
      <c r="J176" s="163"/>
      <c r="K176" s="163"/>
      <c r="L176" s="164"/>
      <c r="M176" s="164"/>
      <c r="N176" s="164"/>
      <c r="P176" s="82"/>
      <c r="R176" s="83"/>
    </row>
    <row r="177" spans="2:18" ht="32.25" customHeight="1" x14ac:dyDescent="0.25">
      <c r="B177" s="163" t="s">
        <v>197</v>
      </c>
      <c r="C177" s="163"/>
      <c r="D177" s="163"/>
      <c r="E177" s="163"/>
      <c r="F177" s="163"/>
      <c r="G177" s="163"/>
      <c r="H177" s="163"/>
      <c r="I177" s="163"/>
      <c r="J177" s="163"/>
      <c r="K177" s="163"/>
      <c r="L177" s="164"/>
      <c r="M177" s="164"/>
      <c r="N177" s="164"/>
      <c r="P177" s="82"/>
      <c r="R177" s="83"/>
    </row>
    <row r="178" spans="2:18" ht="15.75" customHeight="1" x14ac:dyDescent="0.25">
      <c r="B178" s="213" t="str">
        <f>"INTEGRANTE 3: "&amp;$C$9&amp;" PRESENTA ESTADOS FINANCIEROS DICTAMINADOS"</f>
        <v>INTEGRANTE 3: 0 PRESENTA ESTADOS FINANCIEROS DICTAMINADOS</v>
      </c>
      <c r="C178" s="214"/>
      <c r="D178" s="214"/>
      <c r="E178" s="214"/>
      <c r="F178" s="214"/>
      <c r="G178" s="214"/>
      <c r="H178" s="214"/>
      <c r="I178" s="214"/>
      <c r="J178" s="214"/>
      <c r="K178" s="407"/>
      <c r="L178" s="215" t="str">
        <f>IF(L179="","",IF(L180="","",IF(AND(L179="si",L180="si")=TRUE,"CUMPLE","NO CUMPLE")))</f>
        <v/>
      </c>
      <c r="M178" s="215"/>
      <c r="N178" s="215"/>
      <c r="P178" s="82"/>
      <c r="R178" s="83"/>
    </row>
    <row r="179" spans="2:18" ht="54.75" customHeight="1" x14ac:dyDescent="0.25">
      <c r="B179" s="163" t="s">
        <v>196</v>
      </c>
      <c r="C179" s="163"/>
      <c r="D179" s="163"/>
      <c r="E179" s="163"/>
      <c r="F179" s="163"/>
      <c r="G179" s="163"/>
      <c r="H179" s="163"/>
      <c r="I179" s="163"/>
      <c r="J179" s="163"/>
      <c r="K179" s="163"/>
      <c r="L179" s="164"/>
      <c r="M179" s="164"/>
      <c r="N179" s="164"/>
      <c r="P179" s="82"/>
      <c r="R179" s="83"/>
    </row>
    <row r="180" spans="2:18" ht="32.25" customHeight="1" x14ac:dyDescent="0.25">
      <c r="B180" s="163" t="s">
        <v>197</v>
      </c>
      <c r="C180" s="163"/>
      <c r="D180" s="163"/>
      <c r="E180" s="163"/>
      <c r="F180" s="163"/>
      <c r="G180" s="163"/>
      <c r="H180" s="163"/>
      <c r="I180" s="163"/>
      <c r="J180" s="163"/>
      <c r="K180" s="163"/>
      <c r="L180" s="164"/>
      <c r="M180" s="164"/>
      <c r="N180" s="164"/>
      <c r="P180" s="82"/>
      <c r="R180" s="83"/>
    </row>
    <row r="181" spans="2:18" ht="12.75" x14ac:dyDescent="0.25">
      <c r="P181" s="82" t="s">
        <v>204</v>
      </c>
      <c r="R181" s="83">
        <v>17</v>
      </c>
    </row>
    <row r="182" spans="2:18" ht="15.75" customHeight="1" x14ac:dyDescent="0.25">
      <c r="B182" s="408" t="s">
        <v>50</v>
      </c>
      <c r="C182" s="409"/>
      <c r="D182" s="409"/>
      <c r="E182" s="409"/>
      <c r="F182" s="409"/>
      <c r="G182" s="409"/>
      <c r="H182" s="409"/>
      <c r="I182" s="409"/>
      <c r="J182" s="409"/>
      <c r="K182" s="409"/>
      <c r="L182" s="409"/>
      <c r="M182" s="409"/>
      <c r="N182" s="410"/>
      <c r="P182" s="82" t="s">
        <v>205</v>
      </c>
      <c r="R182" s="83">
        <v>19</v>
      </c>
    </row>
    <row r="183" spans="2:18" ht="66" customHeight="1" x14ac:dyDescent="0.25">
      <c r="B183" s="242"/>
      <c r="C183" s="243"/>
      <c r="D183" s="243"/>
      <c r="E183" s="243"/>
      <c r="F183" s="243"/>
      <c r="G183" s="243"/>
      <c r="H183" s="243"/>
      <c r="I183" s="243"/>
      <c r="J183" s="243"/>
      <c r="K183" s="243"/>
      <c r="L183" s="243"/>
      <c r="M183" s="243"/>
      <c r="N183" s="244"/>
      <c r="P183" s="82" t="s">
        <v>206</v>
      </c>
      <c r="R183" s="83">
        <v>19</v>
      </c>
    </row>
    <row r="185" spans="2:18" ht="12.75" x14ac:dyDescent="0.25"/>
    <row r="186" spans="2:18" ht="12.75" x14ac:dyDescent="0.25"/>
    <row r="189" spans="2:18" ht="180" customHeight="1" x14ac:dyDescent="0.25"/>
  </sheetData>
  <sheetProtection selectLockedCells="1"/>
  <mergeCells count="244">
    <mergeCell ref="C7:F7"/>
    <mergeCell ref="K7:L7"/>
    <mergeCell ref="M7:N7"/>
    <mergeCell ref="C8:F8"/>
    <mergeCell ref="K8:L8"/>
    <mergeCell ref="M8:N8"/>
    <mergeCell ref="B2:N2"/>
    <mergeCell ref="B4:E4"/>
    <mergeCell ref="F4:N4"/>
    <mergeCell ref="B5:N5"/>
    <mergeCell ref="B6:F6"/>
    <mergeCell ref="K6:L6"/>
    <mergeCell ref="M6:N6"/>
    <mergeCell ref="B15:K15"/>
    <mergeCell ref="L15:N15"/>
    <mergeCell ref="B17:N17"/>
    <mergeCell ref="B18:E18"/>
    <mergeCell ref="F18:G18"/>
    <mergeCell ref="I18:N18"/>
    <mergeCell ref="B11:K11"/>
    <mergeCell ref="L11:N11"/>
    <mergeCell ref="B12:K12"/>
    <mergeCell ref="L12:N12"/>
    <mergeCell ref="B14:K14"/>
    <mergeCell ref="L14:N14"/>
    <mergeCell ref="B23:H23"/>
    <mergeCell ref="I23:N23"/>
    <mergeCell ref="T21:U21"/>
    <mergeCell ref="V21:AA21"/>
    <mergeCell ref="B24:G24"/>
    <mergeCell ref="H24:M24"/>
    <mergeCell ref="B22:N22"/>
    <mergeCell ref="B19:E19"/>
    <mergeCell ref="F19:G19"/>
    <mergeCell ref="I19:N19"/>
    <mergeCell ref="B20:H20"/>
    <mergeCell ref="I20:N20"/>
    <mergeCell ref="AC24:AC25"/>
    <mergeCell ref="AD24:AD25"/>
    <mergeCell ref="AE24:AE25"/>
    <mergeCell ref="H27:M27"/>
    <mergeCell ref="H28:M28"/>
    <mergeCell ref="B29:N29"/>
    <mergeCell ref="W24:W25"/>
    <mergeCell ref="X24:X25"/>
    <mergeCell ref="Y24:Y25"/>
    <mergeCell ref="Z24:Z25"/>
    <mergeCell ref="AA24:AA25"/>
    <mergeCell ref="AB24:AB25"/>
    <mergeCell ref="B25:G28"/>
    <mergeCell ref="H25:M25"/>
    <mergeCell ref="H26:M26"/>
    <mergeCell ref="T24:T25"/>
    <mergeCell ref="U24:U25"/>
    <mergeCell ref="V24:V25"/>
    <mergeCell ref="B56:I56"/>
    <mergeCell ref="J56:N56"/>
    <mergeCell ref="B57:I57"/>
    <mergeCell ref="J57:N57"/>
    <mergeCell ref="N34:N55"/>
    <mergeCell ref="P44:Q44"/>
    <mergeCell ref="P33:Q33"/>
    <mergeCell ref="P38:Q38"/>
    <mergeCell ref="B30:H30"/>
    <mergeCell ref="I30:N30"/>
    <mergeCell ref="B31:H31"/>
    <mergeCell ref="I31:N31"/>
    <mergeCell ref="B32:N32"/>
    <mergeCell ref="B33:N33"/>
    <mergeCell ref="B63:K63"/>
    <mergeCell ref="L63:N63"/>
    <mergeCell ref="B64:N64"/>
    <mergeCell ref="B65:L65"/>
    <mergeCell ref="M65:N65"/>
    <mergeCell ref="B66:K66"/>
    <mergeCell ref="L66:N66"/>
    <mergeCell ref="B58:K58"/>
    <mergeCell ref="L58:N58"/>
    <mergeCell ref="B59:N59"/>
    <mergeCell ref="B60:G62"/>
    <mergeCell ref="H60:K60"/>
    <mergeCell ref="L60:N60"/>
    <mergeCell ref="H61:K61"/>
    <mergeCell ref="L61:N61"/>
    <mergeCell ref="H62:K62"/>
    <mergeCell ref="L62:N62"/>
    <mergeCell ref="Z69:AD69"/>
    <mergeCell ref="B73:H73"/>
    <mergeCell ref="I73:N73"/>
    <mergeCell ref="B74:G74"/>
    <mergeCell ref="H74:M74"/>
    <mergeCell ref="T72:U72"/>
    <mergeCell ref="V72:AA72"/>
    <mergeCell ref="B72:N72"/>
    <mergeCell ref="B68:K68"/>
    <mergeCell ref="L68:N68"/>
    <mergeCell ref="B69:K69"/>
    <mergeCell ref="L69:N69"/>
    <mergeCell ref="B70:K70"/>
    <mergeCell ref="L70:N70"/>
    <mergeCell ref="AE75:AE76"/>
    <mergeCell ref="H78:M78"/>
    <mergeCell ref="B79:N79"/>
    <mergeCell ref="V75:V76"/>
    <mergeCell ref="W75:W76"/>
    <mergeCell ref="X75:X76"/>
    <mergeCell ref="Y75:Y76"/>
    <mergeCell ref="Z75:Z76"/>
    <mergeCell ref="AA75:AA76"/>
    <mergeCell ref="B75:G78"/>
    <mergeCell ref="H75:M75"/>
    <mergeCell ref="H76:M76"/>
    <mergeCell ref="H77:M77"/>
    <mergeCell ref="T75:T76"/>
    <mergeCell ref="U75:U76"/>
    <mergeCell ref="B80:H80"/>
    <mergeCell ref="I80:N80"/>
    <mergeCell ref="B81:H81"/>
    <mergeCell ref="I81:N81"/>
    <mergeCell ref="B82:N82"/>
    <mergeCell ref="B83:N83"/>
    <mergeCell ref="AB75:AB76"/>
    <mergeCell ref="AC75:AC76"/>
    <mergeCell ref="AD75:AD76"/>
    <mergeCell ref="L111:N111"/>
    <mergeCell ref="H112:K112"/>
    <mergeCell ref="L112:N112"/>
    <mergeCell ref="B106:I106"/>
    <mergeCell ref="J106:N106"/>
    <mergeCell ref="B107:I107"/>
    <mergeCell ref="J107:N107"/>
    <mergeCell ref="N84:N105"/>
    <mergeCell ref="P95:Q95"/>
    <mergeCell ref="P84:Q84"/>
    <mergeCell ref="P89:Q89"/>
    <mergeCell ref="Z120:AD120"/>
    <mergeCell ref="B175:K175"/>
    <mergeCell ref="L175:N175"/>
    <mergeCell ref="B182:N182"/>
    <mergeCell ref="T122:U122"/>
    <mergeCell ref="V122:AA122"/>
    <mergeCell ref="B124:G124"/>
    <mergeCell ref="H124:M124"/>
    <mergeCell ref="B118:K118"/>
    <mergeCell ref="L118:N118"/>
    <mergeCell ref="B119:K119"/>
    <mergeCell ref="L119:N119"/>
    <mergeCell ref="B120:K120"/>
    <mergeCell ref="L120:N120"/>
    <mergeCell ref="B130:H130"/>
    <mergeCell ref="I130:N130"/>
    <mergeCell ref="B131:H131"/>
    <mergeCell ref="I131:N131"/>
    <mergeCell ref="B132:N132"/>
    <mergeCell ref="B133:N133"/>
    <mergeCell ref="AD125:AD126"/>
    <mergeCell ref="H161:K161"/>
    <mergeCell ref="H162:K162"/>
    <mergeCell ref="L162:N162"/>
    <mergeCell ref="B183:N183"/>
    <mergeCell ref="C9:F9"/>
    <mergeCell ref="K9:L9"/>
    <mergeCell ref="M9:N9"/>
    <mergeCell ref="B13:K13"/>
    <mergeCell ref="L13:N13"/>
    <mergeCell ref="B123:H123"/>
    <mergeCell ref="I123:N123"/>
    <mergeCell ref="B172:K172"/>
    <mergeCell ref="L172:N172"/>
    <mergeCell ref="B113:K113"/>
    <mergeCell ref="L113:N113"/>
    <mergeCell ref="B114:N114"/>
    <mergeCell ref="B115:L115"/>
    <mergeCell ref="M115:N115"/>
    <mergeCell ref="B116:K116"/>
    <mergeCell ref="L116:N116"/>
    <mergeCell ref="B108:K108"/>
    <mergeCell ref="L108:N108"/>
    <mergeCell ref="B109:N109"/>
    <mergeCell ref="B110:G112"/>
    <mergeCell ref="H110:K110"/>
    <mergeCell ref="L110:N110"/>
    <mergeCell ref="H111:K111"/>
    <mergeCell ref="AE125:AE126"/>
    <mergeCell ref="H126:M126"/>
    <mergeCell ref="H127:M127"/>
    <mergeCell ref="H128:M128"/>
    <mergeCell ref="B129:N129"/>
    <mergeCell ref="X125:X126"/>
    <mergeCell ref="Y125:Y126"/>
    <mergeCell ref="Z125:Z126"/>
    <mergeCell ref="AA125:AA126"/>
    <mergeCell ref="AB125:AB126"/>
    <mergeCell ref="AC125:AC126"/>
    <mergeCell ref="B125:G128"/>
    <mergeCell ref="H125:M125"/>
    <mergeCell ref="T125:T126"/>
    <mergeCell ref="U125:U126"/>
    <mergeCell ref="V125:V126"/>
    <mergeCell ref="W125:W126"/>
    <mergeCell ref="B156:I156"/>
    <mergeCell ref="J156:N156"/>
    <mergeCell ref="B157:I157"/>
    <mergeCell ref="J157:N157"/>
    <mergeCell ref="N134:N155"/>
    <mergeCell ref="P145:Q145"/>
    <mergeCell ref="P134:Q134"/>
    <mergeCell ref="P139:Q139"/>
    <mergeCell ref="B122:N122"/>
    <mergeCell ref="Z170:AD170"/>
    <mergeCell ref="B168:K168"/>
    <mergeCell ref="L168:N168"/>
    <mergeCell ref="B169:K169"/>
    <mergeCell ref="L169:N169"/>
    <mergeCell ref="B170:K170"/>
    <mergeCell ref="L170:N170"/>
    <mergeCell ref="B163:K163"/>
    <mergeCell ref="L163:N163"/>
    <mergeCell ref="B165:L165"/>
    <mergeCell ref="M165:N165"/>
    <mergeCell ref="B166:K166"/>
    <mergeCell ref="L166:N166"/>
    <mergeCell ref="B158:K158"/>
    <mergeCell ref="L158:N158"/>
    <mergeCell ref="B159:N159"/>
    <mergeCell ref="B160:G162"/>
    <mergeCell ref="H160:K160"/>
    <mergeCell ref="B180:K180"/>
    <mergeCell ref="L180:N180"/>
    <mergeCell ref="B173:K173"/>
    <mergeCell ref="L173:N173"/>
    <mergeCell ref="B174:K174"/>
    <mergeCell ref="L174:N174"/>
    <mergeCell ref="B176:K176"/>
    <mergeCell ref="L176:N176"/>
    <mergeCell ref="B177:K177"/>
    <mergeCell ref="L177:N177"/>
    <mergeCell ref="B179:K179"/>
    <mergeCell ref="L179:N179"/>
    <mergeCell ref="L160:N160"/>
    <mergeCell ref="L161:N161"/>
    <mergeCell ref="B164:N164"/>
    <mergeCell ref="B178:K178"/>
    <mergeCell ref="L178:N178"/>
  </mergeCells>
  <conditionalFormatting sqref="G7:G9">
    <cfRule type="expression" dxfId="11" priority="1">
      <formula>SUM($G$7:$G$9)=0</formula>
    </cfRule>
    <cfRule type="expression" dxfId="10" priority="2">
      <formula>SUM($G$7:$G$9)&lt;100%</formula>
    </cfRule>
  </conditionalFormatting>
  <conditionalFormatting sqref="L15 X18:Y18">
    <cfRule type="cellIs" dxfId="9" priority="5" stopIfTrue="1" operator="equal">
      <formula>$Q$27</formula>
    </cfRule>
    <cfRule type="cellIs" dxfId="8" priority="6" stopIfTrue="1" operator="equal">
      <formula>$Q$28</formula>
    </cfRule>
  </conditionalFormatting>
  <dataValidations count="1">
    <dataValidation type="list" allowBlank="1" showInputMessage="1" showErrorMessage="1" sqref="L173:N174 L176:N177 L179:N180" xr:uid="{2C6E3F0C-7139-420A-8251-947B03ED5531}">
      <formula1>$O$1:$O$2</formula1>
    </dataValidation>
  </dataValidations>
  <printOptions horizontalCentered="1"/>
  <pageMargins left="0.70866141732283472" right="0.70866141732283472" top="0.74803149606299213" bottom="0.74803149606299213" header="0.31496062992125984" footer="0.31496062992125984"/>
  <pageSetup paperSize="9" scale="55" orientation="portrait" horizontalDpi="300" verticalDpi="300" r:id="rId1"/>
  <rowBreaks count="2" manualBreakCount="2">
    <brk id="78" max="16383" man="1"/>
    <brk id="158" max="13" man="1"/>
  </rowBreaks>
  <drawing r:id="rId2"/>
  <legacyDrawing r:id="rId3"/>
  <oleObjects>
    <mc:AlternateContent xmlns:mc="http://schemas.openxmlformats.org/markup-compatibility/2006">
      <mc:Choice Requires="x14">
        <oleObject progId="Equation.3" shapeId="8193" r:id="rId4">
          <objectPr defaultSize="0" autoPict="0" r:id="rId5">
            <anchor moveWithCells="1">
              <from>
                <xdr:col>1</xdr:col>
                <xdr:colOff>323850</xdr:colOff>
                <xdr:row>24</xdr:row>
                <xdr:rowOff>171450</xdr:rowOff>
              </from>
              <to>
                <xdr:col>6</xdr:col>
                <xdr:colOff>361950</xdr:colOff>
                <xdr:row>26</xdr:row>
                <xdr:rowOff>180975</xdr:rowOff>
              </to>
            </anchor>
          </objectPr>
        </oleObject>
      </mc:Choice>
      <mc:Fallback>
        <oleObject progId="Equation.3" shapeId="8193" r:id="rId4"/>
      </mc:Fallback>
    </mc:AlternateContent>
    <mc:AlternateContent xmlns:mc="http://schemas.openxmlformats.org/markup-compatibility/2006">
      <mc:Choice Requires="x14">
        <oleObject progId="Equation.3" shapeId="8194" r:id="rId6">
          <objectPr defaultSize="0" autoPict="0" r:id="rId7">
            <anchor moveWithCells="1">
              <from>
                <xdr:col>2</xdr:col>
                <xdr:colOff>9525</xdr:colOff>
                <xdr:row>59</xdr:row>
                <xdr:rowOff>85725</xdr:rowOff>
              </from>
              <to>
                <xdr:col>6</xdr:col>
                <xdr:colOff>228600</xdr:colOff>
                <xdr:row>61</xdr:row>
                <xdr:rowOff>123825</xdr:rowOff>
              </to>
            </anchor>
          </objectPr>
        </oleObject>
      </mc:Choice>
      <mc:Fallback>
        <oleObject progId="Equation.3" shapeId="8194" r:id="rId6"/>
      </mc:Fallback>
    </mc:AlternateContent>
    <mc:AlternateContent xmlns:mc="http://schemas.openxmlformats.org/markup-compatibility/2006">
      <mc:Choice Requires="x14">
        <oleObject progId="Equation.3" shapeId="8195" r:id="rId8">
          <objectPr defaultSize="0" autoPict="0" r:id="rId5">
            <anchor moveWithCells="1">
              <from>
                <xdr:col>2</xdr:col>
                <xdr:colOff>19050</xdr:colOff>
                <xdr:row>75</xdr:row>
                <xdr:rowOff>9525</xdr:rowOff>
              </from>
              <to>
                <xdr:col>6</xdr:col>
                <xdr:colOff>447675</xdr:colOff>
                <xdr:row>76</xdr:row>
                <xdr:rowOff>190500</xdr:rowOff>
              </to>
            </anchor>
          </objectPr>
        </oleObject>
      </mc:Choice>
      <mc:Fallback>
        <oleObject progId="Equation.3" shapeId="8195" r:id="rId8"/>
      </mc:Fallback>
    </mc:AlternateContent>
    <mc:AlternateContent xmlns:mc="http://schemas.openxmlformats.org/markup-compatibility/2006">
      <mc:Choice Requires="x14">
        <oleObject progId="Equation.3" shapeId="8196" r:id="rId9">
          <objectPr defaultSize="0" autoPict="0" r:id="rId7">
            <anchor moveWithCells="1">
              <from>
                <xdr:col>1</xdr:col>
                <xdr:colOff>85725</xdr:colOff>
                <xdr:row>109</xdr:row>
                <xdr:rowOff>85725</xdr:rowOff>
              </from>
              <to>
                <xdr:col>5</xdr:col>
                <xdr:colOff>371475</xdr:colOff>
                <xdr:row>111</xdr:row>
                <xdr:rowOff>123825</xdr:rowOff>
              </to>
            </anchor>
          </objectPr>
        </oleObject>
      </mc:Choice>
      <mc:Fallback>
        <oleObject progId="Equation.3" shapeId="8196" r:id="rId9"/>
      </mc:Fallback>
    </mc:AlternateContent>
    <mc:AlternateContent xmlns:mc="http://schemas.openxmlformats.org/markup-compatibility/2006">
      <mc:Choice Requires="x14">
        <oleObject progId="Equation.3" shapeId="8204" r:id="rId10">
          <objectPr defaultSize="0" autoPict="0" r:id="rId5">
            <anchor moveWithCells="1">
              <from>
                <xdr:col>2</xdr:col>
                <xdr:colOff>19050</xdr:colOff>
                <xdr:row>125</xdr:row>
                <xdr:rowOff>9525</xdr:rowOff>
              </from>
              <to>
                <xdr:col>6</xdr:col>
                <xdr:colOff>447675</xdr:colOff>
                <xdr:row>126</xdr:row>
                <xdr:rowOff>190500</xdr:rowOff>
              </to>
            </anchor>
          </objectPr>
        </oleObject>
      </mc:Choice>
      <mc:Fallback>
        <oleObject progId="Equation.3" shapeId="8204" r:id="rId10"/>
      </mc:Fallback>
    </mc:AlternateContent>
    <mc:AlternateContent xmlns:mc="http://schemas.openxmlformats.org/markup-compatibility/2006">
      <mc:Choice Requires="x14">
        <oleObject progId="Equation.3" shapeId="8205" r:id="rId11">
          <objectPr defaultSize="0" autoPict="0" r:id="rId7">
            <anchor moveWithCells="1">
              <from>
                <xdr:col>1</xdr:col>
                <xdr:colOff>85725</xdr:colOff>
                <xdr:row>159</xdr:row>
                <xdr:rowOff>85725</xdr:rowOff>
              </from>
              <to>
                <xdr:col>5</xdr:col>
                <xdr:colOff>371475</xdr:colOff>
                <xdr:row>161</xdr:row>
                <xdr:rowOff>123825</xdr:rowOff>
              </to>
            </anchor>
          </objectPr>
        </oleObject>
      </mc:Choice>
      <mc:Fallback>
        <oleObject progId="Equation.3" shapeId="8205" r:id="rId11"/>
      </mc:Fallback>
    </mc:AlternateContent>
  </oleObjec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G242"/>
  <sheetViews>
    <sheetView showGridLines="0" view="pageBreakPreview" topLeftCell="A206" zoomScaleNormal="100" zoomScaleSheetLayoutView="100" workbookViewId="0">
      <selection activeCell="B186" sqref="B186:N208"/>
    </sheetView>
  </sheetViews>
  <sheetFormatPr baseColWidth="10" defaultColWidth="5.85546875" defaultRowHeight="15.75" customHeight="1" x14ac:dyDescent="0.25"/>
  <cols>
    <col min="1" max="1" width="5" style="81" customWidth="1"/>
    <col min="2" max="4" width="5.85546875" style="81"/>
    <col min="5" max="5" width="16" style="81" customWidth="1"/>
    <col min="6" max="6" width="6.85546875" style="81" customWidth="1"/>
    <col min="7" max="7" width="14.140625" style="81" customWidth="1"/>
    <col min="8" max="8" width="19.5703125" style="81" customWidth="1"/>
    <col min="9" max="9" width="18.42578125" style="81" customWidth="1"/>
    <col min="10" max="10" width="16.42578125" style="81" customWidth="1"/>
    <col min="11" max="11" width="9" style="81" customWidth="1"/>
    <col min="12" max="12" width="11.7109375" style="81" customWidth="1"/>
    <col min="13" max="13" width="10.7109375" style="81" customWidth="1"/>
    <col min="14" max="14" width="9.28515625" style="81" customWidth="1"/>
    <col min="15" max="15" width="4.7109375" style="81" hidden="1" customWidth="1"/>
    <col min="16" max="16" width="14.85546875" style="81" hidden="1" customWidth="1"/>
    <col min="17" max="17" width="10.7109375" style="81" hidden="1" customWidth="1"/>
    <col min="18" max="18" width="17.5703125" style="81" hidden="1" customWidth="1"/>
    <col min="19" max="19" width="5.85546875" style="81" hidden="1" customWidth="1"/>
    <col min="20" max="20" width="10" style="81" hidden="1" customWidth="1"/>
    <col min="21" max="21" width="13.28515625" style="81" hidden="1" customWidth="1"/>
    <col min="22" max="27" width="20.7109375" style="81" hidden="1" customWidth="1"/>
    <col min="28" max="28" width="18.28515625" style="81" hidden="1" customWidth="1"/>
    <col min="29" max="29" width="14.5703125" style="81" hidden="1" customWidth="1"/>
    <col min="30" max="30" width="15" style="81" hidden="1" customWidth="1"/>
    <col min="31" max="31" width="20.7109375" style="81" hidden="1" customWidth="1"/>
    <col min="32" max="43" width="20.7109375" style="81" customWidth="1"/>
    <col min="44" max="16384" width="5.85546875" style="81"/>
  </cols>
  <sheetData>
    <row r="1" spans="1:32" ht="15.75" customHeight="1" x14ac:dyDescent="0.25">
      <c r="A1" s="88" t="s">
        <v>0</v>
      </c>
      <c r="O1" s="88" t="s">
        <v>2</v>
      </c>
    </row>
    <row r="2" spans="1:32" ht="33" customHeight="1" x14ac:dyDescent="0.25">
      <c r="A2" s="88" t="s">
        <v>3</v>
      </c>
      <c r="B2" s="245" t="s">
        <v>217</v>
      </c>
      <c r="C2" s="246"/>
      <c r="D2" s="246"/>
      <c r="E2" s="246"/>
      <c r="F2" s="246"/>
      <c r="G2" s="246"/>
      <c r="H2" s="246"/>
      <c r="I2" s="246"/>
      <c r="J2" s="246"/>
      <c r="K2" s="246"/>
      <c r="L2" s="246"/>
      <c r="M2" s="246"/>
      <c r="N2" s="247"/>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12.75" x14ac:dyDescent="0.25">
      <c r="A4" s="88"/>
      <c r="B4" s="212" t="s">
        <v>207</v>
      </c>
      <c r="C4" s="212"/>
      <c r="D4" s="212"/>
      <c r="E4" s="212"/>
      <c r="F4" s="249" t="str">
        <f>'EVALUACIÓN EXPERIENCIA'!$G$3</f>
        <v>CONSORCIO MANTENIMIENTOS</v>
      </c>
      <c r="G4" s="249"/>
      <c r="H4" s="249"/>
      <c r="I4" s="249"/>
      <c r="J4" s="249"/>
      <c r="K4" s="249"/>
      <c r="L4" s="249"/>
      <c r="M4" s="249"/>
      <c r="N4" s="249"/>
      <c r="U4" s="89"/>
      <c r="Y4" s="89"/>
      <c r="Z4" s="89"/>
      <c r="AA4" s="89"/>
    </row>
    <row r="5" spans="1:32" ht="12.75" x14ac:dyDescent="0.25">
      <c r="A5" s="88"/>
      <c r="B5" s="165" t="s">
        <v>208</v>
      </c>
      <c r="C5" s="165"/>
      <c r="D5" s="165"/>
      <c r="E5" s="165"/>
      <c r="F5" s="165"/>
      <c r="G5" s="165"/>
      <c r="H5" s="165"/>
      <c r="I5" s="165"/>
      <c r="J5" s="165"/>
      <c r="K5" s="165"/>
      <c r="L5" s="165"/>
      <c r="M5" s="165"/>
      <c r="N5" s="165"/>
      <c r="U5" s="89"/>
      <c r="Y5" s="89"/>
      <c r="Z5" s="89"/>
      <c r="AA5" s="89"/>
    </row>
    <row r="6" spans="1:32" s="80" customFormat="1" ht="54.75" customHeight="1" x14ac:dyDescent="0.25">
      <c r="A6" s="86"/>
      <c r="B6" s="199" t="s">
        <v>209</v>
      </c>
      <c r="C6" s="199"/>
      <c r="D6" s="199"/>
      <c r="E6" s="199"/>
      <c r="F6" s="199"/>
      <c r="G6" s="87" t="s">
        <v>90</v>
      </c>
      <c r="H6" s="87" t="s">
        <v>91</v>
      </c>
      <c r="I6" s="87" t="s">
        <v>92</v>
      </c>
      <c r="J6" s="87" t="s">
        <v>93</v>
      </c>
      <c r="K6" s="200" t="s">
        <v>94</v>
      </c>
      <c r="L6" s="200"/>
      <c r="M6" s="200" t="s">
        <v>95</v>
      </c>
      <c r="N6" s="200"/>
      <c r="U6" s="135"/>
      <c r="Y6" s="135"/>
      <c r="Z6" s="135"/>
      <c r="AA6" s="135"/>
    </row>
    <row r="7" spans="1:32" ht="12.75" x14ac:dyDescent="0.25">
      <c r="A7" s="88"/>
      <c r="B7" s="92">
        <v>1</v>
      </c>
      <c r="C7" s="201" t="str">
        <f>'EVALUACIÓN EXPERIENCIA'!$A$29</f>
        <v>Juan Pablo Dorado Martínez</v>
      </c>
      <c r="D7" s="202"/>
      <c r="E7" s="202"/>
      <c r="F7" s="203"/>
      <c r="G7" s="93">
        <f>'EVALUACIÓN EXPERIENCIA'!$H$29</f>
        <v>0.2</v>
      </c>
      <c r="H7" s="94"/>
      <c r="I7" s="94"/>
      <c r="J7" s="94"/>
      <c r="K7" s="204"/>
      <c r="L7" s="205"/>
      <c r="M7" s="206"/>
      <c r="N7" s="207"/>
      <c r="U7" s="89"/>
      <c r="Y7" s="89"/>
      <c r="Z7" s="89"/>
      <c r="AA7" s="89"/>
    </row>
    <row r="8" spans="1:32" ht="12.75" x14ac:dyDescent="0.25">
      <c r="A8" s="88"/>
      <c r="B8" s="92">
        <v>2</v>
      </c>
      <c r="C8" s="201" t="str">
        <f>'EVALUACIÓN EXPERIENCIA'!$A$30</f>
        <v>Dorado Asociados SAS</v>
      </c>
      <c r="D8" s="202"/>
      <c r="E8" s="202"/>
      <c r="F8" s="203"/>
      <c r="G8" s="93">
        <f>'EVALUACIÓN EXPERIENCIA'!$H$30</f>
        <v>0.8</v>
      </c>
      <c r="H8" s="94"/>
      <c r="I8" s="94"/>
      <c r="J8" s="94"/>
      <c r="K8" s="208"/>
      <c r="L8" s="209"/>
      <c r="M8" s="206"/>
      <c r="N8" s="207"/>
      <c r="U8" s="89"/>
      <c r="Y8" s="89"/>
      <c r="Z8" s="89"/>
      <c r="AA8" s="89"/>
    </row>
    <row r="9" spans="1:32" ht="12.75" x14ac:dyDescent="0.25">
      <c r="A9" s="88"/>
      <c r="B9" s="92">
        <v>3</v>
      </c>
      <c r="C9" s="201">
        <f>'EVALUACIÓN EXPERIENCIA'!$A$31</f>
        <v>0</v>
      </c>
      <c r="D9" s="202"/>
      <c r="E9" s="202"/>
      <c r="F9" s="203"/>
      <c r="G9" s="93">
        <f>'EVALUACIÓN EXPERIENCIA'!$H$31</f>
        <v>0</v>
      </c>
      <c r="H9" s="94"/>
      <c r="I9" s="94"/>
      <c r="J9" s="94"/>
      <c r="K9" s="208"/>
      <c r="L9" s="209"/>
      <c r="M9" s="206"/>
      <c r="N9" s="207"/>
      <c r="U9" s="89"/>
      <c r="Y9" s="89"/>
      <c r="Z9" s="89"/>
      <c r="AA9" s="89"/>
    </row>
    <row r="10" spans="1:32" ht="15.75" customHeight="1" x14ac:dyDescent="0.25">
      <c r="A10" s="88"/>
      <c r="B10" s="92">
        <v>4</v>
      </c>
      <c r="C10" s="201">
        <f>'EVALUACIÓN EXPERIENCIA'!$A$32</f>
        <v>0</v>
      </c>
      <c r="D10" s="202"/>
      <c r="E10" s="202"/>
      <c r="F10" s="203"/>
      <c r="G10" s="93">
        <f>'EVALUACIÓN EXPERIENCIA'!$H$32</f>
        <v>0</v>
      </c>
      <c r="H10" s="94"/>
      <c r="I10" s="94"/>
      <c r="J10" s="94"/>
      <c r="K10" s="208"/>
      <c r="L10" s="209"/>
      <c r="M10" s="206"/>
      <c r="N10" s="207"/>
      <c r="U10" s="89"/>
      <c r="Y10" s="89"/>
      <c r="Z10" s="89"/>
      <c r="AA10" s="89"/>
    </row>
    <row r="11" spans="1:32" ht="12.75" x14ac:dyDescent="0.25">
      <c r="A11" s="88"/>
      <c r="B11" s="90"/>
      <c r="C11" s="90"/>
      <c r="D11" s="90"/>
      <c r="E11" s="90"/>
      <c r="F11" s="90"/>
      <c r="G11" s="90"/>
      <c r="H11" s="90"/>
      <c r="I11" s="90"/>
      <c r="J11" s="90"/>
      <c r="K11" s="90"/>
      <c r="L11" s="90"/>
      <c r="M11" s="90"/>
      <c r="N11" s="90"/>
      <c r="U11" s="89"/>
      <c r="Y11" s="89"/>
      <c r="Z11" s="89"/>
      <c r="AA11" s="89"/>
    </row>
    <row r="12" spans="1:32" ht="15.75" customHeight="1" x14ac:dyDescent="0.25">
      <c r="A12" s="88"/>
      <c r="B12" s="165" t="str">
        <f>"CRP INTEGRANTE 1: "&amp;$C$7</f>
        <v>CRP INTEGRANTE 1: Juan Pablo Dorado Martínez</v>
      </c>
      <c r="C12" s="165"/>
      <c r="D12" s="165"/>
      <c r="E12" s="165"/>
      <c r="F12" s="165"/>
      <c r="G12" s="165"/>
      <c r="H12" s="165"/>
      <c r="I12" s="165"/>
      <c r="J12" s="165"/>
      <c r="K12" s="165"/>
      <c r="L12" s="166">
        <f>L72</f>
        <v>426630400</v>
      </c>
      <c r="M12" s="165"/>
      <c r="N12" s="165"/>
    </row>
    <row r="13" spans="1:32" ht="12.75" x14ac:dyDescent="0.25">
      <c r="A13" s="88"/>
      <c r="B13" s="165" t="str">
        <f>"CRP INTEGRANTE 2: "&amp;$C$8</f>
        <v>CRP INTEGRANTE 2: Dorado Asociados SAS</v>
      </c>
      <c r="C13" s="165"/>
      <c r="D13" s="165"/>
      <c r="E13" s="165"/>
      <c r="F13" s="165"/>
      <c r="G13" s="165"/>
      <c r="H13" s="165"/>
      <c r="I13" s="165"/>
      <c r="J13" s="165"/>
      <c r="K13" s="165"/>
      <c r="L13" s="166">
        <f>L122</f>
        <v>426630400</v>
      </c>
      <c r="M13" s="165"/>
      <c r="N13" s="165"/>
      <c r="P13" s="95"/>
      <c r="Q13" s="95"/>
      <c r="R13" s="95"/>
      <c r="S13" s="95"/>
      <c r="T13" s="95"/>
      <c r="U13" s="95"/>
      <c r="V13" s="95"/>
      <c r="W13" s="95"/>
      <c r="X13" s="95"/>
      <c r="Y13" s="95"/>
      <c r="Z13" s="89"/>
      <c r="AA13" s="89"/>
    </row>
    <row r="14" spans="1:32" ht="15.75" customHeight="1" x14ac:dyDescent="0.2">
      <c r="A14" s="88"/>
      <c r="B14" s="165" t="str">
        <f>"CRP INTEGRANTE 3: "&amp;$C$9</f>
        <v>CRP INTEGRANTE 3: 0</v>
      </c>
      <c r="C14" s="165"/>
      <c r="D14" s="165"/>
      <c r="E14" s="165"/>
      <c r="F14" s="165"/>
      <c r="G14" s="165"/>
      <c r="H14" s="165"/>
      <c r="I14" s="165"/>
      <c r="J14" s="165"/>
      <c r="K14" s="165"/>
      <c r="L14" s="166">
        <f>L172</f>
        <v>426630400</v>
      </c>
      <c r="M14" s="165"/>
      <c r="N14" s="165"/>
      <c r="P14" s="64"/>
      <c r="Q14" s="64"/>
      <c r="R14" s="64"/>
      <c r="S14" s="64"/>
      <c r="T14" s="64"/>
      <c r="Z14" s="64"/>
      <c r="AA14" s="64"/>
      <c r="AB14" s="64"/>
      <c r="AC14" s="64"/>
      <c r="AD14" s="64"/>
      <c r="AE14" s="64"/>
      <c r="AF14" s="64"/>
    </row>
    <row r="15" spans="1:32" ht="15.75" customHeight="1" x14ac:dyDescent="0.2">
      <c r="A15" s="88"/>
      <c r="B15" s="165" t="str">
        <f>"CRP INTEGRANTE 4: "&amp;$C$10</f>
        <v>CRP INTEGRANTE 4: 0</v>
      </c>
      <c r="C15" s="165"/>
      <c r="D15" s="165"/>
      <c r="E15" s="165"/>
      <c r="F15" s="165"/>
      <c r="G15" s="165"/>
      <c r="H15" s="165"/>
      <c r="I15" s="165"/>
      <c r="J15" s="165"/>
      <c r="K15" s="165"/>
      <c r="L15" s="166">
        <f>$L$222</f>
        <v>426630400</v>
      </c>
      <c r="M15" s="165"/>
      <c r="N15" s="165"/>
      <c r="P15" s="97"/>
      <c r="Q15" s="97"/>
      <c r="R15" s="97"/>
      <c r="S15" s="97"/>
      <c r="T15" s="97"/>
      <c r="U15" s="97"/>
      <c r="V15" s="97"/>
      <c r="X15" s="98"/>
      <c r="Y15" s="98"/>
      <c r="Z15" s="64"/>
      <c r="AB15" s="64"/>
      <c r="AC15" s="64"/>
      <c r="AD15" s="64"/>
      <c r="AE15" s="64"/>
      <c r="AF15" s="64"/>
    </row>
    <row r="16" spans="1:32" ht="15.75" customHeight="1" x14ac:dyDescent="0.2">
      <c r="B16" s="165" t="str">
        <f>"TOTAL CRP PROPONENTE: "&amp;$F$4</f>
        <v>TOTAL CRP PROPONENTE: CONSORCIO MANTENIMIENTOS</v>
      </c>
      <c r="C16" s="165"/>
      <c r="D16" s="165"/>
      <c r="E16" s="165"/>
      <c r="F16" s="165"/>
      <c r="G16" s="165"/>
      <c r="H16" s="165"/>
      <c r="I16" s="165"/>
      <c r="J16" s="165"/>
      <c r="K16" s="165"/>
      <c r="L16" s="167">
        <f>SUM(L12:N15)</f>
        <v>1706521600</v>
      </c>
      <c r="M16" s="167"/>
      <c r="N16" s="167"/>
      <c r="P16" s="97"/>
      <c r="Q16" s="97"/>
      <c r="R16" s="97"/>
      <c r="S16" s="97"/>
      <c r="T16" s="97"/>
      <c r="U16" s="97"/>
      <c r="V16" s="97"/>
      <c r="X16" s="98"/>
      <c r="Y16" s="98"/>
      <c r="Z16" s="64"/>
      <c r="AB16" s="64"/>
      <c r="AC16" s="64"/>
      <c r="AD16" s="64"/>
      <c r="AE16" s="64"/>
      <c r="AF16" s="64"/>
    </row>
    <row r="17" spans="2:33" ht="15.75" customHeight="1" x14ac:dyDescent="0.2">
      <c r="B17" s="183" t="str">
        <f>"CONDICIÓN DEL PROPONENTE: "&amp;$F$4</f>
        <v>CONDICIÓN DEL PROPONENTE: CONSORCIO MANTENIMIENTOS</v>
      </c>
      <c r="C17" s="184"/>
      <c r="D17" s="184"/>
      <c r="E17" s="184"/>
      <c r="F17" s="184"/>
      <c r="G17" s="184"/>
      <c r="H17" s="184"/>
      <c r="I17" s="184"/>
      <c r="J17" s="184"/>
      <c r="K17" s="185"/>
      <c r="L17" s="215" t="str">
        <f>IF(AND(IF(L224="CUMPLE",TRUE,FALSE),IF(L227="CUMPLE",TRUE,FALSE),IF(L230="CUMPLE",TRUE,FALSE),IF(L233="CUMPLE",TRUE,FALSE),IF(IF(L16&lt;I22,Q28,Q27)="CUMPLE",TRUE,FALSE))=TRUE,"CUMPLE",IF(OR(L224="",L227="",L230="",L233="")=TRUE,"PENDIENTE REVISIÓN","NO CUMPLE"))</f>
        <v>PENDIENTE REVISIÓN</v>
      </c>
      <c r="M17" s="215"/>
      <c r="N17" s="215"/>
      <c r="O17" s="96"/>
      <c r="P17" s="96"/>
      <c r="Q17" s="96"/>
      <c r="R17" s="96"/>
      <c r="S17" s="96"/>
      <c r="T17" s="96"/>
      <c r="U17" s="96"/>
      <c r="V17" s="96"/>
      <c r="X17" s="98"/>
      <c r="Y17" s="98"/>
      <c r="Z17" s="64"/>
      <c r="AB17" s="64"/>
      <c r="AC17" s="64"/>
      <c r="AD17" s="64"/>
      <c r="AE17" s="64"/>
      <c r="AF17" s="64"/>
    </row>
    <row r="18" spans="2:33" ht="12.75" x14ac:dyDescent="0.2">
      <c r="B18" s="64"/>
      <c r="C18" s="64"/>
      <c r="D18" s="64"/>
      <c r="E18" s="64"/>
      <c r="F18" s="64"/>
      <c r="G18" s="64"/>
      <c r="H18" s="64"/>
      <c r="I18" s="64"/>
      <c r="J18" s="64"/>
      <c r="K18" s="64"/>
      <c r="L18" s="64"/>
      <c r="M18" s="64"/>
      <c r="N18" s="64"/>
      <c r="O18" s="64"/>
      <c r="P18" s="96"/>
      <c r="Q18" s="96"/>
      <c r="R18" s="96"/>
      <c r="S18" s="96"/>
      <c r="T18" s="96"/>
      <c r="U18" s="96"/>
      <c r="V18" s="96"/>
      <c r="X18" s="64"/>
      <c r="Y18" s="64"/>
      <c r="Z18" s="64"/>
      <c r="AB18" s="64"/>
      <c r="AC18" s="64"/>
      <c r="AD18" s="64"/>
      <c r="AE18" s="64"/>
      <c r="AF18" s="64"/>
    </row>
    <row r="19" spans="2:33" ht="15.75" customHeight="1" x14ac:dyDescent="0.2">
      <c r="B19" s="212" t="s">
        <v>96</v>
      </c>
      <c r="C19" s="212"/>
      <c r="D19" s="212"/>
      <c r="E19" s="212"/>
      <c r="F19" s="212"/>
      <c r="G19" s="212"/>
      <c r="H19" s="212"/>
      <c r="I19" s="212"/>
      <c r="J19" s="212"/>
      <c r="K19" s="212"/>
      <c r="L19" s="212"/>
      <c r="M19" s="212"/>
      <c r="N19" s="212"/>
      <c r="P19" s="64"/>
      <c r="Q19" s="64"/>
      <c r="R19" s="64"/>
      <c r="S19" s="64"/>
      <c r="T19" s="64"/>
      <c r="U19" s="64"/>
      <c r="V19" s="64"/>
      <c r="W19" s="64"/>
      <c r="X19" s="64"/>
      <c r="Y19" s="64"/>
      <c r="Z19" s="64"/>
      <c r="AA19" s="64"/>
      <c r="AB19" s="64"/>
      <c r="AC19" s="64"/>
      <c r="AD19" s="64"/>
      <c r="AE19" s="64"/>
      <c r="AF19" s="64"/>
    </row>
    <row r="20" spans="2:33" ht="15.75" customHeight="1" thickBot="1" x14ac:dyDescent="0.25">
      <c r="B20" s="212" t="s">
        <v>97</v>
      </c>
      <c r="C20" s="212"/>
      <c r="D20" s="212"/>
      <c r="E20" s="212"/>
      <c r="F20" s="212" t="s">
        <v>98</v>
      </c>
      <c r="G20" s="212"/>
      <c r="H20" s="91" t="s">
        <v>99</v>
      </c>
      <c r="I20" s="216" t="s">
        <v>100</v>
      </c>
      <c r="J20" s="216"/>
      <c r="K20" s="216"/>
      <c r="L20" s="216"/>
      <c r="M20" s="216"/>
      <c r="N20" s="216"/>
      <c r="P20" s="64"/>
      <c r="Q20" s="64"/>
      <c r="R20" s="64"/>
      <c r="S20" s="64"/>
      <c r="T20" s="64"/>
      <c r="U20" s="64"/>
      <c r="V20" s="64"/>
      <c r="W20" s="64"/>
      <c r="X20" s="64"/>
      <c r="Y20" s="64"/>
      <c r="Z20" s="64"/>
      <c r="AA20" s="64"/>
      <c r="AB20" s="64"/>
      <c r="AC20" s="64"/>
      <c r="AD20" s="64"/>
      <c r="AE20" s="64"/>
      <c r="AF20" s="64"/>
    </row>
    <row r="21" spans="2:33" ht="15.75" customHeight="1" thickBot="1" x14ac:dyDescent="0.3">
      <c r="B21" s="224">
        <f>+'EVALUACIÓN EXPERIENCIA'!D5</f>
        <v>724761029</v>
      </c>
      <c r="C21" s="224"/>
      <c r="D21" s="224"/>
      <c r="E21" s="224"/>
      <c r="F21" s="224">
        <f>+B21*25%</f>
        <v>181190257.25</v>
      </c>
      <c r="G21" s="224"/>
      <c r="H21" s="100">
        <v>3</v>
      </c>
      <c r="I21" s="250">
        <f>IFERROR(ROUND(((B21-F21)/H21)*12,0),0)</f>
        <v>2174283087</v>
      </c>
      <c r="J21" s="250"/>
      <c r="K21" s="250"/>
      <c r="L21" s="250"/>
      <c r="M21" s="250"/>
      <c r="N21" s="250"/>
      <c r="T21" s="231" t="s">
        <v>108</v>
      </c>
      <c r="U21" s="231"/>
      <c r="V21" s="232" t="str">
        <f>B24</f>
        <v>INTEGRANTE 1: Juan Pablo Dorado Martínez</v>
      </c>
      <c r="W21" s="233"/>
      <c r="X21" s="233"/>
      <c r="Y21" s="233"/>
      <c r="Z21" s="233"/>
      <c r="AA21" s="234"/>
    </row>
    <row r="22" spans="2:33" ht="15.75" customHeight="1" thickBot="1" x14ac:dyDescent="0.3">
      <c r="B22" s="222" t="s">
        <v>101</v>
      </c>
      <c r="C22" s="222"/>
      <c r="D22" s="222"/>
      <c r="E22" s="222"/>
      <c r="F22" s="222"/>
      <c r="G22" s="222"/>
      <c r="H22" s="222"/>
      <c r="I22" s="167">
        <f>SUM(I21:N21)</f>
        <v>2174283087</v>
      </c>
      <c r="J22" s="167"/>
      <c r="K22" s="167"/>
      <c r="L22" s="167"/>
      <c r="M22" s="167"/>
      <c r="N22" s="167"/>
      <c r="Q22" s="103" t="s">
        <v>210</v>
      </c>
      <c r="T22" s="104" t="s">
        <v>111</v>
      </c>
      <c r="U22" s="105">
        <v>45614</v>
      </c>
      <c r="AA22" s="106"/>
      <c r="AC22" s="107"/>
      <c r="AE22" s="107"/>
    </row>
    <row r="23" spans="2:33" ht="13.5" thickBot="1" x14ac:dyDescent="0.3">
      <c r="B23" s="101"/>
      <c r="C23" s="101"/>
      <c r="D23" s="101"/>
      <c r="E23" s="101"/>
      <c r="F23" s="101"/>
      <c r="G23" s="101"/>
      <c r="H23" s="101"/>
      <c r="I23" s="102"/>
      <c r="J23" s="102"/>
      <c r="K23" s="102"/>
      <c r="L23" s="102"/>
      <c r="M23" s="102"/>
      <c r="N23" s="102"/>
      <c r="Q23" s="108">
        <v>1423500</v>
      </c>
      <c r="T23" s="109"/>
      <c r="U23" s="110"/>
      <c r="Y23" s="106"/>
      <c r="AA23" s="107"/>
      <c r="AB23" s="111"/>
      <c r="AE23" s="107"/>
    </row>
    <row r="24" spans="2:33" ht="12.75" x14ac:dyDescent="0.25">
      <c r="B24" s="180" t="str">
        <f>"INTEGRANTE 1: "&amp;$C$7</f>
        <v>INTEGRANTE 1: Juan Pablo Dorado Martínez</v>
      </c>
      <c r="C24" s="181"/>
      <c r="D24" s="181"/>
      <c r="E24" s="181"/>
      <c r="F24" s="181"/>
      <c r="G24" s="181"/>
      <c r="H24" s="181"/>
      <c r="I24" s="181"/>
      <c r="J24" s="181"/>
      <c r="K24" s="181"/>
      <c r="L24" s="181"/>
      <c r="M24" s="181"/>
      <c r="N24" s="182"/>
      <c r="Q24" s="112"/>
      <c r="T24" s="229" t="s">
        <v>113</v>
      </c>
      <c r="U24" s="225" t="s">
        <v>114</v>
      </c>
      <c r="V24" s="225" t="s">
        <v>115</v>
      </c>
      <c r="W24" s="225" t="s">
        <v>116</v>
      </c>
      <c r="X24" s="225" t="s">
        <v>117</v>
      </c>
      <c r="Y24" s="225" t="s">
        <v>118</v>
      </c>
      <c r="Z24" s="225" t="s">
        <v>119</v>
      </c>
      <c r="AA24" s="225" t="s">
        <v>120</v>
      </c>
      <c r="AB24" s="225" t="s">
        <v>121</v>
      </c>
      <c r="AC24" s="225" t="s">
        <v>122</v>
      </c>
      <c r="AD24" s="225" t="s">
        <v>123</v>
      </c>
      <c r="AE24" s="225" t="s">
        <v>124</v>
      </c>
    </row>
    <row r="25" spans="2:33" ht="13.5" thickBot="1" x14ac:dyDescent="0.3">
      <c r="B25" s="227" t="s">
        <v>102</v>
      </c>
      <c r="C25" s="227"/>
      <c r="D25" s="227"/>
      <c r="E25" s="227"/>
      <c r="F25" s="227"/>
      <c r="G25" s="227"/>
      <c r="H25" s="227"/>
      <c r="I25" s="228">
        <f>$G$7</f>
        <v>0.2</v>
      </c>
      <c r="J25" s="228"/>
      <c r="K25" s="228"/>
      <c r="L25" s="228"/>
      <c r="M25" s="228"/>
      <c r="N25" s="228"/>
      <c r="Q25" s="112"/>
      <c r="T25" s="230"/>
      <c r="U25" s="226"/>
      <c r="V25" s="226"/>
      <c r="W25" s="226"/>
      <c r="X25" s="226"/>
      <c r="Y25" s="226"/>
      <c r="Z25" s="226"/>
      <c r="AA25" s="226"/>
      <c r="AB25" s="226"/>
      <c r="AC25" s="226"/>
      <c r="AD25" s="226"/>
      <c r="AE25" s="226"/>
    </row>
    <row r="26" spans="2:33" ht="15.75" customHeight="1" thickBot="1" x14ac:dyDescent="0.3">
      <c r="B26" s="212" t="s">
        <v>103</v>
      </c>
      <c r="C26" s="212"/>
      <c r="D26" s="212"/>
      <c r="E26" s="212"/>
      <c r="F26" s="212"/>
      <c r="G26" s="212"/>
      <c r="H26" s="212" t="s">
        <v>104</v>
      </c>
      <c r="I26" s="212"/>
      <c r="J26" s="212"/>
      <c r="K26" s="212"/>
      <c r="L26" s="212"/>
      <c r="M26" s="212"/>
      <c r="N26" s="91" t="s">
        <v>105</v>
      </c>
      <c r="T26" s="113">
        <v>1</v>
      </c>
      <c r="U26" s="113" t="s">
        <v>128</v>
      </c>
      <c r="V26" s="114">
        <v>44995</v>
      </c>
      <c r="W26" s="114">
        <v>45545</v>
      </c>
      <c r="X26" s="114">
        <v>45475</v>
      </c>
      <c r="Y26" s="115">
        <f>2195389085</f>
        <v>2195389085</v>
      </c>
      <c r="Z26" s="116">
        <v>0.9</v>
      </c>
      <c r="AA26" s="117">
        <f>Y26*Z26</f>
        <v>1975850176.5</v>
      </c>
      <c r="AB26" s="118">
        <f>DAYS360(V26,W26)</f>
        <v>540</v>
      </c>
      <c r="AC26" s="118">
        <f>IF(X26&gt;$R$45,(X26-V26),($U$22-V26))</f>
        <v>480</v>
      </c>
      <c r="AD26" s="118">
        <f t="shared" ref="AD26:AD68" si="0">IF((AB26-AC26)&gt;$P$28,$P$28,(AB26-AC26))</f>
        <v>60</v>
      </c>
      <c r="AE26" s="117">
        <f>ROUND((AA26/AB26)*AD26,0)</f>
        <v>219538909</v>
      </c>
    </row>
    <row r="27" spans="2:33" ht="15.75" customHeight="1" thickBot="1" x14ac:dyDescent="0.3">
      <c r="B27" s="186"/>
      <c r="C27" s="187"/>
      <c r="D27" s="187"/>
      <c r="E27" s="187"/>
      <c r="F27" s="187"/>
      <c r="G27" s="188"/>
      <c r="H27" s="217" t="s">
        <v>106</v>
      </c>
      <c r="I27" s="217"/>
      <c r="J27" s="217"/>
      <c r="K27" s="217"/>
      <c r="L27" s="217"/>
      <c r="M27" s="217"/>
      <c r="N27" s="79">
        <v>120</v>
      </c>
      <c r="P27" s="99" t="s">
        <v>130</v>
      </c>
      <c r="Q27" s="99" t="s">
        <v>0</v>
      </c>
      <c r="R27" s="99" t="s">
        <v>131</v>
      </c>
      <c r="T27" s="113">
        <f>T26+1</f>
        <v>2</v>
      </c>
      <c r="U27" s="113" t="s">
        <v>132</v>
      </c>
      <c r="V27" s="114">
        <v>45229</v>
      </c>
      <c r="W27" s="114">
        <f>U22+81</f>
        <v>45695</v>
      </c>
      <c r="X27" s="114"/>
      <c r="Y27" s="115">
        <v>5625559703</v>
      </c>
      <c r="Z27" s="116">
        <v>1</v>
      </c>
      <c r="AA27" s="117">
        <f t="shared" ref="AA27:AA68" si="1">Y27*Z27</f>
        <v>5625559703</v>
      </c>
      <c r="AB27" s="118">
        <f>DAYS360(V27,W27)</f>
        <v>457</v>
      </c>
      <c r="AC27" s="118">
        <f>IF(X27&gt;$R$45,(X27-V27),($U$22-V27))</f>
        <v>385</v>
      </c>
      <c r="AD27" s="118">
        <f t="shared" si="0"/>
        <v>72</v>
      </c>
      <c r="AE27" s="120">
        <v>886496604</v>
      </c>
      <c r="AG27" s="111"/>
    </row>
    <row r="28" spans="2:33" ht="13.5" thickBot="1" x14ac:dyDescent="0.3">
      <c r="B28" s="189"/>
      <c r="C28" s="190"/>
      <c r="D28" s="190"/>
      <c r="E28" s="190"/>
      <c r="F28" s="190"/>
      <c r="G28" s="191"/>
      <c r="H28" s="217" t="s">
        <v>107</v>
      </c>
      <c r="I28" s="217"/>
      <c r="J28" s="217"/>
      <c r="K28" s="217"/>
      <c r="L28" s="217"/>
      <c r="M28" s="217"/>
      <c r="N28" s="79">
        <v>40</v>
      </c>
      <c r="P28" s="79">
        <v>360</v>
      </c>
      <c r="Q28" s="79" t="s">
        <v>3</v>
      </c>
      <c r="R28" s="79">
        <v>12</v>
      </c>
      <c r="T28" s="113">
        <f t="shared" ref="T28:T68" si="2">T27+1</f>
        <v>3</v>
      </c>
      <c r="U28" s="113" t="s">
        <v>134</v>
      </c>
      <c r="V28" s="114">
        <v>45245</v>
      </c>
      <c r="W28" s="114">
        <v>45762</v>
      </c>
      <c r="X28" s="114"/>
      <c r="Y28" s="115">
        <v>9378471365.0200005</v>
      </c>
      <c r="Z28" s="116">
        <v>0.7</v>
      </c>
      <c r="AA28" s="117">
        <f t="shared" si="1"/>
        <v>6564929955.5139999</v>
      </c>
      <c r="AB28" s="118">
        <f>DAYS360(V28,W28)</f>
        <v>510</v>
      </c>
      <c r="AC28" s="118">
        <f>IF(X28&gt;$R$45,(X28-V28),($U$22-V28))</f>
        <v>369</v>
      </c>
      <c r="AD28" s="118">
        <f t="shared" si="0"/>
        <v>141</v>
      </c>
      <c r="AE28" s="117">
        <f t="shared" ref="AE28:AE68" si="3">ROUND((AA28/AB28)*AD28,0)</f>
        <v>1815010047</v>
      </c>
      <c r="AG28" s="111"/>
    </row>
    <row r="29" spans="2:33" ht="15.75" customHeight="1" thickBot="1" x14ac:dyDescent="0.3">
      <c r="B29" s="189"/>
      <c r="C29" s="190"/>
      <c r="D29" s="190"/>
      <c r="E29" s="190"/>
      <c r="F29" s="190"/>
      <c r="G29" s="191"/>
      <c r="H29" s="217" t="s">
        <v>109</v>
      </c>
      <c r="I29" s="217"/>
      <c r="J29" s="217"/>
      <c r="K29" s="217"/>
      <c r="L29" s="217"/>
      <c r="M29" s="217"/>
      <c r="N29" s="79">
        <v>40</v>
      </c>
      <c r="O29" s="119"/>
      <c r="T29" s="113">
        <f t="shared" si="2"/>
        <v>4</v>
      </c>
      <c r="U29" s="113" t="s">
        <v>138</v>
      </c>
      <c r="V29" s="114"/>
      <c r="W29" s="114">
        <f t="shared" ref="W29:W68" si="4">W28</f>
        <v>45762</v>
      </c>
      <c r="X29" s="114"/>
      <c r="Y29" s="115">
        <v>0</v>
      </c>
      <c r="Z29" s="116">
        <v>1</v>
      </c>
      <c r="AA29" s="117">
        <f t="shared" si="1"/>
        <v>0</v>
      </c>
      <c r="AB29" s="118">
        <f t="shared" ref="AB29:AB68" si="5">DAYS360(V29,W29)+1</f>
        <v>45106</v>
      </c>
      <c r="AC29" s="118">
        <f t="shared" ref="AC29:AC68" si="6">IF(X29&gt;$R$45,(X29-V29)+1,($U$22-V29)+1)</f>
        <v>45615</v>
      </c>
      <c r="AD29" s="118">
        <f t="shared" si="0"/>
        <v>-509</v>
      </c>
      <c r="AE29" s="117">
        <f t="shared" si="3"/>
        <v>0</v>
      </c>
    </row>
    <row r="30" spans="2:33" ht="15.75" customHeight="1" thickBot="1" x14ac:dyDescent="0.3">
      <c r="B30" s="192"/>
      <c r="C30" s="193"/>
      <c r="D30" s="193"/>
      <c r="E30" s="193"/>
      <c r="F30" s="193"/>
      <c r="G30" s="194"/>
      <c r="H30" s="212" t="s">
        <v>44</v>
      </c>
      <c r="I30" s="212"/>
      <c r="J30" s="212"/>
      <c r="K30" s="212"/>
      <c r="L30" s="212"/>
      <c r="M30" s="212"/>
      <c r="N30" s="79">
        <f>SUM(N27:N29)</f>
        <v>200</v>
      </c>
      <c r="O30" s="119"/>
      <c r="P30" s="99" t="s">
        <v>139</v>
      </c>
      <c r="Q30" s="99" t="s">
        <v>140</v>
      </c>
      <c r="R30" s="99" t="s">
        <v>141</v>
      </c>
      <c r="T30" s="113">
        <f t="shared" si="2"/>
        <v>5</v>
      </c>
      <c r="U30" s="113" t="s">
        <v>142</v>
      </c>
      <c r="V30" s="114"/>
      <c r="W30" s="114">
        <f t="shared" si="4"/>
        <v>45762</v>
      </c>
      <c r="X30" s="114"/>
      <c r="Y30" s="115">
        <v>0</v>
      </c>
      <c r="Z30" s="116">
        <v>1</v>
      </c>
      <c r="AA30" s="117">
        <f t="shared" si="1"/>
        <v>0</v>
      </c>
      <c r="AB30" s="118">
        <f t="shared" si="5"/>
        <v>45106</v>
      </c>
      <c r="AC30" s="118">
        <f t="shared" si="6"/>
        <v>45615</v>
      </c>
      <c r="AD30" s="118">
        <f t="shared" si="0"/>
        <v>-509</v>
      </c>
      <c r="AE30" s="117">
        <f t="shared" si="3"/>
        <v>0</v>
      </c>
    </row>
    <row r="31" spans="2:33" ht="15.75" customHeight="1" thickBot="1" x14ac:dyDescent="0.3">
      <c r="B31" s="212" t="s">
        <v>112</v>
      </c>
      <c r="C31" s="212"/>
      <c r="D31" s="212"/>
      <c r="E31" s="212"/>
      <c r="F31" s="212"/>
      <c r="G31" s="212"/>
      <c r="H31" s="212"/>
      <c r="I31" s="212"/>
      <c r="J31" s="212"/>
      <c r="K31" s="212"/>
      <c r="L31" s="212"/>
      <c r="M31" s="212"/>
      <c r="N31" s="212"/>
      <c r="O31" s="119"/>
      <c r="P31" s="121">
        <v>125000</v>
      </c>
      <c r="Q31" s="108">
        <f>533287768/P31</f>
        <v>4266.3021440000002</v>
      </c>
      <c r="R31" s="108">
        <f>ROUNDUP(P31*Q31,-3)</f>
        <v>533288000</v>
      </c>
      <c r="T31" s="113">
        <f t="shared" si="2"/>
        <v>6</v>
      </c>
      <c r="U31" s="113" t="s">
        <v>143</v>
      </c>
      <c r="V31" s="114"/>
      <c r="W31" s="114">
        <f t="shared" si="4"/>
        <v>45762</v>
      </c>
      <c r="X31" s="114"/>
      <c r="Y31" s="115">
        <v>0</v>
      </c>
      <c r="Z31" s="116">
        <v>1</v>
      </c>
      <c r="AA31" s="117">
        <f t="shared" si="1"/>
        <v>0</v>
      </c>
      <c r="AB31" s="118">
        <f t="shared" si="5"/>
        <v>45106</v>
      </c>
      <c r="AC31" s="118">
        <f t="shared" si="6"/>
        <v>45615</v>
      </c>
      <c r="AD31" s="118">
        <f t="shared" si="0"/>
        <v>-509</v>
      </c>
      <c r="AE31" s="117">
        <f t="shared" si="3"/>
        <v>0</v>
      </c>
    </row>
    <row r="32" spans="2:33" ht="15.75" customHeight="1" thickBot="1" x14ac:dyDescent="0.3">
      <c r="B32" s="400" t="s">
        <v>125</v>
      </c>
      <c r="C32" s="401"/>
      <c r="D32" s="401"/>
      <c r="E32" s="401"/>
      <c r="F32" s="401"/>
      <c r="G32" s="401"/>
      <c r="H32" s="402"/>
      <c r="I32" s="183" t="s">
        <v>126</v>
      </c>
      <c r="J32" s="184"/>
      <c r="K32" s="184"/>
      <c r="L32" s="184"/>
      <c r="M32" s="184"/>
      <c r="N32" s="185"/>
      <c r="Q32" s="81" t="s">
        <v>144</v>
      </c>
      <c r="T32" s="113">
        <f t="shared" si="2"/>
        <v>7</v>
      </c>
      <c r="U32" s="113" t="s">
        <v>145</v>
      </c>
      <c r="V32" s="114"/>
      <c r="W32" s="114">
        <f t="shared" si="4"/>
        <v>45762</v>
      </c>
      <c r="X32" s="114"/>
      <c r="Y32" s="115">
        <v>0</v>
      </c>
      <c r="Z32" s="116">
        <v>1</v>
      </c>
      <c r="AA32" s="117">
        <f t="shared" si="1"/>
        <v>0</v>
      </c>
      <c r="AB32" s="118">
        <f t="shared" si="5"/>
        <v>45106</v>
      </c>
      <c r="AC32" s="118">
        <f t="shared" si="6"/>
        <v>45615</v>
      </c>
      <c r="AD32" s="118">
        <f t="shared" si="0"/>
        <v>-509</v>
      </c>
      <c r="AE32" s="117">
        <f t="shared" si="3"/>
        <v>0</v>
      </c>
    </row>
    <row r="33" spans="2:31" ht="15.75" customHeight="1" thickBot="1" x14ac:dyDescent="0.3">
      <c r="B33" s="399" t="s">
        <v>127</v>
      </c>
      <c r="C33" s="399"/>
      <c r="D33" s="399"/>
      <c r="E33" s="399"/>
      <c r="F33" s="399"/>
      <c r="G33" s="399"/>
      <c r="H33" s="399"/>
      <c r="I33" s="168">
        <f>IF($H$7&gt;$R$31,$H$7,$R$31)</f>
        <v>533288000</v>
      </c>
      <c r="J33" s="169"/>
      <c r="K33" s="169"/>
      <c r="L33" s="169"/>
      <c r="M33" s="169"/>
      <c r="N33" s="170"/>
      <c r="P33" s="212" t="s">
        <v>146</v>
      </c>
      <c r="Q33" s="212"/>
      <c r="R33" s="99" t="s">
        <v>147</v>
      </c>
      <c r="T33" s="113">
        <f t="shared" si="2"/>
        <v>8</v>
      </c>
      <c r="U33" s="113" t="s">
        <v>148</v>
      </c>
      <c r="V33" s="114"/>
      <c r="W33" s="114">
        <f t="shared" si="4"/>
        <v>45762</v>
      </c>
      <c r="X33" s="114"/>
      <c r="Y33" s="115">
        <v>0</v>
      </c>
      <c r="Z33" s="116">
        <v>1</v>
      </c>
      <c r="AA33" s="117">
        <f t="shared" si="1"/>
        <v>0</v>
      </c>
      <c r="AB33" s="118">
        <f t="shared" si="5"/>
        <v>45106</v>
      </c>
      <c r="AC33" s="118">
        <f t="shared" si="6"/>
        <v>45615</v>
      </c>
      <c r="AD33" s="118">
        <f t="shared" si="0"/>
        <v>-509</v>
      </c>
      <c r="AE33" s="117">
        <f t="shared" si="3"/>
        <v>0</v>
      </c>
    </row>
    <row r="34" spans="2:31" ht="15.75" customHeight="1" thickBot="1" x14ac:dyDescent="0.3">
      <c r="B34" s="212" t="s">
        <v>129</v>
      </c>
      <c r="C34" s="212"/>
      <c r="D34" s="212"/>
      <c r="E34" s="212"/>
      <c r="F34" s="212"/>
      <c r="G34" s="212"/>
      <c r="H34" s="212"/>
      <c r="I34" s="212"/>
      <c r="J34" s="212"/>
      <c r="K34" s="212"/>
      <c r="L34" s="212"/>
      <c r="M34" s="212"/>
      <c r="N34" s="212"/>
      <c r="P34" s="79">
        <v>0</v>
      </c>
      <c r="Q34" s="79">
        <v>3</v>
      </c>
      <c r="R34" s="79">
        <v>60</v>
      </c>
      <c r="T34" s="113">
        <f t="shared" si="2"/>
        <v>9</v>
      </c>
      <c r="U34" s="113" t="s">
        <v>149</v>
      </c>
      <c r="V34" s="114"/>
      <c r="W34" s="114">
        <f t="shared" si="4"/>
        <v>45762</v>
      </c>
      <c r="X34" s="114"/>
      <c r="Y34" s="115">
        <v>0</v>
      </c>
      <c r="Z34" s="116">
        <v>1</v>
      </c>
      <c r="AA34" s="117">
        <f t="shared" si="1"/>
        <v>0</v>
      </c>
      <c r="AB34" s="118">
        <f t="shared" si="5"/>
        <v>45106</v>
      </c>
      <c r="AC34" s="118">
        <f t="shared" si="6"/>
        <v>45615</v>
      </c>
      <c r="AD34" s="118">
        <f t="shared" si="0"/>
        <v>-509</v>
      </c>
      <c r="AE34" s="117">
        <f t="shared" si="3"/>
        <v>0</v>
      </c>
    </row>
    <row r="35" spans="2:31" ht="15.75" customHeight="1" thickBot="1" x14ac:dyDescent="0.3">
      <c r="B35" s="212" t="s">
        <v>133</v>
      </c>
      <c r="C35" s="212"/>
      <c r="D35" s="212"/>
      <c r="E35" s="212"/>
      <c r="F35" s="212"/>
      <c r="G35" s="212"/>
      <c r="H35" s="212"/>
      <c r="I35" s="212"/>
      <c r="J35" s="212"/>
      <c r="K35" s="212"/>
      <c r="L35" s="212"/>
      <c r="M35" s="212"/>
      <c r="N35" s="212"/>
      <c r="P35" s="79">
        <v>3</v>
      </c>
      <c r="Q35" s="79">
        <v>6</v>
      </c>
      <c r="R35" s="79">
        <v>80</v>
      </c>
      <c r="T35" s="113">
        <f t="shared" si="2"/>
        <v>10</v>
      </c>
      <c r="U35" s="113" t="s">
        <v>150</v>
      </c>
      <c r="V35" s="114"/>
      <c r="W35" s="114">
        <f t="shared" si="4"/>
        <v>45762</v>
      </c>
      <c r="X35" s="114"/>
      <c r="Y35" s="115">
        <v>0</v>
      </c>
      <c r="Z35" s="116">
        <v>1</v>
      </c>
      <c r="AA35" s="117">
        <f t="shared" si="1"/>
        <v>0</v>
      </c>
      <c r="AB35" s="118">
        <f t="shared" si="5"/>
        <v>45106</v>
      </c>
      <c r="AC35" s="118">
        <f t="shared" si="6"/>
        <v>45615</v>
      </c>
      <c r="AD35" s="118">
        <f t="shared" si="0"/>
        <v>-509</v>
      </c>
      <c r="AE35" s="117">
        <f t="shared" si="3"/>
        <v>0</v>
      </c>
    </row>
    <row r="36" spans="2:31" ht="15.75" customHeight="1" thickBot="1" x14ac:dyDescent="0.25">
      <c r="B36" s="122" t="s">
        <v>135</v>
      </c>
      <c r="C36" s="160" t="s">
        <v>136</v>
      </c>
      <c r="D36" s="122" t="s">
        <v>135</v>
      </c>
      <c r="E36" s="160" t="s">
        <v>136</v>
      </c>
      <c r="F36" s="122" t="s">
        <v>135</v>
      </c>
      <c r="G36" s="160" t="s">
        <v>136</v>
      </c>
      <c r="H36" s="122" t="s">
        <v>135</v>
      </c>
      <c r="I36" s="160" t="s">
        <v>136</v>
      </c>
      <c r="J36" s="122" t="s">
        <v>135</v>
      </c>
      <c r="K36" s="160" t="s">
        <v>136</v>
      </c>
      <c r="L36" s="122" t="s">
        <v>135</v>
      </c>
      <c r="M36" s="160" t="s">
        <v>136</v>
      </c>
      <c r="N36" s="195" t="s">
        <v>137</v>
      </c>
      <c r="P36" s="79">
        <v>6</v>
      </c>
      <c r="Q36" s="79">
        <v>10</v>
      </c>
      <c r="R36" s="79">
        <v>100</v>
      </c>
      <c r="T36" s="113">
        <f t="shared" si="2"/>
        <v>11</v>
      </c>
      <c r="U36" s="113" t="s">
        <v>151</v>
      </c>
      <c r="V36" s="114"/>
      <c r="W36" s="114">
        <f t="shared" si="4"/>
        <v>45762</v>
      </c>
      <c r="X36" s="114"/>
      <c r="Y36" s="115">
        <v>0</v>
      </c>
      <c r="Z36" s="116">
        <v>1</v>
      </c>
      <c r="AA36" s="117">
        <f t="shared" si="1"/>
        <v>0</v>
      </c>
      <c r="AB36" s="118">
        <f t="shared" si="5"/>
        <v>45106</v>
      </c>
      <c r="AC36" s="118">
        <f t="shared" si="6"/>
        <v>45615</v>
      </c>
      <c r="AD36" s="118">
        <f t="shared" si="0"/>
        <v>-509</v>
      </c>
      <c r="AE36" s="117">
        <f t="shared" si="3"/>
        <v>0</v>
      </c>
    </row>
    <row r="37" spans="2:31" ht="15.75" customHeight="1" thickBot="1" x14ac:dyDescent="0.25">
      <c r="B37" s="123">
        <v>1</v>
      </c>
      <c r="C37" s="159"/>
      <c r="D37" s="123">
        <v>22</v>
      </c>
      <c r="E37" s="159"/>
      <c r="F37" s="123">
        <v>43</v>
      </c>
      <c r="G37" s="158"/>
      <c r="H37" s="123">
        <v>64</v>
      </c>
      <c r="I37" s="158"/>
      <c r="J37" s="123">
        <v>85</v>
      </c>
      <c r="K37" s="158"/>
      <c r="L37" s="123">
        <v>106</v>
      </c>
      <c r="M37" s="158"/>
      <c r="N37" s="196"/>
      <c r="P37" s="79">
        <v>10</v>
      </c>
      <c r="Q37" s="79"/>
      <c r="R37" s="79">
        <v>120</v>
      </c>
      <c r="T37" s="113">
        <f t="shared" si="2"/>
        <v>12</v>
      </c>
      <c r="U37" s="113" t="s">
        <v>152</v>
      </c>
      <c r="V37" s="114"/>
      <c r="W37" s="114">
        <f t="shared" si="4"/>
        <v>45762</v>
      </c>
      <c r="X37" s="114"/>
      <c r="Y37" s="115">
        <v>0</v>
      </c>
      <c r="Z37" s="116">
        <v>1</v>
      </c>
      <c r="AA37" s="117">
        <f t="shared" si="1"/>
        <v>0</v>
      </c>
      <c r="AB37" s="118">
        <f t="shared" si="5"/>
        <v>45106</v>
      </c>
      <c r="AC37" s="118">
        <f t="shared" si="6"/>
        <v>45615</v>
      </c>
      <c r="AD37" s="118">
        <f t="shared" si="0"/>
        <v>-509</v>
      </c>
      <c r="AE37" s="117">
        <f t="shared" si="3"/>
        <v>0</v>
      </c>
    </row>
    <row r="38" spans="2:31" ht="15.75" customHeight="1" thickBot="1" x14ac:dyDescent="0.25">
      <c r="B38" s="123">
        <f>+B37+1</f>
        <v>2</v>
      </c>
      <c r="C38" s="159"/>
      <c r="D38" s="123">
        <f>+D37+1</f>
        <v>23</v>
      </c>
      <c r="E38" s="159"/>
      <c r="F38" s="123">
        <f>+F37+1</f>
        <v>44</v>
      </c>
      <c r="G38" s="158"/>
      <c r="H38" s="123">
        <f>+H37+1</f>
        <v>65</v>
      </c>
      <c r="I38" s="158"/>
      <c r="J38" s="123">
        <f>+J37+1</f>
        <v>86</v>
      </c>
      <c r="K38" s="158"/>
      <c r="L38" s="123">
        <f>+L37+1</f>
        <v>107</v>
      </c>
      <c r="M38" s="158"/>
      <c r="N38" s="196"/>
      <c r="P38" s="212" t="s">
        <v>153</v>
      </c>
      <c r="Q38" s="212"/>
      <c r="R38" s="99" t="s">
        <v>147</v>
      </c>
      <c r="T38" s="113">
        <f t="shared" si="2"/>
        <v>13</v>
      </c>
      <c r="U38" s="113" t="s">
        <v>154</v>
      </c>
      <c r="V38" s="114"/>
      <c r="W38" s="114">
        <f t="shared" si="4"/>
        <v>45762</v>
      </c>
      <c r="X38" s="114"/>
      <c r="Y38" s="115">
        <v>0</v>
      </c>
      <c r="Z38" s="116">
        <v>1</v>
      </c>
      <c r="AA38" s="117">
        <f t="shared" si="1"/>
        <v>0</v>
      </c>
      <c r="AB38" s="118">
        <f t="shared" si="5"/>
        <v>45106</v>
      </c>
      <c r="AC38" s="118">
        <f t="shared" si="6"/>
        <v>45615</v>
      </c>
      <c r="AD38" s="118">
        <f t="shared" si="0"/>
        <v>-509</v>
      </c>
      <c r="AE38" s="117">
        <f t="shared" si="3"/>
        <v>0</v>
      </c>
    </row>
    <row r="39" spans="2:31" ht="15.75" customHeight="1" thickBot="1" x14ac:dyDescent="0.25">
      <c r="B39" s="123">
        <f t="shared" ref="B39:B57" si="7">+B38+1</f>
        <v>3</v>
      </c>
      <c r="C39" s="159"/>
      <c r="D39" s="123">
        <f t="shared" ref="D39:L57" si="8">+D38+1</f>
        <v>24</v>
      </c>
      <c r="E39" s="159"/>
      <c r="F39" s="123">
        <f t="shared" si="8"/>
        <v>45</v>
      </c>
      <c r="G39" s="158"/>
      <c r="H39" s="123">
        <f t="shared" si="8"/>
        <v>66</v>
      </c>
      <c r="I39" s="158"/>
      <c r="J39" s="123">
        <f t="shared" si="8"/>
        <v>87</v>
      </c>
      <c r="K39" s="158"/>
      <c r="L39" s="123">
        <f t="shared" si="8"/>
        <v>108</v>
      </c>
      <c r="M39" s="158"/>
      <c r="N39" s="196"/>
      <c r="P39" s="124">
        <v>0</v>
      </c>
      <c r="Q39" s="124">
        <v>0.5</v>
      </c>
      <c r="R39" s="79">
        <v>20</v>
      </c>
      <c r="T39" s="113">
        <f t="shared" si="2"/>
        <v>14</v>
      </c>
      <c r="U39" s="113" t="s">
        <v>155</v>
      </c>
      <c r="V39" s="114"/>
      <c r="W39" s="114">
        <f t="shared" si="4"/>
        <v>45762</v>
      </c>
      <c r="X39" s="114"/>
      <c r="Y39" s="115">
        <v>0</v>
      </c>
      <c r="Z39" s="116">
        <v>1</v>
      </c>
      <c r="AA39" s="117">
        <f t="shared" si="1"/>
        <v>0</v>
      </c>
      <c r="AB39" s="118">
        <f t="shared" si="5"/>
        <v>45106</v>
      </c>
      <c r="AC39" s="118">
        <f t="shared" si="6"/>
        <v>45615</v>
      </c>
      <c r="AD39" s="118">
        <f t="shared" si="0"/>
        <v>-509</v>
      </c>
      <c r="AE39" s="117">
        <f t="shared" si="3"/>
        <v>0</v>
      </c>
    </row>
    <row r="40" spans="2:31" ht="15.75" customHeight="1" thickBot="1" x14ac:dyDescent="0.25">
      <c r="B40" s="123">
        <f t="shared" si="7"/>
        <v>4</v>
      </c>
      <c r="C40" s="159"/>
      <c r="D40" s="123">
        <f t="shared" si="8"/>
        <v>25</v>
      </c>
      <c r="E40" s="159"/>
      <c r="F40" s="123">
        <f t="shared" si="8"/>
        <v>46</v>
      </c>
      <c r="G40" s="158"/>
      <c r="H40" s="123">
        <f t="shared" si="8"/>
        <v>67</v>
      </c>
      <c r="I40" s="158"/>
      <c r="J40" s="123">
        <f t="shared" si="8"/>
        <v>88</v>
      </c>
      <c r="K40" s="158"/>
      <c r="L40" s="123">
        <f t="shared" si="8"/>
        <v>109</v>
      </c>
      <c r="M40" s="158"/>
      <c r="N40" s="196"/>
      <c r="P40" s="124">
        <v>0.5</v>
      </c>
      <c r="Q40" s="124">
        <v>0.75</v>
      </c>
      <c r="R40" s="79">
        <v>25</v>
      </c>
      <c r="T40" s="113">
        <f t="shared" si="2"/>
        <v>15</v>
      </c>
      <c r="U40" s="113" t="s">
        <v>156</v>
      </c>
      <c r="V40" s="114"/>
      <c r="W40" s="114">
        <f t="shared" si="4"/>
        <v>45762</v>
      </c>
      <c r="X40" s="114"/>
      <c r="Y40" s="115">
        <v>0</v>
      </c>
      <c r="Z40" s="116">
        <v>1</v>
      </c>
      <c r="AA40" s="117">
        <f t="shared" si="1"/>
        <v>0</v>
      </c>
      <c r="AB40" s="118">
        <f t="shared" si="5"/>
        <v>45106</v>
      </c>
      <c r="AC40" s="118">
        <f t="shared" si="6"/>
        <v>45615</v>
      </c>
      <c r="AD40" s="118">
        <f t="shared" si="0"/>
        <v>-509</v>
      </c>
      <c r="AE40" s="117">
        <f t="shared" si="3"/>
        <v>0</v>
      </c>
    </row>
    <row r="41" spans="2:31" ht="15.75" customHeight="1" thickBot="1" x14ac:dyDescent="0.25">
      <c r="B41" s="123">
        <f t="shared" si="7"/>
        <v>5</v>
      </c>
      <c r="C41" s="159"/>
      <c r="D41" s="123">
        <f t="shared" si="8"/>
        <v>26</v>
      </c>
      <c r="E41" s="159"/>
      <c r="F41" s="123">
        <f t="shared" si="8"/>
        <v>47</v>
      </c>
      <c r="G41" s="158"/>
      <c r="H41" s="123">
        <f t="shared" si="8"/>
        <v>68</v>
      </c>
      <c r="I41" s="158"/>
      <c r="J41" s="123">
        <f t="shared" si="8"/>
        <v>89</v>
      </c>
      <c r="K41" s="158"/>
      <c r="L41" s="123">
        <f t="shared" si="8"/>
        <v>110</v>
      </c>
      <c r="M41" s="158"/>
      <c r="N41" s="196"/>
      <c r="P41" s="124">
        <v>0.75</v>
      </c>
      <c r="Q41" s="124">
        <v>1</v>
      </c>
      <c r="R41" s="79">
        <v>30</v>
      </c>
      <c r="T41" s="113">
        <f t="shared" si="2"/>
        <v>16</v>
      </c>
      <c r="U41" s="113" t="s">
        <v>157</v>
      </c>
      <c r="V41" s="114"/>
      <c r="W41" s="114">
        <f t="shared" si="4"/>
        <v>45762</v>
      </c>
      <c r="X41" s="114"/>
      <c r="Y41" s="115">
        <v>0</v>
      </c>
      <c r="Z41" s="116">
        <v>1</v>
      </c>
      <c r="AA41" s="117">
        <f t="shared" si="1"/>
        <v>0</v>
      </c>
      <c r="AB41" s="118">
        <f t="shared" si="5"/>
        <v>45106</v>
      </c>
      <c r="AC41" s="118">
        <f t="shared" si="6"/>
        <v>45615</v>
      </c>
      <c r="AD41" s="118">
        <f t="shared" si="0"/>
        <v>-509</v>
      </c>
      <c r="AE41" s="117">
        <f t="shared" si="3"/>
        <v>0</v>
      </c>
    </row>
    <row r="42" spans="2:31" ht="15.75" customHeight="1" thickBot="1" x14ac:dyDescent="0.25">
      <c r="B42" s="123">
        <f t="shared" si="7"/>
        <v>6</v>
      </c>
      <c r="C42" s="159"/>
      <c r="D42" s="123">
        <f t="shared" si="8"/>
        <v>27</v>
      </c>
      <c r="E42" s="159"/>
      <c r="F42" s="123">
        <f t="shared" si="8"/>
        <v>48</v>
      </c>
      <c r="G42" s="158"/>
      <c r="H42" s="123">
        <f t="shared" si="8"/>
        <v>69</v>
      </c>
      <c r="I42" s="158"/>
      <c r="J42" s="123">
        <f t="shared" si="8"/>
        <v>90</v>
      </c>
      <c r="K42" s="158"/>
      <c r="L42" s="123">
        <f t="shared" si="8"/>
        <v>111</v>
      </c>
      <c r="M42" s="158"/>
      <c r="N42" s="196"/>
      <c r="P42" s="124">
        <v>1</v>
      </c>
      <c r="Q42" s="124">
        <v>1.5</v>
      </c>
      <c r="R42" s="79">
        <v>35</v>
      </c>
      <c r="T42" s="113">
        <f t="shared" si="2"/>
        <v>17</v>
      </c>
      <c r="U42" s="113" t="s">
        <v>158</v>
      </c>
      <c r="V42" s="114"/>
      <c r="W42" s="114">
        <f t="shared" si="4"/>
        <v>45762</v>
      </c>
      <c r="X42" s="114"/>
      <c r="Y42" s="115">
        <v>0</v>
      </c>
      <c r="Z42" s="116">
        <v>1</v>
      </c>
      <c r="AA42" s="117">
        <f t="shared" si="1"/>
        <v>0</v>
      </c>
      <c r="AB42" s="118">
        <f t="shared" si="5"/>
        <v>45106</v>
      </c>
      <c r="AC42" s="118">
        <f t="shared" si="6"/>
        <v>45615</v>
      </c>
      <c r="AD42" s="118">
        <f t="shared" si="0"/>
        <v>-509</v>
      </c>
      <c r="AE42" s="117">
        <f t="shared" si="3"/>
        <v>0</v>
      </c>
    </row>
    <row r="43" spans="2:31" ht="15.75" customHeight="1" thickBot="1" x14ac:dyDescent="0.25">
      <c r="B43" s="123">
        <f t="shared" si="7"/>
        <v>7</v>
      </c>
      <c r="C43" s="159"/>
      <c r="D43" s="123">
        <f t="shared" si="8"/>
        <v>28</v>
      </c>
      <c r="E43" s="159"/>
      <c r="F43" s="123">
        <f t="shared" si="8"/>
        <v>49</v>
      </c>
      <c r="G43" s="158"/>
      <c r="H43" s="123">
        <f t="shared" si="8"/>
        <v>70</v>
      </c>
      <c r="I43" s="158"/>
      <c r="J43" s="123">
        <f t="shared" si="8"/>
        <v>91</v>
      </c>
      <c r="K43" s="158"/>
      <c r="L43" s="123">
        <f t="shared" si="8"/>
        <v>112</v>
      </c>
      <c r="M43" s="158"/>
      <c r="N43" s="196"/>
      <c r="P43" s="124">
        <v>1.5</v>
      </c>
      <c r="Q43" s="124"/>
      <c r="R43" s="79">
        <v>40</v>
      </c>
      <c r="T43" s="113">
        <f t="shared" si="2"/>
        <v>18</v>
      </c>
      <c r="U43" s="113" t="s">
        <v>159</v>
      </c>
      <c r="V43" s="114"/>
      <c r="W43" s="114">
        <f t="shared" si="4"/>
        <v>45762</v>
      </c>
      <c r="X43" s="114"/>
      <c r="Y43" s="115">
        <v>0</v>
      </c>
      <c r="Z43" s="116">
        <v>1</v>
      </c>
      <c r="AA43" s="117">
        <f t="shared" si="1"/>
        <v>0</v>
      </c>
      <c r="AB43" s="118">
        <f t="shared" si="5"/>
        <v>45106</v>
      </c>
      <c r="AC43" s="118">
        <f t="shared" si="6"/>
        <v>45615</v>
      </c>
      <c r="AD43" s="118">
        <f t="shared" si="0"/>
        <v>-509</v>
      </c>
      <c r="AE43" s="117">
        <f t="shared" si="3"/>
        <v>0</v>
      </c>
    </row>
    <row r="44" spans="2:31" ht="15.75" customHeight="1" thickBot="1" x14ac:dyDescent="0.25">
      <c r="B44" s="123">
        <f t="shared" si="7"/>
        <v>8</v>
      </c>
      <c r="C44" s="159"/>
      <c r="D44" s="123">
        <f t="shared" si="8"/>
        <v>29</v>
      </c>
      <c r="E44" s="159"/>
      <c r="F44" s="123">
        <f t="shared" si="8"/>
        <v>50</v>
      </c>
      <c r="G44" s="158"/>
      <c r="H44" s="123">
        <f t="shared" si="8"/>
        <v>71</v>
      </c>
      <c r="I44" s="158"/>
      <c r="J44" s="123">
        <f t="shared" si="8"/>
        <v>92</v>
      </c>
      <c r="K44" s="158"/>
      <c r="L44" s="123">
        <f t="shared" si="8"/>
        <v>113</v>
      </c>
      <c r="M44" s="158"/>
      <c r="N44" s="196"/>
      <c r="P44" s="212" t="s">
        <v>160</v>
      </c>
      <c r="Q44" s="212"/>
      <c r="R44" s="99" t="s">
        <v>147</v>
      </c>
      <c r="T44" s="113">
        <f t="shared" si="2"/>
        <v>19</v>
      </c>
      <c r="U44" s="113" t="s">
        <v>161</v>
      </c>
      <c r="V44" s="114"/>
      <c r="W44" s="114">
        <f t="shared" si="4"/>
        <v>45762</v>
      </c>
      <c r="X44" s="114"/>
      <c r="Y44" s="115">
        <v>0</v>
      </c>
      <c r="Z44" s="116">
        <v>1</v>
      </c>
      <c r="AA44" s="117">
        <f t="shared" si="1"/>
        <v>0</v>
      </c>
      <c r="AB44" s="118">
        <f t="shared" si="5"/>
        <v>45106</v>
      </c>
      <c r="AC44" s="118">
        <f t="shared" si="6"/>
        <v>45615</v>
      </c>
      <c r="AD44" s="118">
        <f t="shared" si="0"/>
        <v>-509</v>
      </c>
      <c r="AE44" s="117">
        <f t="shared" si="3"/>
        <v>0</v>
      </c>
    </row>
    <row r="45" spans="2:31" ht="15.75" customHeight="1" thickBot="1" x14ac:dyDescent="0.25">
      <c r="B45" s="123">
        <f t="shared" si="7"/>
        <v>9</v>
      </c>
      <c r="C45" s="159"/>
      <c r="D45" s="123">
        <f t="shared" si="8"/>
        <v>30</v>
      </c>
      <c r="E45" s="159"/>
      <c r="F45" s="123">
        <f t="shared" si="8"/>
        <v>51</v>
      </c>
      <c r="G45" s="158"/>
      <c r="H45" s="123">
        <f t="shared" si="8"/>
        <v>72</v>
      </c>
      <c r="I45" s="158"/>
      <c r="J45" s="123">
        <f t="shared" si="8"/>
        <v>93</v>
      </c>
      <c r="K45" s="158"/>
      <c r="L45" s="123">
        <f t="shared" si="8"/>
        <v>114</v>
      </c>
      <c r="M45" s="158"/>
      <c r="N45" s="196"/>
      <c r="P45" s="79"/>
      <c r="Q45" s="79"/>
      <c r="R45" s="79">
        <v>0</v>
      </c>
      <c r="T45" s="113">
        <f t="shared" si="2"/>
        <v>20</v>
      </c>
      <c r="U45" s="113" t="s">
        <v>162</v>
      </c>
      <c r="V45" s="114"/>
      <c r="W45" s="114">
        <f t="shared" si="4"/>
        <v>45762</v>
      </c>
      <c r="X45" s="114"/>
      <c r="Y45" s="115">
        <v>0</v>
      </c>
      <c r="Z45" s="116">
        <v>1</v>
      </c>
      <c r="AA45" s="117">
        <f t="shared" si="1"/>
        <v>0</v>
      </c>
      <c r="AB45" s="118">
        <f t="shared" si="5"/>
        <v>45106</v>
      </c>
      <c r="AC45" s="118">
        <f t="shared" si="6"/>
        <v>45615</v>
      </c>
      <c r="AD45" s="118">
        <f t="shared" si="0"/>
        <v>-509</v>
      </c>
      <c r="AE45" s="117">
        <f t="shared" si="3"/>
        <v>0</v>
      </c>
    </row>
    <row r="46" spans="2:31" ht="15.75" customHeight="1" thickBot="1" x14ac:dyDescent="0.25">
      <c r="B46" s="123">
        <f t="shared" si="7"/>
        <v>10</v>
      </c>
      <c r="C46" s="159"/>
      <c r="D46" s="123">
        <f t="shared" si="8"/>
        <v>31</v>
      </c>
      <c r="E46" s="159"/>
      <c r="F46" s="123">
        <f t="shared" si="8"/>
        <v>52</v>
      </c>
      <c r="G46" s="158"/>
      <c r="H46" s="123">
        <f t="shared" si="8"/>
        <v>73</v>
      </c>
      <c r="I46" s="158"/>
      <c r="J46" s="123">
        <f t="shared" si="8"/>
        <v>94</v>
      </c>
      <c r="K46" s="158"/>
      <c r="L46" s="123">
        <f t="shared" si="8"/>
        <v>115</v>
      </c>
      <c r="M46" s="158"/>
      <c r="N46" s="196"/>
      <c r="P46" s="79">
        <v>0</v>
      </c>
      <c r="Q46" s="79">
        <v>5</v>
      </c>
      <c r="R46" s="79">
        <v>20</v>
      </c>
      <c r="T46" s="113">
        <f t="shared" si="2"/>
        <v>21</v>
      </c>
      <c r="U46" s="113" t="s">
        <v>163</v>
      </c>
      <c r="V46" s="114"/>
      <c r="W46" s="114">
        <f t="shared" si="4"/>
        <v>45762</v>
      </c>
      <c r="X46" s="114"/>
      <c r="Y46" s="115">
        <v>0</v>
      </c>
      <c r="Z46" s="116">
        <v>1</v>
      </c>
      <c r="AA46" s="117">
        <f t="shared" si="1"/>
        <v>0</v>
      </c>
      <c r="AB46" s="118">
        <f t="shared" si="5"/>
        <v>45106</v>
      </c>
      <c r="AC46" s="118">
        <f t="shared" si="6"/>
        <v>45615</v>
      </c>
      <c r="AD46" s="118">
        <f t="shared" si="0"/>
        <v>-509</v>
      </c>
      <c r="AE46" s="117">
        <f t="shared" si="3"/>
        <v>0</v>
      </c>
    </row>
    <row r="47" spans="2:31" ht="15.75" customHeight="1" thickBot="1" x14ac:dyDescent="0.25">
      <c r="B47" s="123">
        <f t="shared" si="7"/>
        <v>11</v>
      </c>
      <c r="C47" s="158"/>
      <c r="D47" s="123">
        <f t="shared" si="8"/>
        <v>32</v>
      </c>
      <c r="E47" s="158"/>
      <c r="F47" s="123">
        <f t="shared" si="8"/>
        <v>53</v>
      </c>
      <c r="G47" s="158"/>
      <c r="H47" s="123">
        <f t="shared" si="8"/>
        <v>74</v>
      </c>
      <c r="I47" s="158"/>
      <c r="J47" s="123">
        <f t="shared" si="8"/>
        <v>95</v>
      </c>
      <c r="K47" s="158"/>
      <c r="L47" s="123">
        <f t="shared" si="8"/>
        <v>116</v>
      </c>
      <c r="M47" s="158"/>
      <c r="N47" s="196"/>
      <c r="P47" s="79">
        <v>5</v>
      </c>
      <c r="Q47" s="79">
        <v>10</v>
      </c>
      <c r="R47" s="79">
        <v>30</v>
      </c>
      <c r="T47" s="113">
        <f t="shared" si="2"/>
        <v>22</v>
      </c>
      <c r="U47" s="113" t="s">
        <v>164</v>
      </c>
      <c r="V47" s="114"/>
      <c r="W47" s="114">
        <f t="shared" si="4"/>
        <v>45762</v>
      </c>
      <c r="X47" s="114"/>
      <c r="Y47" s="115">
        <v>0</v>
      </c>
      <c r="Z47" s="116">
        <v>1</v>
      </c>
      <c r="AA47" s="117">
        <f t="shared" si="1"/>
        <v>0</v>
      </c>
      <c r="AB47" s="118">
        <f t="shared" si="5"/>
        <v>45106</v>
      </c>
      <c r="AC47" s="118">
        <f t="shared" si="6"/>
        <v>45615</v>
      </c>
      <c r="AD47" s="118">
        <f t="shared" si="0"/>
        <v>-509</v>
      </c>
      <c r="AE47" s="117">
        <f t="shared" si="3"/>
        <v>0</v>
      </c>
    </row>
    <row r="48" spans="2:31" ht="15.75" customHeight="1" thickBot="1" x14ac:dyDescent="0.25">
      <c r="B48" s="123">
        <f t="shared" si="7"/>
        <v>12</v>
      </c>
      <c r="C48" s="158"/>
      <c r="D48" s="123">
        <f t="shared" si="8"/>
        <v>33</v>
      </c>
      <c r="E48" s="158"/>
      <c r="F48" s="123">
        <f t="shared" si="8"/>
        <v>54</v>
      </c>
      <c r="G48" s="158"/>
      <c r="H48" s="123">
        <f t="shared" si="8"/>
        <v>75</v>
      </c>
      <c r="I48" s="158"/>
      <c r="J48" s="123">
        <f t="shared" si="8"/>
        <v>96</v>
      </c>
      <c r="K48" s="158"/>
      <c r="L48" s="123">
        <f t="shared" si="8"/>
        <v>117</v>
      </c>
      <c r="M48" s="158"/>
      <c r="N48" s="196"/>
      <c r="P48" s="79">
        <v>10</v>
      </c>
      <c r="Q48" s="79"/>
      <c r="R48" s="79">
        <v>40</v>
      </c>
      <c r="T48" s="113">
        <f t="shared" si="2"/>
        <v>23</v>
      </c>
      <c r="U48" s="113" t="s">
        <v>165</v>
      </c>
      <c r="V48" s="114"/>
      <c r="W48" s="114">
        <f t="shared" si="4"/>
        <v>45762</v>
      </c>
      <c r="X48" s="114"/>
      <c r="Y48" s="115">
        <v>0</v>
      </c>
      <c r="Z48" s="116">
        <v>1</v>
      </c>
      <c r="AA48" s="117">
        <f t="shared" si="1"/>
        <v>0</v>
      </c>
      <c r="AB48" s="118">
        <f t="shared" si="5"/>
        <v>45106</v>
      </c>
      <c r="AC48" s="118">
        <f t="shared" si="6"/>
        <v>45615</v>
      </c>
      <c r="AD48" s="118">
        <f t="shared" si="0"/>
        <v>-509</v>
      </c>
      <c r="AE48" s="117">
        <f t="shared" si="3"/>
        <v>0</v>
      </c>
    </row>
    <row r="49" spans="2:31" ht="15.75" customHeight="1" thickBot="1" x14ac:dyDescent="0.25">
      <c r="B49" s="123">
        <f t="shared" si="7"/>
        <v>13</v>
      </c>
      <c r="C49" s="158"/>
      <c r="D49" s="123">
        <f t="shared" si="8"/>
        <v>34</v>
      </c>
      <c r="E49" s="158"/>
      <c r="F49" s="123">
        <f t="shared" si="8"/>
        <v>55</v>
      </c>
      <c r="G49" s="158"/>
      <c r="H49" s="123">
        <f t="shared" si="8"/>
        <v>76</v>
      </c>
      <c r="I49" s="158"/>
      <c r="J49" s="123">
        <f t="shared" si="8"/>
        <v>97</v>
      </c>
      <c r="K49" s="158"/>
      <c r="L49" s="123">
        <f t="shared" si="8"/>
        <v>118</v>
      </c>
      <c r="M49" s="158"/>
      <c r="N49" s="196"/>
      <c r="T49" s="113">
        <f t="shared" si="2"/>
        <v>24</v>
      </c>
      <c r="U49" s="113" t="s">
        <v>166</v>
      </c>
      <c r="V49" s="114"/>
      <c r="W49" s="114">
        <f t="shared" si="4"/>
        <v>45762</v>
      </c>
      <c r="X49" s="114"/>
      <c r="Y49" s="115">
        <v>0</v>
      </c>
      <c r="Z49" s="116">
        <v>1</v>
      </c>
      <c r="AA49" s="117">
        <f t="shared" si="1"/>
        <v>0</v>
      </c>
      <c r="AB49" s="118">
        <f t="shared" si="5"/>
        <v>45106</v>
      </c>
      <c r="AC49" s="118">
        <f t="shared" si="6"/>
        <v>45615</v>
      </c>
      <c r="AD49" s="118">
        <f t="shared" si="0"/>
        <v>-509</v>
      </c>
      <c r="AE49" s="117">
        <f t="shared" si="3"/>
        <v>0</v>
      </c>
    </row>
    <row r="50" spans="2:31" ht="15.75" customHeight="1" thickBot="1" x14ac:dyDescent="0.25">
      <c r="B50" s="123">
        <f t="shared" si="7"/>
        <v>14</v>
      </c>
      <c r="C50" s="158"/>
      <c r="D50" s="123">
        <f t="shared" si="8"/>
        <v>35</v>
      </c>
      <c r="E50" s="158"/>
      <c r="F50" s="123">
        <f t="shared" si="8"/>
        <v>56</v>
      </c>
      <c r="G50" s="158"/>
      <c r="H50" s="123">
        <f t="shared" si="8"/>
        <v>77</v>
      </c>
      <c r="I50" s="158"/>
      <c r="J50" s="123">
        <f t="shared" si="8"/>
        <v>98</v>
      </c>
      <c r="K50" s="158"/>
      <c r="L50" s="123">
        <f t="shared" si="8"/>
        <v>119</v>
      </c>
      <c r="M50" s="158"/>
      <c r="N50" s="196"/>
      <c r="T50" s="113">
        <f t="shared" si="2"/>
        <v>25</v>
      </c>
      <c r="U50" s="113" t="s">
        <v>168</v>
      </c>
      <c r="V50" s="114"/>
      <c r="W50" s="114">
        <f t="shared" si="4"/>
        <v>45762</v>
      </c>
      <c r="X50" s="114"/>
      <c r="Y50" s="115">
        <v>0</v>
      </c>
      <c r="Z50" s="116">
        <v>1</v>
      </c>
      <c r="AA50" s="117">
        <f t="shared" si="1"/>
        <v>0</v>
      </c>
      <c r="AB50" s="118">
        <f t="shared" si="5"/>
        <v>45106</v>
      </c>
      <c r="AC50" s="118">
        <f t="shared" si="6"/>
        <v>45615</v>
      </c>
      <c r="AD50" s="118">
        <f t="shared" si="0"/>
        <v>-509</v>
      </c>
      <c r="AE50" s="117">
        <f t="shared" si="3"/>
        <v>0</v>
      </c>
    </row>
    <row r="51" spans="2:31" ht="15.75" customHeight="1" thickBot="1" x14ac:dyDescent="0.25">
      <c r="B51" s="123">
        <f t="shared" si="7"/>
        <v>15</v>
      </c>
      <c r="C51" s="158"/>
      <c r="D51" s="123">
        <f t="shared" si="8"/>
        <v>36</v>
      </c>
      <c r="E51" s="158"/>
      <c r="F51" s="123">
        <f t="shared" si="8"/>
        <v>57</v>
      </c>
      <c r="G51" s="158"/>
      <c r="H51" s="123">
        <f t="shared" si="8"/>
        <v>78</v>
      </c>
      <c r="I51" s="158"/>
      <c r="J51" s="123">
        <f t="shared" si="8"/>
        <v>99</v>
      </c>
      <c r="K51" s="158"/>
      <c r="L51" s="123">
        <f t="shared" si="8"/>
        <v>120</v>
      </c>
      <c r="M51" s="158"/>
      <c r="N51" s="196"/>
      <c r="O51" s="125"/>
      <c r="T51" s="113">
        <f t="shared" si="2"/>
        <v>26</v>
      </c>
      <c r="U51" s="113" t="s">
        <v>170</v>
      </c>
      <c r="V51" s="114"/>
      <c r="W51" s="114">
        <f t="shared" si="4"/>
        <v>45762</v>
      </c>
      <c r="X51" s="114"/>
      <c r="Y51" s="115">
        <v>0</v>
      </c>
      <c r="Z51" s="116">
        <v>1</v>
      </c>
      <c r="AA51" s="117">
        <f t="shared" si="1"/>
        <v>0</v>
      </c>
      <c r="AB51" s="118">
        <f t="shared" si="5"/>
        <v>45106</v>
      </c>
      <c r="AC51" s="118">
        <f t="shared" si="6"/>
        <v>45615</v>
      </c>
      <c r="AD51" s="118">
        <f t="shared" si="0"/>
        <v>-509</v>
      </c>
      <c r="AE51" s="117">
        <f t="shared" si="3"/>
        <v>0</v>
      </c>
    </row>
    <row r="52" spans="2:31" ht="15.75" customHeight="1" thickBot="1" x14ac:dyDescent="0.25">
      <c r="B52" s="123">
        <f t="shared" si="7"/>
        <v>16</v>
      </c>
      <c r="C52" s="158"/>
      <c r="D52" s="123">
        <f t="shared" si="8"/>
        <v>37</v>
      </c>
      <c r="E52" s="158"/>
      <c r="F52" s="123">
        <f t="shared" si="8"/>
        <v>58</v>
      </c>
      <c r="G52" s="158"/>
      <c r="H52" s="123">
        <f t="shared" si="8"/>
        <v>79</v>
      </c>
      <c r="I52" s="158"/>
      <c r="J52" s="123">
        <f t="shared" si="8"/>
        <v>100</v>
      </c>
      <c r="K52" s="158"/>
      <c r="L52" s="123">
        <f t="shared" si="8"/>
        <v>121</v>
      </c>
      <c r="M52" s="158"/>
      <c r="N52" s="196"/>
      <c r="O52" s="125"/>
      <c r="T52" s="113">
        <f t="shared" si="2"/>
        <v>27</v>
      </c>
      <c r="U52" s="113" t="s">
        <v>172</v>
      </c>
      <c r="V52" s="114"/>
      <c r="W52" s="114">
        <f t="shared" si="4"/>
        <v>45762</v>
      </c>
      <c r="X52" s="114"/>
      <c r="Y52" s="115">
        <v>0</v>
      </c>
      <c r="Z52" s="116">
        <v>1</v>
      </c>
      <c r="AA52" s="117">
        <f t="shared" si="1"/>
        <v>0</v>
      </c>
      <c r="AB52" s="118">
        <f t="shared" si="5"/>
        <v>45106</v>
      </c>
      <c r="AC52" s="118">
        <f t="shared" si="6"/>
        <v>45615</v>
      </c>
      <c r="AD52" s="118">
        <f t="shared" si="0"/>
        <v>-509</v>
      </c>
      <c r="AE52" s="117">
        <f t="shared" si="3"/>
        <v>0</v>
      </c>
    </row>
    <row r="53" spans="2:31" ht="15.75" customHeight="1" thickBot="1" x14ac:dyDescent="0.25">
      <c r="B53" s="123">
        <f t="shared" si="7"/>
        <v>17</v>
      </c>
      <c r="C53" s="158"/>
      <c r="D53" s="123">
        <f t="shared" si="8"/>
        <v>38</v>
      </c>
      <c r="E53" s="158"/>
      <c r="F53" s="123">
        <f t="shared" si="8"/>
        <v>59</v>
      </c>
      <c r="G53" s="158"/>
      <c r="H53" s="123">
        <f t="shared" si="8"/>
        <v>80</v>
      </c>
      <c r="I53" s="158"/>
      <c r="J53" s="123">
        <f t="shared" si="8"/>
        <v>101</v>
      </c>
      <c r="K53" s="158"/>
      <c r="L53" s="123">
        <f t="shared" si="8"/>
        <v>122</v>
      </c>
      <c r="M53" s="158"/>
      <c r="N53" s="196"/>
      <c r="O53" s="125"/>
      <c r="T53" s="113">
        <f t="shared" si="2"/>
        <v>28</v>
      </c>
      <c r="U53" s="113" t="s">
        <v>174</v>
      </c>
      <c r="V53" s="114"/>
      <c r="W53" s="114">
        <f t="shared" si="4"/>
        <v>45762</v>
      </c>
      <c r="X53" s="114"/>
      <c r="Y53" s="115">
        <v>0</v>
      </c>
      <c r="Z53" s="116">
        <v>1</v>
      </c>
      <c r="AA53" s="117">
        <f t="shared" si="1"/>
        <v>0</v>
      </c>
      <c r="AB53" s="118">
        <f t="shared" si="5"/>
        <v>45106</v>
      </c>
      <c r="AC53" s="118">
        <f t="shared" si="6"/>
        <v>45615</v>
      </c>
      <c r="AD53" s="118">
        <f t="shared" si="0"/>
        <v>-509</v>
      </c>
      <c r="AE53" s="117">
        <f t="shared" si="3"/>
        <v>0</v>
      </c>
    </row>
    <row r="54" spans="2:31" ht="15.75" customHeight="1" thickBot="1" x14ac:dyDescent="0.25">
      <c r="B54" s="123">
        <f t="shared" si="7"/>
        <v>18</v>
      </c>
      <c r="C54" s="158"/>
      <c r="D54" s="123">
        <f t="shared" si="8"/>
        <v>39</v>
      </c>
      <c r="E54" s="158"/>
      <c r="F54" s="123">
        <f t="shared" si="8"/>
        <v>60</v>
      </c>
      <c r="G54" s="158"/>
      <c r="H54" s="123">
        <f t="shared" si="8"/>
        <v>81</v>
      </c>
      <c r="I54" s="158"/>
      <c r="J54" s="123">
        <f t="shared" si="8"/>
        <v>102</v>
      </c>
      <c r="K54" s="158"/>
      <c r="L54" s="123">
        <f t="shared" si="8"/>
        <v>123</v>
      </c>
      <c r="M54" s="158"/>
      <c r="N54" s="196"/>
      <c r="O54" s="125"/>
      <c r="T54" s="113">
        <f t="shared" si="2"/>
        <v>29</v>
      </c>
      <c r="U54" s="113" t="s">
        <v>176</v>
      </c>
      <c r="V54" s="114"/>
      <c r="W54" s="114">
        <f t="shared" si="4"/>
        <v>45762</v>
      </c>
      <c r="X54" s="114"/>
      <c r="Y54" s="115">
        <v>0</v>
      </c>
      <c r="Z54" s="116">
        <v>1</v>
      </c>
      <c r="AA54" s="117">
        <f t="shared" si="1"/>
        <v>0</v>
      </c>
      <c r="AB54" s="118">
        <f t="shared" si="5"/>
        <v>45106</v>
      </c>
      <c r="AC54" s="118">
        <f t="shared" si="6"/>
        <v>45615</v>
      </c>
      <c r="AD54" s="118">
        <f t="shared" si="0"/>
        <v>-509</v>
      </c>
      <c r="AE54" s="117">
        <f t="shared" si="3"/>
        <v>0</v>
      </c>
    </row>
    <row r="55" spans="2:31" ht="15.75" customHeight="1" thickBot="1" x14ac:dyDescent="0.25">
      <c r="B55" s="123">
        <f t="shared" si="7"/>
        <v>19</v>
      </c>
      <c r="C55" s="158"/>
      <c r="D55" s="123">
        <f t="shared" si="8"/>
        <v>40</v>
      </c>
      <c r="E55" s="158"/>
      <c r="F55" s="123">
        <f t="shared" si="8"/>
        <v>61</v>
      </c>
      <c r="G55" s="158"/>
      <c r="H55" s="123">
        <f t="shared" si="8"/>
        <v>82</v>
      </c>
      <c r="I55" s="158"/>
      <c r="J55" s="123">
        <f t="shared" si="8"/>
        <v>103</v>
      </c>
      <c r="K55" s="158"/>
      <c r="L55" s="123">
        <f t="shared" si="8"/>
        <v>124</v>
      </c>
      <c r="M55" s="158"/>
      <c r="N55" s="196"/>
      <c r="O55" s="125"/>
      <c r="T55" s="113">
        <f t="shared" si="2"/>
        <v>30</v>
      </c>
      <c r="U55" s="113" t="s">
        <v>178</v>
      </c>
      <c r="V55" s="114"/>
      <c r="W55" s="114">
        <f t="shared" si="4"/>
        <v>45762</v>
      </c>
      <c r="X55" s="114"/>
      <c r="Y55" s="115">
        <v>0</v>
      </c>
      <c r="Z55" s="116">
        <v>1</v>
      </c>
      <c r="AA55" s="117">
        <f t="shared" si="1"/>
        <v>0</v>
      </c>
      <c r="AB55" s="118">
        <f t="shared" si="5"/>
        <v>45106</v>
      </c>
      <c r="AC55" s="118">
        <f t="shared" si="6"/>
        <v>45615</v>
      </c>
      <c r="AD55" s="118">
        <f t="shared" si="0"/>
        <v>-509</v>
      </c>
      <c r="AE55" s="117">
        <f t="shared" si="3"/>
        <v>0</v>
      </c>
    </row>
    <row r="56" spans="2:31" ht="15.75" customHeight="1" thickBot="1" x14ac:dyDescent="0.25">
      <c r="B56" s="123">
        <f t="shared" si="7"/>
        <v>20</v>
      </c>
      <c r="C56" s="158"/>
      <c r="D56" s="123">
        <f t="shared" si="8"/>
        <v>41</v>
      </c>
      <c r="E56" s="158"/>
      <c r="F56" s="123">
        <f t="shared" si="8"/>
        <v>62</v>
      </c>
      <c r="G56" s="158"/>
      <c r="H56" s="123">
        <f t="shared" si="8"/>
        <v>83</v>
      </c>
      <c r="I56" s="158"/>
      <c r="J56" s="123">
        <f t="shared" si="8"/>
        <v>104</v>
      </c>
      <c r="K56" s="158"/>
      <c r="L56" s="123">
        <f t="shared" si="8"/>
        <v>125</v>
      </c>
      <c r="M56" s="158"/>
      <c r="N56" s="196"/>
      <c r="O56" s="125"/>
      <c r="T56" s="113">
        <f t="shared" si="2"/>
        <v>31</v>
      </c>
      <c r="U56" s="113" t="s">
        <v>180</v>
      </c>
      <c r="V56" s="114"/>
      <c r="W56" s="114">
        <f t="shared" si="4"/>
        <v>45762</v>
      </c>
      <c r="X56" s="114"/>
      <c r="Y56" s="115">
        <v>0</v>
      </c>
      <c r="Z56" s="116">
        <v>1</v>
      </c>
      <c r="AA56" s="117">
        <f t="shared" si="1"/>
        <v>0</v>
      </c>
      <c r="AB56" s="118">
        <f t="shared" si="5"/>
        <v>45106</v>
      </c>
      <c r="AC56" s="118">
        <f t="shared" si="6"/>
        <v>45615</v>
      </c>
      <c r="AD56" s="118">
        <f t="shared" si="0"/>
        <v>-509</v>
      </c>
      <c r="AE56" s="117">
        <f t="shared" si="3"/>
        <v>0</v>
      </c>
    </row>
    <row r="57" spans="2:31" ht="15.75" customHeight="1" thickBot="1" x14ac:dyDescent="0.25">
      <c r="B57" s="123">
        <f t="shared" si="7"/>
        <v>21</v>
      </c>
      <c r="C57" s="158"/>
      <c r="D57" s="123">
        <f t="shared" si="8"/>
        <v>42</v>
      </c>
      <c r="E57" s="158"/>
      <c r="F57" s="123">
        <f t="shared" si="8"/>
        <v>63</v>
      </c>
      <c r="G57" s="158"/>
      <c r="H57" s="123">
        <f t="shared" si="8"/>
        <v>84</v>
      </c>
      <c r="I57" s="158"/>
      <c r="J57" s="123">
        <f t="shared" si="8"/>
        <v>105</v>
      </c>
      <c r="K57" s="158"/>
      <c r="L57" s="123">
        <f t="shared" si="8"/>
        <v>126</v>
      </c>
      <c r="M57" s="158"/>
      <c r="N57" s="197"/>
      <c r="T57" s="113">
        <f t="shared" si="2"/>
        <v>32</v>
      </c>
      <c r="U57" s="113" t="s">
        <v>182</v>
      </c>
      <c r="V57" s="114"/>
      <c r="W57" s="114">
        <f t="shared" si="4"/>
        <v>45762</v>
      </c>
      <c r="X57" s="114"/>
      <c r="Y57" s="115">
        <v>0</v>
      </c>
      <c r="Z57" s="116">
        <v>1</v>
      </c>
      <c r="AA57" s="117">
        <f t="shared" si="1"/>
        <v>0</v>
      </c>
      <c r="AB57" s="118">
        <f t="shared" si="5"/>
        <v>45106</v>
      </c>
      <c r="AC57" s="118">
        <f t="shared" si="6"/>
        <v>45615</v>
      </c>
      <c r="AD57" s="118">
        <f t="shared" si="0"/>
        <v>-509</v>
      </c>
      <c r="AE57" s="117">
        <f t="shared" si="3"/>
        <v>0</v>
      </c>
    </row>
    <row r="58" spans="2:31" ht="15.75" customHeight="1" thickBot="1" x14ac:dyDescent="0.25">
      <c r="B58" s="161" t="s">
        <v>167</v>
      </c>
      <c r="C58" s="161"/>
      <c r="D58" s="161"/>
      <c r="E58" s="161"/>
      <c r="F58" s="161"/>
      <c r="G58" s="161"/>
      <c r="H58" s="161"/>
      <c r="I58" s="161"/>
      <c r="J58" s="198">
        <f>SUM(C37:C57,G37:G57,K37:K57,E37:E57,I37:I57,K37:K57,M37:M57)</f>
        <v>0</v>
      </c>
      <c r="K58" s="198"/>
      <c r="L58" s="198"/>
      <c r="M58" s="198"/>
      <c r="N58" s="198"/>
      <c r="T58" s="113">
        <f t="shared" si="2"/>
        <v>33</v>
      </c>
      <c r="U58" s="113" t="s">
        <v>184</v>
      </c>
      <c r="V58" s="114"/>
      <c r="W58" s="114">
        <f t="shared" si="4"/>
        <v>45762</v>
      </c>
      <c r="X58" s="114"/>
      <c r="Y58" s="115">
        <v>0</v>
      </c>
      <c r="Z58" s="116">
        <v>1</v>
      </c>
      <c r="AA58" s="117">
        <f t="shared" si="1"/>
        <v>0</v>
      </c>
      <c r="AB58" s="118">
        <f t="shared" si="5"/>
        <v>45106</v>
      </c>
      <c r="AC58" s="118">
        <f t="shared" si="6"/>
        <v>45615</v>
      </c>
      <c r="AD58" s="118">
        <f t="shared" si="0"/>
        <v>-509</v>
      </c>
      <c r="AE58" s="117">
        <f t="shared" si="3"/>
        <v>0</v>
      </c>
    </row>
    <row r="59" spans="2:31" ht="15.75" customHeight="1" thickBot="1" x14ac:dyDescent="0.25">
      <c r="B59" s="161" t="s">
        <v>171</v>
      </c>
      <c r="C59" s="161"/>
      <c r="D59" s="161"/>
      <c r="E59" s="161"/>
      <c r="F59" s="161"/>
      <c r="G59" s="161"/>
      <c r="H59" s="161"/>
      <c r="I59" s="161"/>
      <c r="J59" s="212">
        <f>IFERROR($J$58/(($B$21)*I25),0)</f>
        <v>0</v>
      </c>
      <c r="K59" s="212"/>
      <c r="L59" s="212"/>
      <c r="M59" s="212"/>
      <c r="N59" s="212"/>
      <c r="T59" s="113">
        <f t="shared" si="2"/>
        <v>34</v>
      </c>
      <c r="U59" s="113" t="s">
        <v>186</v>
      </c>
      <c r="V59" s="114"/>
      <c r="W59" s="114">
        <f t="shared" si="4"/>
        <v>45762</v>
      </c>
      <c r="X59" s="114"/>
      <c r="Y59" s="115">
        <v>0</v>
      </c>
      <c r="Z59" s="116">
        <v>1</v>
      </c>
      <c r="AA59" s="117">
        <f t="shared" si="1"/>
        <v>0</v>
      </c>
      <c r="AB59" s="118">
        <f t="shared" si="5"/>
        <v>45106</v>
      </c>
      <c r="AC59" s="118">
        <f t="shared" si="6"/>
        <v>45615</v>
      </c>
      <c r="AD59" s="118">
        <f t="shared" si="0"/>
        <v>-509</v>
      </c>
      <c r="AE59" s="117">
        <f t="shared" si="3"/>
        <v>0</v>
      </c>
    </row>
    <row r="60" spans="2:31" ht="15.75" customHeight="1" thickBot="1" x14ac:dyDescent="0.25">
      <c r="B60" s="161" t="s">
        <v>173</v>
      </c>
      <c r="C60" s="161"/>
      <c r="D60" s="161"/>
      <c r="E60" s="161"/>
      <c r="F60" s="161"/>
      <c r="G60" s="161"/>
      <c r="H60" s="161"/>
      <c r="I60" s="161"/>
      <c r="J60" s="161"/>
      <c r="K60" s="161"/>
      <c r="L60" s="211">
        <f>IF(J59&gt;P37,R37,IF(J59&gt;P36,R36,IF(J59&gt;P35,R35,R34)))</f>
        <v>60</v>
      </c>
      <c r="M60" s="211"/>
      <c r="N60" s="211"/>
      <c r="O60" s="125"/>
      <c r="T60" s="113">
        <f t="shared" si="2"/>
        <v>35</v>
      </c>
      <c r="U60" s="113" t="s">
        <v>187</v>
      </c>
      <c r="V60" s="114"/>
      <c r="W60" s="114">
        <f t="shared" si="4"/>
        <v>45762</v>
      </c>
      <c r="X60" s="114"/>
      <c r="Y60" s="115">
        <v>0</v>
      </c>
      <c r="Z60" s="116">
        <v>1</v>
      </c>
      <c r="AA60" s="117">
        <f t="shared" si="1"/>
        <v>0</v>
      </c>
      <c r="AB60" s="118">
        <f t="shared" si="5"/>
        <v>45106</v>
      </c>
      <c r="AC60" s="118">
        <f t="shared" si="6"/>
        <v>45615</v>
      </c>
      <c r="AD60" s="118">
        <f t="shared" si="0"/>
        <v>-509</v>
      </c>
      <c r="AE60" s="117">
        <f t="shared" si="3"/>
        <v>0</v>
      </c>
    </row>
    <row r="61" spans="2:31" ht="15.75" customHeight="1" thickBot="1" x14ac:dyDescent="0.3">
      <c r="B61" s="212" t="s">
        <v>175</v>
      </c>
      <c r="C61" s="212"/>
      <c r="D61" s="212"/>
      <c r="E61" s="212"/>
      <c r="F61" s="212"/>
      <c r="G61" s="212"/>
      <c r="H61" s="212"/>
      <c r="I61" s="212"/>
      <c r="J61" s="212"/>
      <c r="K61" s="212"/>
      <c r="L61" s="212"/>
      <c r="M61" s="212"/>
      <c r="N61" s="212"/>
      <c r="O61" s="125"/>
      <c r="T61" s="113">
        <f t="shared" si="2"/>
        <v>36</v>
      </c>
      <c r="U61" s="113" t="s">
        <v>189</v>
      </c>
      <c r="V61" s="114"/>
      <c r="W61" s="114">
        <f t="shared" si="4"/>
        <v>45762</v>
      </c>
      <c r="X61" s="114"/>
      <c r="Y61" s="115">
        <v>0</v>
      </c>
      <c r="Z61" s="116">
        <v>1</v>
      </c>
      <c r="AA61" s="117">
        <f t="shared" si="1"/>
        <v>0</v>
      </c>
      <c r="AB61" s="118">
        <f t="shared" si="5"/>
        <v>45106</v>
      </c>
      <c r="AC61" s="118">
        <f t="shared" si="6"/>
        <v>45615</v>
      </c>
      <c r="AD61" s="118">
        <f t="shared" si="0"/>
        <v>-509</v>
      </c>
      <c r="AE61" s="117">
        <f t="shared" si="3"/>
        <v>0</v>
      </c>
    </row>
    <row r="62" spans="2:31" ht="15.75" customHeight="1" thickBot="1" x14ac:dyDescent="0.25">
      <c r="B62" s="186"/>
      <c r="C62" s="187"/>
      <c r="D62" s="187"/>
      <c r="E62" s="187"/>
      <c r="F62" s="187"/>
      <c r="G62" s="188"/>
      <c r="H62" s="223" t="s">
        <v>177</v>
      </c>
      <c r="I62" s="223"/>
      <c r="J62" s="223"/>
      <c r="K62" s="223"/>
      <c r="L62" s="224">
        <f>$I$7</f>
        <v>0</v>
      </c>
      <c r="M62" s="224"/>
      <c r="N62" s="224"/>
      <c r="O62" s="125"/>
      <c r="T62" s="113">
        <f t="shared" si="2"/>
        <v>37</v>
      </c>
      <c r="U62" s="113" t="s">
        <v>190</v>
      </c>
      <c r="V62" s="114"/>
      <c r="W62" s="114">
        <f t="shared" si="4"/>
        <v>45762</v>
      </c>
      <c r="X62" s="114"/>
      <c r="Y62" s="115">
        <v>0</v>
      </c>
      <c r="Z62" s="116">
        <v>1</v>
      </c>
      <c r="AA62" s="117">
        <f t="shared" si="1"/>
        <v>0</v>
      </c>
      <c r="AB62" s="118">
        <f t="shared" si="5"/>
        <v>45106</v>
      </c>
      <c r="AC62" s="118">
        <f t="shared" si="6"/>
        <v>45615</v>
      </c>
      <c r="AD62" s="118">
        <f t="shared" si="0"/>
        <v>-509</v>
      </c>
      <c r="AE62" s="117">
        <f t="shared" si="3"/>
        <v>0</v>
      </c>
    </row>
    <row r="63" spans="2:31" ht="15.75" customHeight="1" thickBot="1" x14ac:dyDescent="0.25">
      <c r="B63" s="189"/>
      <c r="C63" s="190"/>
      <c r="D63" s="190"/>
      <c r="E63" s="190"/>
      <c r="F63" s="190"/>
      <c r="G63" s="191"/>
      <c r="H63" s="223" t="s">
        <v>179</v>
      </c>
      <c r="I63" s="223"/>
      <c r="J63" s="223"/>
      <c r="K63" s="223"/>
      <c r="L63" s="224">
        <f>$J$7</f>
        <v>0</v>
      </c>
      <c r="M63" s="224"/>
      <c r="N63" s="224"/>
      <c r="O63" s="125"/>
      <c r="T63" s="113">
        <f t="shared" si="2"/>
        <v>38</v>
      </c>
      <c r="U63" s="113" t="s">
        <v>191</v>
      </c>
      <c r="V63" s="114"/>
      <c r="W63" s="114">
        <f t="shared" si="4"/>
        <v>45762</v>
      </c>
      <c r="X63" s="114"/>
      <c r="Y63" s="115">
        <v>0</v>
      </c>
      <c r="Z63" s="116">
        <v>1</v>
      </c>
      <c r="AA63" s="117">
        <f t="shared" si="1"/>
        <v>0</v>
      </c>
      <c r="AB63" s="118">
        <f t="shared" si="5"/>
        <v>45106</v>
      </c>
      <c r="AC63" s="118">
        <f t="shared" si="6"/>
        <v>45615</v>
      </c>
      <c r="AD63" s="118">
        <f t="shared" si="0"/>
        <v>-509</v>
      </c>
      <c r="AE63" s="117">
        <f t="shared" si="3"/>
        <v>0</v>
      </c>
    </row>
    <row r="64" spans="2:31" ht="15.75" customHeight="1" thickBot="1" x14ac:dyDescent="0.25">
      <c r="B64" s="192"/>
      <c r="C64" s="193"/>
      <c r="D64" s="193"/>
      <c r="E64" s="193"/>
      <c r="F64" s="193"/>
      <c r="G64" s="194"/>
      <c r="H64" s="161" t="s">
        <v>181</v>
      </c>
      <c r="I64" s="161"/>
      <c r="J64" s="161"/>
      <c r="K64" s="161"/>
      <c r="L64" s="210">
        <f>IFERROR(ROUND(L62/L63,2),0)</f>
        <v>0</v>
      </c>
      <c r="M64" s="210"/>
      <c r="N64" s="210"/>
      <c r="O64" s="125"/>
      <c r="T64" s="113">
        <f t="shared" si="2"/>
        <v>39</v>
      </c>
      <c r="U64" s="113" t="s">
        <v>192</v>
      </c>
      <c r="V64" s="114"/>
      <c r="W64" s="114">
        <f t="shared" si="4"/>
        <v>45762</v>
      </c>
      <c r="X64" s="114"/>
      <c r="Y64" s="115">
        <v>0</v>
      </c>
      <c r="Z64" s="116">
        <v>1</v>
      </c>
      <c r="AA64" s="117">
        <f t="shared" si="1"/>
        <v>0</v>
      </c>
      <c r="AB64" s="118">
        <f t="shared" si="5"/>
        <v>45106</v>
      </c>
      <c r="AC64" s="118">
        <f t="shared" si="6"/>
        <v>45615</v>
      </c>
      <c r="AD64" s="118">
        <f t="shared" si="0"/>
        <v>-509</v>
      </c>
      <c r="AE64" s="117">
        <f t="shared" si="3"/>
        <v>0</v>
      </c>
    </row>
    <row r="65" spans="2:31" ht="15.75" customHeight="1" thickBot="1" x14ac:dyDescent="0.25">
      <c r="B65" s="161" t="s">
        <v>183</v>
      </c>
      <c r="C65" s="161"/>
      <c r="D65" s="161"/>
      <c r="E65" s="161"/>
      <c r="F65" s="161"/>
      <c r="G65" s="161"/>
      <c r="H65" s="161"/>
      <c r="I65" s="161"/>
      <c r="J65" s="161"/>
      <c r="K65" s="161"/>
      <c r="L65" s="211">
        <f>IF(L64&gt;P43,R43,IF(L64&gt;P42,R42,IF(L64&gt;P41,R41,IF(L64&gt;P40,R40,R39))))</f>
        <v>20</v>
      </c>
      <c r="M65" s="211"/>
      <c r="N65" s="211"/>
      <c r="O65" s="125"/>
      <c r="T65" s="113">
        <f t="shared" si="2"/>
        <v>40</v>
      </c>
      <c r="U65" s="113" t="s">
        <v>193</v>
      </c>
      <c r="V65" s="114"/>
      <c r="W65" s="114">
        <f t="shared" si="4"/>
        <v>45762</v>
      </c>
      <c r="X65" s="114"/>
      <c r="Y65" s="115">
        <v>0</v>
      </c>
      <c r="Z65" s="116">
        <v>1</v>
      </c>
      <c r="AA65" s="117">
        <f t="shared" si="1"/>
        <v>0</v>
      </c>
      <c r="AB65" s="118">
        <f t="shared" si="5"/>
        <v>45106</v>
      </c>
      <c r="AC65" s="118">
        <f t="shared" si="6"/>
        <v>45615</v>
      </c>
      <c r="AD65" s="118">
        <f t="shared" si="0"/>
        <v>-509</v>
      </c>
      <c r="AE65" s="117">
        <f t="shared" si="3"/>
        <v>0</v>
      </c>
    </row>
    <row r="66" spans="2:31" ht="15.75" customHeight="1" thickBot="1" x14ac:dyDescent="0.3">
      <c r="B66" s="212" t="s">
        <v>185</v>
      </c>
      <c r="C66" s="212"/>
      <c r="D66" s="212"/>
      <c r="E66" s="212"/>
      <c r="F66" s="212"/>
      <c r="G66" s="212"/>
      <c r="H66" s="212"/>
      <c r="I66" s="212"/>
      <c r="J66" s="212"/>
      <c r="K66" s="212"/>
      <c r="L66" s="212"/>
      <c r="M66" s="212"/>
      <c r="N66" s="212"/>
      <c r="T66" s="113">
        <f t="shared" si="2"/>
        <v>41</v>
      </c>
      <c r="U66" s="113" t="s">
        <v>194</v>
      </c>
      <c r="V66" s="114"/>
      <c r="W66" s="114">
        <f t="shared" si="4"/>
        <v>45762</v>
      </c>
      <c r="X66" s="114"/>
      <c r="Y66" s="115">
        <v>0</v>
      </c>
      <c r="Z66" s="116">
        <v>1</v>
      </c>
      <c r="AA66" s="117">
        <f t="shared" si="1"/>
        <v>0</v>
      </c>
      <c r="AB66" s="118">
        <f t="shared" si="5"/>
        <v>45106</v>
      </c>
      <c r="AC66" s="118">
        <f t="shared" si="6"/>
        <v>45615</v>
      </c>
      <c r="AD66" s="118">
        <f t="shared" si="0"/>
        <v>-509</v>
      </c>
      <c r="AE66" s="117">
        <f t="shared" si="3"/>
        <v>0</v>
      </c>
    </row>
    <row r="67" spans="2:31" ht="15.75" customHeight="1" thickBot="1" x14ac:dyDescent="0.3">
      <c r="B67" s="220" t="s">
        <v>94</v>
      </c>
      <c r="C67" s="220"/>
      <c r="D67" s="220"/>
      <c r="E67" s="220"/>
      <c r="F67" s="220"/>
      <c r="G67" s="220"/>
      <c r="H67" s="220"/>
      <c r="I67" s="220"/>
      <c r="J67" s="220"/>
      <c r="K67" s="220"/>
      <c r="L67" s="220"/>
      <c r="M67" s="221">
        <f>$K$7</f>
        <v>0</v>
      </c>
      <c r="N67" s="221"/>
      <c r="T67" s="113">
        <f t="shared" si="2"/>
        <v>42</v>
      </c>
      <c r="U67" s="113" t="s">
        <v>195</v>
      </c>
      <c r="V67" s="114"/>
      <c r="W67" s="114">
        <f t="shared" si="4"/>
        <v>45762</v>
      </c>
      <c r="X67" s="114"/>
      <c r="Y67" s="115">
        <v>0</v>
      </c>
      <c r="Z67" s="116">
        <v>1</v>
      </c>
      <c r="AA67" s="117">
        <f t="shared" si="1"/>
        <v>0</v>
      </c>
      <c r="AB67" s="118">
        <f t="shared" si="5"/>
        <v>45106</v>
      </c>
      <c r="AC67" s="118">
        <f t="shared" si="6"/>
        <v>45615</v>
      </c>
      <c r="AD67" s="118">
        <f t="shared" si="0"/>
        <v>-509</v>
      </c>
      <c r="AE67" s="117">
        <f t="shared" si="3"/>
        <v>0</v>
      </c>
    </row>
    <row r="68" spans="2:31" ht="15.75" customHeight="1" thickBot="1" x14ac:dyDescent="0.25">
      <c r="B68" s="161" t="s">
        <v>188</v>
      </c>
      <c r="C68" s="161"/>
      <c r="D68" s="161"/>
      <c r="E68" s="161"/>
      <c r="F68" s="161"/>
      <c r="G68" s="161"/>
      <c r="H68" s="161"/>
      <c r="I68" s="161"/>
      <c r="J68" s="161"/>
      <c r="K68" s="161"/>
      <c r="L68" s="211">
        <f>IF(M67&gt;P48,R48,IF(M67&gt;P47,R47,IF(M67&gt;P46,R46,R45)))</f>
        <v>0</v>
      </c>
      <c r="M68" s="211"/>
      <c r="N68" s="211"/>
      <c r="T68" s="113">
        <f t="shared" si="2"/>
        <v>43</v>
      </c>
      <c r="U68" s="113" t="s">
        <v>198</v>
      </c>
      <c r="V68" s="114"/>
      <c r="W68" s="114">
        <f t="shared" si="4"/>
        <v>45762</v>
      </c>
      <c r="X68" s="114"/>
      <c r="Y68" s="115">
        <v>0</v>
      </c>
      <c r="Z68" s="116">
        <v>1</v>
      </c>
      <c r="AA68" s="117">
        <f t="shared" si="1"/>
        <v>0</v>
      </c>
      <c r="AB68" s="118">
        <f t="shared" si="5"/>
        <v>45106</v>
      </c>
      <c r="AC68" s="118">
        <f t="shared" si="6"/>
        <v>45615</v>
      </c>
      <c r="AD68" s="118">
        <f t="shared" si="0"/>
        <v>-509</v>
      </c>
      <c r="AE68" s="117">
        <f t="shared" si="3"/>
        <v>0</v>
      </c>
    </row>
    <row r="69" spans="2:31" ht="15.75" customHeight="1" thickBot="1" x14ac:dyDescent="0.3">
      <c r="Z69" s="235" t="s">
        <v>199</v>
      </c>
      <c r="AA69" s="235"/>
      <c r="AB69" s="235"/>
      <c r="AC69" s="235"/>
      <c r="AD69" s="235"/>
      <c r="AE69" s="126">
        <f>SUM(AE26:AE68)</f>
        <v>2921045560</v>
      </c>
    </row>
    <row r="70" spans="2:31" ht="15.75" customHeight="1" x14ac:dyDescent="0.2">
      <c r="B70" s="161" t="str">
        <f>"CAPACIDAD DE CONTRATACIÓN INTEGRANTE 1: "&amp;$F$24</f>
        <v xml:space="preserve">CAPACIDAD DE CONTRATACIÓN INTEGRANTE 1: </v>
      </c>
      <c r="C70" s="161"/>
      <c r="D70" s="161"/>
      <c r="E70" s="161"/>
      <c r="F70" s="161"/>
      <c r="G70" s="161"/>
      <c r="H70" s="161"/>
      <c r="I70" s="161"/>
      <c r="J70" s="161"/>
      <c r="K70" s="161"/>
      <c r="L70" s="167">
        <f>I33*((L60+L65+L68)/100)</f>
        <v>426630400</v>
      </c>
      <c r="M70" s="167"/>
      <c r="N70" s="167"/>
    </row>
    <row r="71" spans="2:31" ht="15.75" customHeight="1" thickBot="1" x14ac:dyDescent="0.25">
      <c r="B71" s="161" t="str">
        <f>"SALDO DE LOS CONTRATOS EN EJECUCIÓN INTEGRANTE 1: "&amp;$F$24</f>
        <v xml:space="preserve">SALDO DE LOS CONTRATOS EN EJECUCIÓN INTEGRANTE 1: </v>
      </c>
      <c r="C71" s="161"/>
      <c r="D71" s="161"/>
      <c r="E71" s="161"/>
      <c r="F71" s="161"/>
      <c r="G71" s="161"/>
      <c r="H71" s="161"/>
      <c r="I71" s="161"/>
      <c r="J71" s="161"/>
      <c r="K71" s="161"/>
      <c r="L71" s="167">
        <f>$M$7</f>
        <v>0</v>
      </c>
      <c r="M71" s="167"/>
      <c r="N71" s="167"/>
      <c r="P71" s="64"/>
    </row>
    <row r="72" spans="2:31" ht="15.75" customHeight="1" thickBot="1" x14ac:dyDescent="0.25">
      <c r="B72" s="161" t="str">
        <f>"CAPACIDAD RESIDUAL DE CONTRATACIÓN INTEGRANTE 1: "&amp;$F$24</f>
        <v xml:space="preserve">CAPACIDAD RESIDUAL DE CONTRATACIÓN INTEGRANTE 1: </v>
      </c>
      <c r="C72" s="161"/>
      <c r="D72" s="161"/>
      <c r="E72" s="161"/>
      <c r="F72" s="161"/>
      <c r="G72" s="161"/>
      <c r="H72" s="161"/>
      <c r="I72" s="161"/>
      <c r="J72" s="161"/>
      <c r="K72" s="161"/>
      <c r="L72" s="167">
        <f>L70-L71</f>
        <v>426630400</v>
      </c>
      <c r="M72" s="167"/>
      <c r="N72" s="167"/>
      <c r="T72" s="231" t="s">
        <v>108</v>
      </c>
      <c r="U72" s="231"/>
      <c r="V72" s="232" t="str">
        <f>B74</f>
        <v>INTEGRANTE 2: Dorado Asociados SAS</v>
      </c>
      <c r="W72" s="233"/>
      <c r="X72" s="233"/>
      <c r="Y72" s="233"/>
      <c r="Z72" s="233"/>
      <c r="AA72" s="234"/>
    </row>
    <row r="73" spans="2:31" ht="15.75" customHeight="1" thickBot="1" x14ac:dyDescent="0.25">
      <c r="B73" s="127"/>
      <c r="C73" s="127"/>
      <c r="D73" s="127"/>
      <c r="E73" s="127"/>
      <c r="F73" s="127"/>
      <c r="G73" s="127"/>
      <c r="H73" s="127"/>
      <c r="I73" s="127"/>
      <c r="J73" s="127"/>
      <c r="K73" s="127"/>
      <c r="L73" s="128"/>
      <c r="M73" s="128"/>
      <c r="N73" s="128"/>
      <c r="T73" s="104" t="s">
        <v>111</v>
      </c>
      <c r="U73" s="129">
        <f>U22</f>
        <v>45614</v>
      </c>
    </row>
    <row r="74" spans="2:31" ht="15.75" customHeight="1" thickBot="1" x14ac:dyDescent="0.3">
      <c r="B74" s="180" t="str">
        <f>"INTEGRANTE 2: "&amp;$C$8</f>
        <v>INTEGRANTE 2: Dorado Asociados SAS</v>
      </c>
      <c r="C74" s="181"/>
      <c r="D74" s="181"/>
      <c r="E74" s="181"/>
      <c r="F74" s="181"/>
      <c r="G74" s="181"/>
      <c r="H74" s="181"/>
      <c r="I74" s="181"/>
      <c r="J74" s="181"/>
      <c r="K74" s="181"/>
      <c r="L74" s="181"/>
      <c r="M74" s="181"/>
      <c r="N74" s="182"/>
      <c r="T74" s="109"/>
      <c r="U74" s="110"/>
    </row>
    <row r="75" spans="2:31" ht="18.75" customHeight="1" x14ac:dyDescent="0.25">
      <c r="B75" s="167" t="s">
        <v>102</v>
      </c>
      <c r="C75" s="167"/>
      <c r="D75" s="167"/>
      <c r="E75" s="167"/>
      <c r="F75" s="167"/>
      <c r="G75" s="167"/>
      <c r="H75" s="167"/>
      <c r="I75" s="228">
        <f>$G$8</f>
        <v>0.8</v>
      </c>
      <c r="J75" s="228"/>
      <c r="K75" s="228"/>
      <c r="L75" s="228"/>
      <c r="M75" s="228"/>
      <c r="N75" s="228"/>
      <c r="Q75" s="103" t="s">
        <v>210</v>
      </c>
      <c r="T75" s="229" t="s">
        <v>113</v>
      </c>
      <c r="U75" s="225" t="s">
        <v>114</v>
      </c>
      <c r="V75" s="225" t="s">
        <v>115</v>
      </c>
      <c r="W75" s="225" t="s">
        <v>116</v>
      </c>
      <c r="X75" s="225" t="s">
        <v>117</v>
      </c>
      <c r="Y75" s="225" t="s">
        <v>118</v>
      </c>
      <c r="Z75" s="225" t="s">
        <v>119</v>
      </c>
      <c r="AA75" s="225" t="s">
        <v>120</v>
      </c>
      <c r="AB75" s="225" t="s">
        <v>121</v>
      </c>
      <c r="AC75" s="225" t="s">
        <v>122</v>
      </c>
      <c r="AD75" s="225" t="s">
        <v>123</v>
      </c>
      <c r="AE75" s="225" t="s">
        <v>124</v>
      </c>
    </row>
    <row r="76" spans="2:31" ht="15.75" customHeight="1" thickBot="1" x14ac:dyDescent="0.3">
      <c r="B76" s="212" t="s">
        <v>103</v>
      </c>
      <c r="C76" s="212"/>
      <c r="D76" s="212"/>
      <c r="E76" s="212"/>
      <c r="F76" s="212"/>
      <c r="G76" s="212"/>
      <c r="H76" s="212" t="s">
        <v>104</v>
      </c>
      <c r="I76" s="212"/>
      <c r="J76" s="212"/>
      <c r="K76" s="212"/>
      <c r="L76" s="212"/>
      <c r="M76" s="212"/>
      <c r="N76" s="91" t="s">
        <v>105</v>
      </c>
      <c r="Q76" s="108">
        <v>1423500</v>
      </c>
      <c r="T76" s="230"/>
      <c r="U76" s="226"/>
      <c r="V76" s="226"/>
      <c r="W76" s="226"/>
      <c r="X76" s="226"/>
      <c r="Y76" s="226"/>
      <c r="Z76" s="226"/>
      <c r="AA76" s="226"/>
      <c r="AB76" s="226"/>
      <c r="AC76" s="226"/>
      <c r="AD76" s="226"/>
      <c r="AE76" s="226"/>
    </row>
    <row r="77" spans="2:31" ht="15.75" customHeight="1" thickBot="1" x14ac:dyDescent="0.3">
      <c r="B77" s="186"/>
      <c r="C77" s="187"/>
      <c r="D77" s="187"/>
      <c r="E77" s="187"/>
      <c r="F77" s="187"/>
      <c r="G77" s="188"/>
      <c r="H77" s="217" t="s">
        <v>106</v>
      </c>
      <c r="I77" s="217"/>
      <c r="J77" s="217"/>
      <c r="K77" s="217"/>
      <c r="L77" s="217"/>
      <c r="M77" s="217"/>
      <c r="N77" s="79">
        <v>120</v>
      </c>
      <c r="T77" s="113">
        <v>1</v>
      </c>
      <c r="U77" s="113" t="s">
        <v>128</v>
      </c>
      <c r="V77" s="114">
        <v>42095</v>
      </c>
      <c r="W77" s="114">
        <v>42124</v>
      </c>
      <c r="X77" s="114">
        <v>42099</v>
      </c>
      <c r="Y77" s="115">
        <v>30000000</v>
      </c>
      <c r="Z77" s="116">
        <v>1</v>
      </c>
      <c r="AA77" s="117">
        <f>Y77*Z77</f>
        <v>30000000</v>
      </c>
      <c r="AB77" s="118">
        <f>DAYS360(V77,W77)+1</f>
        <v>30</v>
      </c>
      <c r="AC77" s="118">
        <f t="shared" ref="AC77:AC119" si="9">IF(X77&gt;$R$45,(X77-V77)+1,($U$22-V77)+1)</f>
        <v>5</v>
      </c>
      <c r="AD77" s="118">
        <f>IF((AB77-AC77)&gt;$P$28,$P$28,(AB77-AC77))</f>
        <v>25</v>
      </c>
      <c r="AE77" s="117">
        <f>ROUND((AA77/AB77)*AD77,0)</f>
        <v>25000000</v>
      </c>
    </row>
    <row r="78" spans="2:31" ht="15.75" customHeight="1" thickBot="1" x14ac:dyDescent="0.3">
      <c r="B78" s="189"/>
      <c r="C78" s="190"/>
      <c r="D78" s="190"/>
      <c r="E78" s="190"/>
      <c r="F78" s="190"/>
      <c r="G78" s="191"/>
      <c r="H78" s="217" t="s">
        <v>107</v>
      </c>
      <c r="I78" s="217"/>
      <c r="J78" s="217"/>
      <c r="K78" s="217"/>
      <c r="L78" s="217"/>
      <c r="M78" s="217"/>
      <c r="N78" s="79">
        <v>40</v>
      </c>
      <c r="P78" s="99" t="s">
        <v>130</v>
      </c>
      <c r="Q78" s="99" t="s">
        <v>0</v>
      </c>
      <c r="R78" s="99" t="s">
        <v>131</v>
      </c>
      <c r="T78" s="113">
        <f>T77+1</f>
        <v>2</v>
      </c>
      <c r="U78" s="113" t="s">
        <v>132</v>
      </c>
      <c r="V78" s="114"/>
      <c r="W78" s="114">
        <f>U73</f>
        <v>45614</v>
      </c>
      <c r="X78" s="114"/>
      <c r="Y78" s="115">
        <v>0</v>
      </c>
      <c r="Z78" s="116">
        <v>1</v>
      </c>
      <c r="AA78" s="117">
        <f t="shared" ref="AA78:AA119" si="10">Y78*Z78</f>
        <v>0</v>
      </c>
      <c r="AB78" s="118">
        <f t="shared" ref="AB78:AB119" si="11">DAYS360(V78,W78)+1</f>
        <v>44959</v>
      </c>
      <c r="AC78" s="118">
        <f t="shared" si="9"/>
        <v>45615</v>
      </c>
      <c r="AD78" s="118">
        <f t="shared" ref="AD78:AD119" si="12">IF((AB78-AC78)&gt;$P$28,$P$28,(AB78-AC78))</f>
        <v>-656</v>
      </c>
      <c r="AE78" s="117">
        <f t="shared" ref="AE78:AE119" si="13">ROUND((AA78/AB78)*AD78,0)</f>
        <v>0</v>
      </c>
    </row>
    <row r="79" spans="2:31" ht="15.75" customHeight="1" thickBot="1" x14ac:dyDescent="0.3">
      <c r="B79" s="189"/>
      <c r="C79" s="190"/>
      <c r="D79" s="190"/>
      <c r="E79" s="190"/>
      <c r="F79" s="190"/>
      <c r="G79" s="191"/>
      <c r="H79" s="217" t="s">
        <v>109</v>
      </c>
      <c r="I79" s="217"/>
      <c r="J79" s="217"/>
      <c r="K79" s="217"/>
      <c r="L79" s="217"/>
      <c r="M79" s="217"/>
      <c r="N79" s="79">
        <v>40</v>
      </c>
      <c r="O79" s="119"/>
      <c r="P79" s="79">
        <v>360</v>
      </c>
      <c r="Q79" s="79" t="s">
        <v>3</v>
      </c>
      <c r="R79" s="79">
        <v>12</v>
      </c>
      <c r="T79" s="113">
        <f t="shared" ref="T79:T119" si="14">T78+1</f>
        <v>3</v>
      </c>
      <c r="U79" s="113" t="s">
        <v>134</v>
      </c>
      <c r="V79" s="114"/>
      <c r="W79" s="114">
        <f t="shared" ref="W79:W119" si="15">W78</f>
        <v>45614</v>
      </c>
      <c r="X79" s="114"/>
      <c r="Y79" s="115">
        <v>0</v>
      </c>
      <c r="Z79" s="116">
        <v>1</v>
      </c>
      <c r="AA79" s="117">
        <f t="shared" si="10"/>
        <v>0</v>
      </c>
      <c r="AB79" s="118">
        <f t="shared" si="11"/>
        <v>44959</v>
      </c>
      <c r="AC79" s="118">
        <f t="shared" si="9"/>
        <v>45615</v>
      </c>
      <c r="AD79" s="118">
        <f t="shared" si="12"/>
        <v>-656</v>
      </c>
      <c r="AE79" s="117">
        <f t="shared" si="13"/>
        <v>0</v>
      </c>
    </row>
    <row r="80" spans="2:31" ht="15.75" customHeight="1" thickBot="1" x14ac:dyDescent="0.3">
      <c r="B80" s="192"/>
      <c r="C80" s="193"/>
      <c r="D80" s="193"/>
      <c r="E80" s="193"/>
      <c r="F80" s="193"/>
      <c r="G80" s="194"/>
      <c r="H80" s="212" t="s">
        <v>44</v>
      </c>
      <c r="I80" s="212"/>
      <c r="J80" s="212"/>
      <c r="K80" s="212"/>
      <c r="L80" s="212"/>
      <c r="M80" s="212"/>
      <c r="N80" s="79">
        <f>SUM(N77:N79)</f>
        <v>200</v>
      </c>
      <c r="O80" s="119"/>
      <c r="T80" s="113">
        <f t="shared" si="14"/>
        <v>4</v>
      </c>
      <c r="U80" s="113" t="s">
        <v>138</v>
      </c>
      <c r="V80" s="114"/>
      <c r="W80" s="114">
        <f t="shared" si="15"/>
        <v>45614</v>
      </c>
      <c r="X80" s="114"/>
      <c r="Y80" s="115">
        <v>0</v>
      </c>
      <c r="Z80" s="116">
        <v>1</v>
      </c>
      <c r="AA80" s="117">
        <f t="shared" si="10"/>
        <v>0</v>
      </c>
      <c r="AB80" s="118">
        <f t="shared" si="11"/>
        <v>44959</v>
      </c>
      <c r="AC80" s="118">
        <f t="shared" si="9"/>
        <v>45615</v>
      </c>
      <c r="AD80" s="118">
        <f t="shared" si="12"/>
        <v>-656</v>
      </c>
      <c r="AE80" s="117">
        <f t="shared" si="13"/>
        <v>0</v>
      </c>
    </row>
    <row r="81" spans="2:31" ht="15.75" customHeight="1" thickBot="1" x14ac:dyDescent="0.3">
      <c r="B81" s="212" t="s">
        <v>211</v>
      </c>
      <c r="C81" s="212"/>
      <c r="D81" s="212"/>
      <c r="E81" s="212"/>
      <c r="F81" s="212"/>
      <c r="G81" s="212"/>
      <c r="H81" s="212"/>
      <c r="I81" s="212"/>
      <c r="J81" s="212"/>
      <c r="K81" s="212"/>
      <c r="L81" s="212"/>
      <c r="M81" s="212"/>
      <c r="N81" s="212"/>
      <c r="O81" s="119"/>
      <c r="P81" s="99" t="s">
        <v>139</v>
      </c>
      <c r="Q81" s="99" t="s">
        <v>140</v>
      </c>
      <c r="R81" s="99" t="s">
        <v>141</v>
      </c>
      <c r="T81" s="113">
        <f t="shared" si="14"/>
        <v>5</v>
      </c>
      <c r="U81" s="113" t="s">
        <v>142</v>
      </c>
      <c r="V81" s="114"/>
      <c r="W81" s="114">
        <f t="shared" si="15"/>
        <v>45614</v>
      </c>
      <c r="X81" s="114"/>
      <c r="Y81" s="115">
        <v>0</v>
      </c>
      <c r="Z81" s="116">
        <v>1</v>
      </c>
      <c r="AA81" s="117">
        <f t="shared" si="10"/>
        <v>0</v>
      </c>
      <c r="AB81" s="118">
        <f t="shared" si="11"/>
        <v>44959</v>
      </c>
      <c r="AC81" s="118">
        <f t="shared" si="9"/>
        <v>45615</v>
      </c>
      <c r="AD81" s="118">
        <f t="shared" si="12"/>
        <v>-656</v>
      </c>
      <c r="AE81" s="117">
        <f t="shared" si="13"/>
        <v>0</v>
      </c>
    </row>
    <row r="82" spans="2:31" ht="15.75" customHeight="1" thickBot="1" x14ac:dyDescent="0.3">
      <c r="B82" s="239" t="s">
        <v>125</v>
      </c>
      <c r="C82" s="240"/>
      <c r="D82" s="240"/>
      <c r="E82" s="240"/>
      <c r="F82" s="240"/>
      <c r="G82" s="240"/>
      <c r="H82" s="241"/>
      <c r="I82" s="183" t="s">
        <v>126</v>
      </c>
      <c r="J82" s="184"/>
      <c r="K82" s="184"/>
      <c r="L82" s="184"/>
      <c r="M82" s="184"/>
      <c r="N82" s="185"/>
      <c r="P82" s="121">
        <v>125000</v>
      </c>
      <c r="Q82" s="108">
        <f>533287768/P82</f>
        <v>4266.3021440000002</v>
      </c>
      <c r="R82" s="108">
        <f>ROUNDUP(P82*Q82,-3)</f>
        <v>533288000</v>
      </c>
      <c r="T82" s="113">
        <f t="shared" si="14"/>
        <v>6</v>
      </c>
      <c r="U82" s="113" t="s">
        <v>143</v>
      </c>
      <c r="V82" s="114"/>
      <c r="W82" s="114">
        <f t="shared" si="15"/>
        <v>45614</v>
      </c>
      <c r="X82" s="114"/>
      <c r="Y82" s="115">
        <v>0</v>
      </c>
      <c r="Z82" s="116">
        <v>1</v>
      </c>
      <c r="AA82" s="117">
        <f t="shared" si="10"/>
        <v>0</v>
      </c>
      <c r="AB82" s="118">
        <f t="shared" si="11"/>
        <v>44959</v>
      </c>
      <c r="AC82" s="118">
        <f t="shared" si="9"/>
        <v>45615</v>
      </c>
      <c r="AD82" s="118">
        <f t="shared" si="12"/>
        <v>-656</v>
      </c>
      <c r="AE82" s="117">
        <f t="shared" si="13"/>
        <v>0</v>
      </c>
    </row>
    <row r="83" spans="2:31" ht="15.75" customHeight="1" thickBot="1" x14ac:dyDescent="0.3">
      <c r="B83" s="236" t="s">
        <v>127</v>
      </c>
      <c r="C83" s="237"/>
      <c r="D83" s="237"/>
      <c r="E83" s="237"/>
      <c r="F83" s="237"/>
      <c r="G83" s="237"/>
      <c r="H83" s="238"/>
      <c r="I83" s="168">
        <f>IF($H$8&gt;$R$31,$H$8,$R$31)</f>
        <v>533288000</v>
      </c>
      <c r="J83" s="169"/>
      <c r="K83" s="169"/>
      <c r="L83" s="169"/>
      <c r="M83" s="169"/>
      <c r="N83" s="170"/>
      <c r="Q83" s="81" t="s">
        <v>144</v>
      </c>
      <c r="T83" s="113">
        <f t="shared" si="14"/>
        <v>7</v>
      </c>
      <c r="U83" s="113" t="s">
        <v>145</v>
      </c>
      <c r="V83" s="114"/>
      <c r="W83" s="114">
        <f t="shared" si="15"/>
        <v>45614</v>
      </c>
      <c r="X83" s="114"/>
      <c r="Y83" s="115">
        <v>0</v>
      </c>
      <c r="Z83" s="116">
        <v>1</v>
      </c>
      <c r="AA83" s="117">
        <f t="shared" si="10"/>
        <v>0</v>
      </c>
      <c r="AB83" s="118">
        <f t="shared" si="11"/>
        <v>44959</v>
      </c>
      <c r="AC83" s="118">
        <f t="shared" si="9"/>
        <v>45615</v>
      </c>
      <c r="AD83" s="118">
        <f t="shared" si="12"/>
        <v>-656</v>
      </c>
      <c r="AE83" s="117">
        <f t="shared" si="13"/>
        <v>0</v>
      </c>
    </row>
    <row r="84" spans="2:31" ht="15.75" customHeight="1" thickBot="1" x14ac:dyDescent="0.3">
      <c r="B84" s="212" t="s">
        <v>212</v>
      </c>
      <c r="C84" s="212"/>
      <c r="D84" s="212"/>
      <c r="E84" s="212"/>
      <c r="F84" s="212"/>
      <c r="G84" s="212"/>
      <c r="H84" s="212"/>
      <c r="I84" s="212"/>
      <c r="J84" s="212"/>
      <c r="K84" s="212"/>
      <c r="L84" s="212"/>
      <c r="M84" s="212"/>
      <c r="N84" s="212"/>
      <c r="P84" s="212" t="s">
        <v>146</v>
      </c>
      <c r="Q84" s="212"/>
      <c r="R84" s="99" t="s">
        <v>147</v>
      </c>
      <c r="T84" s="113">
        <f t="shared" si="14"/>
        <v>8</v>
      </c>
      <c r="U84" s="113" t="s">
        <v>148</v>
      </c>
      <c r="V84" s="114"/>
      <c r="W84" s="114">
        <f t="shared" si="15"/>
        <v>45614</v>
      </c>
      <c r="X84" s="114"/>
      <c r="Y84" s="115">
        <v>0</v>
      </c>
      <c r="Z84" s="116">
        <v>1</v>
      </c>
      <c r="AA84" s="117">
        <f t="shared" si="10"/>
        <v>0</v>
      </c>
      <c r="AB84" s="118">
        <f t="shared" si="11"/>
        <v>44959</v>
      </c>
      <c r="AC84" s="118">
        <f t="shared" si="9"/>
        <v>45615</v>
      </c>
      <c r="AD84" s="118">
        <f t="shared" si="12"/>
        <v>-656</v>
      </c>
      <c r="AE84" s="117">
        <f t="shared" si="13"/>
        <v>0</v>
      </c>
    </row>
    <row r="85" spans="2:31" ht="15.75" customHeight="1" thickBot="1" x14ac:dyDescent="0.3">
      <c r="B85" s="212" t="s">
        <v>133</v>
      </c>
      <c r="C85" s="212"/>
      <c r="D85" s="212"/>
      <c r="E85" s="212"/>
      <c r="F85" s="212"/>
      <c r="G85" s="212"/>
      <c r="H85" s="212"/>
      <c r="I85" s="212"/>
      <c r="J85" s="212"/>
      <c r="K85" s="212"/>
      <c r="L85" s="212"/>
      <c r="M85" s="212"/>
      <c r="N85" s="212"/>
      <c r="P85" s="79">
        <v>0</v>
      </c>
      <c r="Q85" s="79">
        <v>3</v>
      </c>
      <c r="R85" s="79">
        <v>60</v>
      </c>
      <c r="T85" s="113">
        <f t="shared" si="14"/>
        <v>9</v>
      </c>
      <c r="U85" s="113" t="s">
        <v>149</v>
      </c>
      <c r="V85" s="114"/>
      <c r="W85" s="114">
        <f t="shared" si="15"/>
        <v>45614</v>
      </c>
      <c r="X85" s="114"/>
      <c r="Y85" s="115">
        <v>0</v>
      </c>
      <c r="Z85" s="116">
        <v>1</v>
      </c>
      <c r="AA85" s="117">
        <f t="shared" si="10"/>
        <v>0</v>
      </c>
      <c r="AB85" s="118">
        <f t="shared" si="11"/>
        <v>44959</v>
      </c>
      <c r="AC85" s="118">
        <f t="shared" si="9"/>
        <v>45615</v>
      </c>
      <c r="AD85" s="118">
        <f t="shared" si="12"/>
        <v>-656</v>
      </c>
      <c r="AE85" s="117">
        <f t="shared" si="13"/>
        <v>0</v>
      </c>
    </row>
    <row r="86" spans="2:31" ht="15.75" customHeight="1" thickBot="1" x14ac:dyDescent="0.25">
      <c r="B86" s="122" t="s">
        <v>135</v>
      </c>
      <c r="C86" s="160" t="s">
        <v>136</v>
      </c>
      <c r="D86" s="122" t="s">
        <v>135</v>
      </c>
      <c r="E86" s="160" t="s">
        <v>136</v>
      </c>
      <c r="F86" s="122" t="s">
        <v>135</v>
      </c>
      <c r="G86" s="160" t="s">
        <v>136</v>
      </c>
      <c r="H86" s="122" t="s">
        <v>135</v>
      </c>
      <c r="I86" s="160" t="s">
        <v>136</v>
      </c>
      <c r="J86" s="122" t="s">
        <v>135</v>
      </c>
      <c r="K86" s="160" t="s">
        <v>136</v>
      </c>
      <c r="L86" s="122" t="s">
        <v>135</v>
      </c>
      <c r="M86" s="160" t="s">
        <v>136</v>
      </c>
      <c r="N86" s="195" t="s">
        <v>137</v>
      </c>
      <c r="P86" s="79">
        <v>3</v>
      </c>
      <c r="Q86" s="79">
        <v>6</v>
      </c>
      <c r="R86" s="79">
        <v>80</v>
      </c>
      <c r="T86" s="113">
        <f t="shared" si="14"/>
        <v>10</v>
      </c>
      <c r="U86" s="113" t="s">
        <v>150</v>
      </c>
      <c r="V86" s="114"/>
      <c r="W86" s="114">
        <f t="shared" si="15"/>
        <v>45614</v>
      </c>
      <c r="X86" s="114"/>
      <c r="Y86" s="115">
        <v>0</v>
      </c>
      <c r="Z86" s="116">
        <v>1</v>
      </c>
      <c r="AA86" s="117">
        <f t="shared" si="10"/>
        <v>0</v>
      </c>
      <c r="AB86" s="118">
        <f t="shared" si="11"/>
        <v>44959</v>
      </c>
      <c r="AC86" s="118">
        <f t="shared" si="9"/>
        <v>45615</v>
      </c>
      <c r="AD86" s="118">
        <f t="shared" si="12"/>
        <v>-656</v>
      </c>
      <c r="AE86" s="117">
        <f t="shared" si="13"/>
        <v>0</v>
      </c>
    </row>
    <row r="87" spans="2:31" ht="15.75" customHeight="1" thickBot="1" x14ac:dyDescent="0.25">
      <c r="B87" s="123">
        <v>1</v>
      </c>
      <c r="C87" s="159"/>
      <c r="D87" s="123">
        <v>22</v>
      </c>
      <c r="E87" s="159"/>
      <c r="F87" s="123">
        <v>43</v>
      </c>
      <c r="G87" s="158"/>
      <c r="H87" s="123">
        <v>64</v>
      </c>
      <c r="I87" s="158"/>
      <c r="J87" s="123">
        <v>85</v>
      </c>
      <c r="K87" s="158"/>
      <c r="L87" s="123">
        <v>106</v>
      </c>
      <c r="M87" s="158"/>
      <c r="N87" s="196"/>
      <c r="P87" s="79">
        <v>6</v>
      </c>
      <c r="Q87" s="79">
        <v>10</v>
      </c>
      <c r="R87" s="79">
        <v>100</v>
      </c>
      <c r="T87" s="113">
        <f t="shared" si="14"/>
        <v>11</v>
      </c>
      <c r="U87" s="113" t="s">
        <v>151</v>
      </c>
      <c r="V87" s="114"/>
      <c r="W87" s="114">
        <f t="shared" si="15"/>
        <v>45614</v>
      </c>
      <c r="X87" s="114"/>
      <c r="Y87" s="115">
        <v>0</v>
      </c>
      <c r="Z87" s="116">
        <v>1</v>
      </c>
      <c r="AA87" s="117">
        <f t="shared" si="10"/>
        <v>0</v>
      </c>
      <c r="AB87" s="118">
        <f t="shared" si="11"/>
        <v>44959</v>
      </c>
      <c r="AC87" s="118">
        <f t="shared" si="9"/>
        <v>45615</v>
      </c>
      <c r="AD87" s="118">
        <f t="shared" si="12"/>
        <v>-656</v>
      </c>
      <c r="AE87" s="117">
        <f t="shared" si="13"/>
        <v>0</v>
      </c>
    </row>
    <row r="88" spans="2:31" ht="15.75" customHeight="1" thickBot="1" x14ac:dyDescent="0.25">
      <c r="B88" s="123">
        <f>+B87+1</f>
        <v>2</v>
      </c>
      <c r="C88" s="159"/>
      <c r="D88" s="123">
        <f>+D87+1</f>
        <v>23</v>
      </c>
      <c r="E88" s="159"/>
      <c r="F88" s="123">
        <f>+F87+1</f>
        <v>44</v>
      </c>
      <c r="G88" s="158"/>
      <c r="H88" s="123">
        <f>+H87+1</f>
        <v>65</v>
      </c>
      <c r="I88" s="158"/>
      <c r="J88" s="123">
        <f>+J87+1</f>
        <v>86</v>
      </c>
      <c r="K88" s="158"/>
      <c r="L88" s="123">
        <f>+L87+1</f>
        <v>107</v>
      </c>
      <c r="M88" s="158"/>
      <c r="N88" s="196"/>
      <c r="P88" s="79">
        <v>10</v>
      </c>
      <c r="Q88" s="79"/>
      <c r="R88" s="79">
        <v>120</v>
      </c>
      <c r="T88" s="113">
        <f t="shared" si="14"/>
        <v>12</v>
      </c>
      <c r="U88" s="113" t="s">
        <v>152</v>
      </c>
      <c r="V88" s="114"/>
      <c r="W88" s="114">
        <f t="shared" si="15"/>
        <v>45614</v>
      </c>
      <c r="X88" s="114"/>
      <c r="Y88" s="115">
        <v>0</v>
      </c>
      <c r="Z88" s="116">
        <v>1</v>
      </c>
      <c r="AA88" s="117">
        <f t="shared" si="10"/>
        <v>0</v>
      </c>
      <c r="AB88" s="118">
        <f t="shared" si="11"/>
        <v>44959</v>
      </c>
      <c r="AC88" s="118">
        <f t="shared" si="9"/>
        <v>45615</v>
      </c>
      <c r="AD88" s="118">
        <f t="shared" si="12"/>
        <v>-656</v>
      </c>
      <c r="AE88" s="117">
        <f t="shared" si="13"/>
        <v>0</v>
      </c>
    </row>
    <row r="89" spans="2:31" ht="15.75" customHeight="1" thickBot="1" x14ac:dyDescent="0.25">
      <c r="B89" s="123">
        <f t="shared" ref="B89:B107" si="16">+B88+1</f>
        <v>3</v>
      </c>
      <c r="C89" s="159"/>
      <c r="D89" s="123">
        <f t="shared" ref="D89:L107" si="17">+D88+1</f>
        <v>24</v>
      </c>
      <c r="E89" s="159"/>
      <c r="F89" s="123">
        <f t="shared" si="17"/>
        <v>45</v>
      </c>
      <c r="G89" s="158"/>
      <c r="H89" s="123">
        <f t="shared" si="17"/>
        <v>66</v>
      </c>
      <c r="I89" s="158"/>
      <c r="J89" s="123">
        <f t="shared" si="17"/>
        <v>87</v>
      </c>
      <c r="K89" s="158"/>
      <c r="L89" s="123">
        <f t="shared" si="17"/>
        <v>108</v>
      </c>
      <c r="M89" s="158"/>
      <c r="N89" s="196"/>
      <c r="P89" s="212" t="s">
        <v>153</v>
      </c>
      <c r="Q89" s="212"/>
      <c r="R89" s="99" t="s">
        <v>147</v>
      </c>
      <c r="T89" s="113">
        <f t="shared" si="14"/>
        <v>13</v>
      </c>
      <c r="U89" s="113" t="s">
        <v>154</v>
      </c>
      <c r="V89" s="114"/>
      <c r="W89" s="114">
        <f t="shared" si="15"/>
        <v>45614</v>
      </c>
      <c r="X89" s="114"/>
      <c r="Y89" s="115">
        <v>0</v>
      </c>
      <c r="Z89" s="116">
        <v>1</v>
      </c>
      <c r="AA89" s="117">
        <f t="shared" si="10"/>
        <v>0</v>
      </c>
      <c r="AB89" s="118">
        <f t="shared" si="11"/>
        <v>44959</v>
      </c>
      <c r="AC89" s="118">
        <f t="shared" si="9"/>
        <v>45615</v>
      </c>
      <c r="AD89" s="118">
        <f t="shared" si="12"/>
        <v>-656</v>
      </c>
      <c r="AE89" s="117">
        <f t="shared" si="13"/>
        <v>0</v>
      </c>
    </row>
    <row r="90" spans="2:31" ht="15.75" customHeight="1" thickBot="1" x14ac:dyDescent="0.25">
      <c r="B90" s="123">
        <f t="shared" si="16"/>
        <v>4</v>
      </c>
      <c r="C90" s="159"/>
      <c r="D90" s="123">
        <f t="shared" si="17"/>
        <v>25</v>
      </c>
      <c r="E90" s="159"/>
      <c r="F90" s="123">
        <f t="shared" si="17"/>
        <v>46</v>
      </c>
      <c r="G90" s="158"/>
      <c r="H90" s="123">
        <f t="shared" si="17"/>
        <v>67</v>
      </c>
      <c r="I90" s="158"/>
      <c r="J90" s="123">
        <f t="shared" si="17"/>
        <v>88</v>
      </c>
      <c r="K90" s="158"/>
      <c r="L90" s="123">
        <f t="shared" si="17"/>
        <v>109</v>
      </c>
      <c r="M90" s="158"/>
      <c r="N90" s="196"/>
      <c r="P90" s="124">
        <v>0</v>
      </c>
      <c r="Q90" s="124">
        <v>0.5</v>
      </c>
      <c r="R90" s="79">
        <v>20</v>
      </c>
      <c r="T90" s="113">
        <f t="shared" si="14"/>
        <v>14</v>
      </c>
      <c r="U90" s="113" t="s">
        <v>155</v>
      </c>
      <c r="V90" s="114"/>
      <c r="W90" s="114">
        <f t="shared" si="15"/>
        <v>45614</v>
      </c>
      <c r="X90" s="114"/>
      <c r="Y90" s="115">
        <v>0</v>
      </c>
      <c r="Z90" s="116">
        <v>1</v>
      </c>
      <c r="AA90" s="117">
        <f t="shared" si="10"/>
        <v>0</v>
      </c>
      <c r="AB90" s="118">
        <f t="shared" si="11"/>
        <v>44959</v>
      </c>
      <c r="AC90" s="118">
        <f t="shared" si="9"/>
        <v>45615</v>
      </c>
      <c r="AD90" s="118">
        <f t="shared" si="12"/>
        <v>-656</v>
      </c>
      <c r="AE90" s="117">
        <f t="shared" si="13"/>
        <v>0</v>
      </c>
    </row>
    <row r="91" spans="2:31" ht="15.75" customHeight="1" thickBot="1" x14ac:dyDescent="0.25">
      <c r="B91" s="123">
        <f t="shared" si="16"/>
        <v>5</v>
      </c>
      <c r="C91" s="159"/>
      <c r="D91" s="123">
        <f t="shared" si="17"/>
        <v>26</v>
      </c>
      <c r="E91" s="159"/>
      <c r="F91" s="123">
        <f t="shared" si="17"/>
        <v>47</v>
      </c>
      <c r="G91" s="158"/>
      <c r="H91" s="123">
        <f t="shared" si="17"/>
        <v>68</v>
      </c>
      <c r="I91" s="158"/>
      <c r="J91" s="123">
        <f t="shared" si="17"/>
        <v>89</v>
      </c>
      <c r="K91" s="158"/>
      <c r="L91" s="123">
        <f t="shared" si="17"/>
        <v>110</v>
      </c>
      <c r="M91" s="158"/>
      <c r="N91" s="196"/>
      <c r="P91" s="124">
        <v>0.5</v>
      </c>
      <c r="Q91" s="124">
        <v>0.75</v>
      </c>
      <c r="R91" s="79">
        <v>25</v>
      </c>
      <c r="T91" s="113">
        <f t="shared" si="14"/>
        <v>15</v>
      </c>
      <c r="U91" s="113" t="s">
        <v>156</v>
      </c>
      <c r="V91" s="114"/>
      <c r="W91" s="114">
        <f t="shared" si="15"/>
        <v>45614</v>
      </c>
      <c r="X91" s="114"/>
      <c r="Y91" s="115">
        <v>0</v>
      </c>
      <c r="Z91" s="116">
        <v>1</v>
      </c>
      <c r="AA91" s="117">
        <f t="shared" si="10"/>
        <v>0</v>
      </c>
      <c r="AB91" s="118">
        <f t="shared" si="11"/>
        <v>44959</v>
      </c>
      <c r="AC91" s="118">
        <f t="shared" si="9"/>
        <v>45615</v>
      </c>
      <c r="AD91" s="118">
        <f t="shared" si="12"/>
        <v>-656</v>
      </c>
      <c r="AE91" s="117">
        <f t="shared" si="13"/>
        <v>0</v>
      </c>
    </row>
    <row r="92" spans="2:31" ht="15.75" customHeight="1" thickBot="1" x14ac:dyDescent="0.25">
      <c r="B92" s="123">
        <f t="shared" si="16"/>
        <v>6</v>
      </c>
      <c r="C92" s="159"/>
      <c r="D92" s="123">
        <f t="shared" si="17"/>
        <v>27</v>
      </c>
      <c r="E92" s="159"/>
      <c r="F92" s="123">
        <f t="shared" si="17"/>
        <v>48</v>
      </c>
      <c r="G92" s="158"/>
      <c r="H92" s="123">
        <f t="shared" si="17"/>
        <v>69</v>
      </c>
      <c r="I92" s="158"/>
      <c r="J92" s="123">
        <f t="shared" si="17"/>
        <v>90</v>
      </c>
      <c r="K92" s="158"/>
      <c r="L92" s="123">
        <f t="shared" si="17"/>
        <v>111</v>
      </c>
      <c r="M92" s="158"/>
      <c r="N92" s="196"/>
      <c r="P92" s="124">
        <v>0.75</v>
      </c>
      <c r="Q92" s="124">
        <v>1</v>
      </c>
      <c r="R92" s="79">
        <v>30</v>
      </c>
      <c r="T92" s="113">
        <f t="shared" si="14"/>
        <v>16</v>
      </c>
      <c r="U92" s="113" t="s">
        <v>157</v>
      </c>
      <c r="V92" s="114"/>
      <c r="W92" s="114">
        <f t="shared" si="15"/>
        <v>45614</v>
      </c>
      <c r="X92" s="114"/>
      <c r="Y92" s="115">
        <v>0</v>
      </c>
      <c r="Z92" s="116">
        <v>1</v>
      </c>
      <c r="AA92" s="117">
        <f t="shared" si="10"/>
        <v>0</v>
      </c>
      <c r="AB92" s="118">
        <f t="shared" si="11"/>
        <v>44959</v>
      </c>
      <c r="AC92" s="118">
        <f t="shared" si="9"/>
        <v>45615</v>
      </c>
      <c r="AD92" s="118">
        <f t="shared" si="12"/>
        <v>-656</v>
      </c>
      <c r="AE92" s="117">
        <f t="shared" si="13"/>
        <v>0</v>
      </c>
    </row>
    <row r="93" spans="2:31" ht="15.75" customHeight="1" thickBot="1" x14ac:dyDescent="0.25">
      <c r="B93" s="123">
        <f t="shared" si="16"/>
        <v>7</v>
      </c>
      <c r="C93" s="159"/>
      <c r="D93" s="123">
        <f t="shared" si="17"/>
        <v>28</v>
      </c>
      <c r="E93" s="159"/>
      <c r="F93" s="123">
        <f t="shared" si="17"/>
        <v>49</v>
      </c>
      <c r="G93" s="158"/>
      <c r="H93" s="123">
        <f t="shared" si="17"/>
        <v>70</v>
      </c>
      <c r="I93" s="158"/>
      <c r="J93" s="123">
        <f t="shared" si="17"/>
        <v>91</v>
      </c>
      <c r="K93" s="158"/>
      <c r="L93" s="123">
        <f t="shared" si="17"/>
        <v>112</v>
      </c>
      <c r="M93" s="158"/>
      <c r="N93" s="196"/>
      <c r="P93" s="124">
        <v>1</v>
      </c>
      <c r="Q93" s="124">
        <v>1.5</v>
      </c>
      <c r="R93" s="79">
        <v>35</v>
      </c>
      <c r="T93" s="113">
        <f t="shared" si="14"/>
        <v>17</v>
      </c>
      <c r="U93" s="113" t="s">
        <v>158</v>
      </c>
      <c r="V93" s="114"/>
      <c r="W93" s="114">
        <f t="shared" si="15"/>
        <v>45614</v>
      </c>
      <c r="X93" s="114"/>
      <c r="Y93" s="115">
        <v>0</v>
      </c>
      <c r="Z93" s="116">
        <v>1</v>
      </c>
      <c r="AA93" s="117">
        <f t="shared" si="10"/>
        <v>0</v>
      </c>
      <c r="AB93" s="118">
        <f t="shared" si="11"/>
        <v>44959</v>
      </c>
      <c r="AC93" s="118">
        <f t="shared" si="9"/>
        <v>45615</v>
      </c>
      <c r="AD93" s="118">
        <f t="shared" si="12"/>
        <v>-656</v>
      </c>
      <c r="AE93" s="117">
        <f t="shared" si="13"/>
        <v>0</v>
      </c>
    </row>
    <row r="94" spans="2:31" ht="15.75" customHeight="1" thickBot="1" x14ac:dyDescent="0.25">
      <c r="B94" s="123">
        <f t="shared" si="16"/>
        <v>8</v>
      </c>
      <c r="C94" s="159"/>
      <c r="D94" s="123">
        <f t="shared" si="17"/>
        <v>29</v>
      </c>
      <c r="E94" s="159"/>
      <c r="F94" s="123">
        <f t="shared" si="17"/>
        <v>50</v>
      </c>
      <c r="G94" s="158"/>
      <c r="H94" s="123">
        <f t="shared" si="17"/>
        <v>71</v>
      </c>
      <c r="I94" s="158"/>
      <c r="J94" s="123">
        <f t="shared" si="17"/>
        <v>92</v>
      </c>
      <c r="K94" s="158"/>
      <c r="L94" s="123">
        <f t="shared" si="17"/>
        <v>113</v>
      </c>
      <c r="M94" s="158"/>
      <c r="N94" s="196"/>
      <c r="P94" s="124">
        <v>1.5</v>
      </c>
      <c r="Q94" s="124"/>
      <c r="R94" s="79">
        <v>40</v>
      </c>
      <c r="T94" s="113">
        <f t="shared" si="14"/>
        <v>18</v>
      </c>
      <c r="U94" s="113" t="s">
        <v>159</v>
      </c>
      <c r="V94" s="114"/>
      <c r="W94" s="114">
        <f t="shared" si="15"/>
        <v>45614</v>
      </c>
      <c r="X94" s="114"/>
      <c r="Y94" s="115">
        <v>0</v>
      </c>
      <c r="Z94" s="116">
        <v>1</v>
      </c>
      <c r="AA94" s="117">
        <f t="shared" si="10"/>
        <v>0</v>
      </c>
      <c r="AB94" s="118">
        <f t="shared" si="11"/>
        <v>44959</v>
      </c>
      <c r="AC94" s="118">
        <f t="shared" si="9"/>
        <v>45615</v>
      </c>
      <c r="AD94" s="118">
        <f t="shared" si="12"/>
        <v>-656</v>
      </c>
      <c r="AE94" s="117">
        <f t="shared" si="13"/>
        <v>0</v>
      </c>
    </row>
    <row r="95" spans="2:31" ht="15.75" customHeight="1" thickBot="1" x14ac:dyDescent="0.25">
      <c r="B95" s="123">
        <f t="shared" si="16"/>
        <v>9</v>
      </c>
      <c r="C95" s="159"/>
      <c r="D95" s="123">
        <f t="shared" si="17"/>
        <v>30</v>
      </c>
      <c r="E95" s="159"/>
      <c r="F95" s="123">
        <f t="shared" si="17"/>
        <v>51</v>
      </c>
      <c r="G95" s="158"/>
      <c r="H95" s="123">
        <f t="shared" si="17"/>
        <v>72</v>
      </c>
      <c r="I95" s="158"/>
      <c r="J95" s="123">
        <f t="shared" si="17"/>
        <v>93</v>
      </c>
      <c r="K95" s="158"/>
      <c r="L95" s="123">
        <f t="shared" si="17"/>
        <v>114</v>
      </c>
      <c r="M95" s="158"/>
      <c r="N95" s="196"/>
      <c r="P95" s="212" t="s">
        <v>160</v>
      </c>
      <c r="Q95" s="212"/>
      <c r="R95" s="99" t="s">
        <v>147</v>
      </c>
      <c r="T95" s="113">
        <f t="shared" si="14"/>
        <v>19</v>
      </c>
      <c r="U95" s="113" t="s">
        <v>161</v>
      </c>
      <c r="V95" s="114"/>
      <c r="W95" s="114">
        <f t="shared" si="15"/>
        <v>45614</v>
      </c>
      <c r="X95" s="114"/>
      <c r="Y95" s="115">
        <v>0</v>
      </c>
      <c r="Z95" s="116">
        <v>1</v>
      </c>
      <c r="AA95" s="117">
        <f t="shared" si="10"/>
        <v>0</v>
      </c>
      <c r="AB95" s="118">
        <f t="shared" si="11"/>
        <v>44959</v>
      </c>
      <c r="AC95" s="118">
        <f t="shared" si="9"/>
        <v>45615</v>
      </c>
      <c r="AD95" s="118">
        <f t="shared" si="12"/>
        <v>-656</v>
      </c>
      <c r="AE95" s="117">
        <f t="shared" si="13"/>
        <v>0</v>
      </c>
    </row>
    <row r="96" spans="2:31" ht="15.75" customHeight="1" thickBot="1" x14ac:dyDescent="0.25">
      <c r="B96" s="123">
        <f t="shared" si="16"/>
        <v>10</v>
      </c>
      <c r="C96" s="159"/>
      <c r="D96" s="123">
        <f t="shared" si="17"/>
        <v>31</v>
      </c>
      <c r="E96" s="159"/>
      <c r="F96" s="123">
        <f t="shared" si="17"/>
        <v>52</v>
      </c>
      <c r="G96" s="158"/>
      <c r="H96" s="123">
        <f t="shared" si="17"/>
        <v>73</v>
      </c>
      <c r="I96" s="158"/>
      <c r="J96" s="123">
        <f t="shared" si="17"/>
        <v>94</v>
      </c>
      <c r="K96" s="158"/>
      <c r="L96" s="123">
        <f t="shared" si="17"/>
        <v>115</v>
      </c>
      <c r="M96" s="158"/>
      <c r="N96" s="196"/>
      <c r="P96" s="79"/>
      <c r="Q96" s="79"/>
      <c r="R96" s="79">
        <v>0</v>
      </c>
      <c r="T96" s="113">
        <f t="shared" si="14"/>
        <v>20</v>
      </c>
      <c r="U96" s="113" t="s">
        <v>162</v>
      </c>
      <c r="V96" s="114"/>
      <c r="W96" s="114">
        <f t="shared" si="15"/>
        <v>45614</v>
      </c>
      <c r="X96" s="114"/>
      <c r="Y96" s="115">
        <v>0</v>
      </c>
      <c r="Z96" s="116">
        <v>1</v>
      </c>
      <c r="AA96" s="117">
        <f t="shared" si="10"/>
        <v>0</v>
      </c>
      <c r="AB96" s="118">
        <f t="shared" si="11"/>
        <v>44959</v>
      </c>
      <c r="AC96" s="118">
        <f t="shared" si="9"/>
        <v>45615</v>
      </c>
      <c r="AD96" s="118">
        <f t="shared" si="12"/>
        <v>-656</v>
      </c>
      <c r="AE96" s="117">
        <f t="shared" si="13"/>
        <v>0</v>
      </c>
    </row>
    <row r="97" spans="2:31" ht="15.75" customHeight="1" thickBot="1" x14ac:dyDescent="0.25">
      <c r="B97" s="123">
        <f t="shared" si="16"/>
        <v>11</v>
      </c>
      <c r="C97" s="158"/>
      <c r="D97" s="123">
        <f t="shared" si="17"/>
        <v>32</v>
      </c>
      <c r="E97" s="158"/>
      <c r="F97" s="123">
        <f t="shared" si="17"/>
        <v>53</v>
      </c>
      <c r="G97" s="158"/>
      <c r="H97" s="123">
        <f t="shared" si="17"/>
        <v>74</v>
      </c>
      <c r="I97" s="158"/>
      <c r="J97" s="123">
        <f t="shared" si="17"/>
        <v>95</v>
      </c>
      <c r="K97" s="158"/>
      <c r="L97" s="123">
        <f t="shared" si="17"/>
        <v>116</v>
      </c>
      <c r="M97" s="158"/>
      <c r="N97" s="196"/>
      <c r="P97" s="79">
        <v>0</v>
      </c>
      <c r="Q97" s="79">
        <v>5</v>
      </c>
      <c r="R97" s="79">
        <v>20</v>
      </c>
      <c r="T97" s="113">
        <f t="shared" si="14"/>
        <v>21</v>
      </c>
      <c r="U97" s="113" t="s">
        <v>163</v>
      </c>
      <c r="V97" s="114"/>
      <c r="W97" s="114">
        <f t="shared" si="15"/>
        <v>45614</v>
      </c>
      <c r="X97" s="114"/>
      <c r="Y97" s="115">
        <v>0</v>
      </c>
      <c r="Z97" s="116">
        <v>1</v>
      </c>
      <c r="AA97" s="117">
        <f t="shared" si="10"/>
        <v>0</v>
      </c>
      <c r="AB97" s="118">
        <f t="shared" si="11"/>
        <v>44959</v>
      </c>
      <c r="AC97" s="118">
        <f t="shared" si="9"/>
        <v>45615</v>
      </c>
      <c r="AD97" s="118">
        <f t="shared" si="12"/>
        <v>-656</v>
      </c>
      <c r="AE97" s="117">
        <f t="shared" si="13"/>
        <v>0</v>
      </c>
    </row>
    <row r="98" spans="2:31" ht="15.75" customHeight="1" thickBot="1" x14ac:dyDescent="0.25">
      <c r="B98" s="123">
        <f t="shared" si="16"/>
        <v>12</v>
      </c>
      <c r="C98" s="158"/>
      <c r="D98" s="123">
        <f t="shared" si="17"/>
        <v>33</v>
      </c>
      <c r="E98" s="158"/>
      <c r="F98" s="123">
        <f t="shared" si="17"/>
        <v>54</v>
      </c>
      <c r="G98" s="158"/>
      <c r="H98" s="123">
        <f t="shared" si="17"/>
        <v>75</v>
      </c>
      <c r="I98" s="158"/>
      <c r="J98" s="123">
        <f t="shared" si="17"/>
        <v>96</v>
      </c>
      <c r="K98" s="158"/>
      <c r="L98" s="123">
        <f t="shared" si="17"/>
        <v>117</v>
      </c>
      <c r="M98" s="158"/>
      <c r="N98" s="196"/>
      <c r="P98" s="79">
        <v>5</v>
      </c>
      <c r="Q98" s="79">
        <v>10</v>
      </c>
      <c r="R98" s="79">
        <v>30</v>
      </c>
      <c r="T98" s="113">
        <f t="shared" si="14"/>
        <v>22</v>
      </c>
      <c r="U98" s="113" t="s">
        <v>164</v>
      </c>
      <c r="V98" s="114"/>
      <c r="W98" s="114">
        <f t="shared" si="15"/>
        <v>45614</v>
      </c>
      <c r="X98" s="114"/>
      <c r="Y98" s="115">
        <v>0</v>
      </c>
      <c r="Z98" s="116">
        <v>1</v>
      </c>
      <c r="AA98" s="117">
        <f t="shared" si="10"/>
        <v>0</v>
      </c>
      <c r="AB98" s="118">
        <f t="shared" si="11"/>
        <v>44959</v>
      </c>
      <c r="AC98" s="118">
        <f t="shared" si="9"/>
        <v>45615</v>
      </c>
      <c r="AD98" s="118">
        <f t="shared" si="12"/>
        <v>-656</v>
      </c>
      <c r="AE98" s="117">
        <f t="shared" si="13"/>
        <v>0</v>
      </c>
    </row>
    <row r="99" spans="2:31" ht="15.75" customHeight="1" thickBot="1" x14ac:dyDescent="0.25">
      <c r="B99" s="123">
        <f t="shared" si="16"/>
        <v>13</v>
      </c>
      <c r="C99" s="158"/>
      <c r="D99" s="123">
        <f t="shared" si="17"/>
        <v>34</v>
      </c>
      <c r="E99" s="158"/>
      <c r="F99" s="123">
        <f t="shared" si="17"/>
        <v>55</v>
      </c>
      <c r="G99" s="158"/>
      <c r="H99" s="123">
        <f t="shared" si="17"/>
        <v>76</v>
      </c>
      <c r="I99" s="158"/>
      <c r="J99" s="123">
        <f t="shared" si="17"/>
        <v>97</v>
      </c>
      <c r="K99" s="158"/>
      <c r="L99" s="123">
        <f t="shared" si="17"/>
        <v>118</v>
      </c>
      <c r="M99" s="158"/>
      <c r="N99" s="196"/>
      <c r="P99" s="79">
        <v>10</v>
      </c>
      <c r="Q99" s="79"/>
      <c r="R99" s="79">
        <v>40</v>
      </c>
      <c r="T99" s="113">
        <f t="shared" si="14"/>
        <v>23</v>
      </c>
      <c r="U99" s="113" t="s">
        <v>165</v>
      </c>
      <c r="V99" s="114"/>
      <c r="W99" s="114">
        <f t="shared" si="15"/>
        <v>45614</v>
      </c>
      <c r="X99" s="114"/>
      <c r="Y99" s="115">
        <v>0</v>
      </c>
      <c r="Z99" s="116">
        <v>1</v>
      </c>
      <c r="AA99" s="117">
        <f t="shared" si="10"/>
        <v>0</v>
      </c>
      <c r="AB99" s="118">
        <f t="shared" si="11"/>
        <v>44959</v>
      </c>
      <c r="AC99" s="118">
        <f t="shared" si="9"/>
        <v>45615</v>
      </c>
      <c r="AD99" s="118">
        <f t="shared" si="12"/>
        <v>-656</v>
      </c>
      <c r="AE99" s="117">
        <f t="shared" si="13"/>
        <v>0</v>
      </c>
    </row>
    <row r="100" spans="2:31" ht="15.75" customHeight="1" thickBot="1" x14ac:dyDescent="0.25">
      <c r="B100" s="123">
        <f t="shared" si="16"/>
        <v>14</v>
      </c>
      <c r="C100" s="158"/>
      <c r="D100" s="123">
        <f t="shared" si="17"/>
        <v>35</v>
      </c>
      <c r="E100" s="158"/>
      <c r="F100" s="123">
        <f t="shared" si="17"/>
        <v>56</v>
      </c>
      <c r="G100" s="158"/>
      <c r="H100" s="123">
        <f t="shared" si="17"/>
        <v>77</v>
      </c>
      <c r="I100" s="158"/>
      <c r="J100" s="123">
        <f t="shared" si="17"/>
        <v>98</v>
      </c>
      <c r="K100" s="158"/>
      <c r="L100" s="123">
        <f t="shared" si="17"/>
        <v>119</v>
      </c>
      <c r="M100" s="158"/>
      <c r="N100" s="196"/>
      <c r="T100" s="113">
        <f t="shared" si="14"/>
        <v>24</v>
      </c>
      <c r="U100" s="113" t="s">
        <v>166</v>
      </c>
      <c r="V100" s="114"/>
      <c r="W100" s="114">
        <f t="shared" si="15"/>
        <v>45614</v>
      </c>
      <c r="X100" s="114"/>
      <c r="Y100" s="115">
        <v>0</v>
      </c>
      <c r="Z100" s="116">
        <v>1</v>
      </c>
      <c r="AA100" s="117">
        <f t="shared" si="10"/>
        <v>0</v>
      </c>
      <c r="AB100" s="118">
        <f t="shared" si="11"/>
        <v>44959</v>
      </c>
      <c r="AC100" s="118">
        <f t="shared" si="9"/>
        <v>45615</v>
      </c>
      <c r="AD100" s="118">
        <f t="shared" si="12"/>
        <v>-656</v>
      </c>
      <c r="AE100" s="117">
        <f t="shared" si="13"/>
        <v>0</v>
      </c>
    </row>
    <row r="101" spans="2:31" ht="15.75" customHeight="1" thickBot="1" x14ac:dyDescent="0.25">
      <c r="B101" s="123">
        <f t="shared" si="16"/>
        <v>15</v>
      </c>
      <c r="C101" s="158"/>
      <c r="D101" s="123">
        <f t="shared" si="17"/>
        <v>36</v>
      </c>
      <c r="E101" s="158"/>
      <c r="F101" s="123">
        <f t="shared" si="17"/>
        <v>57</v>
      </c>
      <c r="G101" s="158"/>
      <c r="H101" s="123">
        <f t="shared" si="17"/>
        <v>78</v>
      </c>
      <c r="I101" s="158"/>
      <c r="J101" s="123">
        <f t="shared" si="17"/>
        <v>99</v>
      </c>
      <c r="K101" s="158"/>
      <c r="L101" s="123">
        <f t="shared" si="17"/>
        <v>120</v>
      </c>
      <c r="M101" s="158"/>
      <c r="N101" s="196"/>
      <c r="O101" s="125"/>
      <c r="R101" s="130" t="s">
        <v>213</v>
      </c>
      <c r="T101" s="113">
        <f t="shared" si="14"/>
        <v>25</v>
      </c>
      <c r="U101" s="113" t="s">
        <v>168</v>
      </c>
      <c r="V101" s="114"/>
      <c r="W101" s="114">
        <f t="shared" si="15"/>
        <v>45614</v>
      </c>
      <c r="X101" s="114"/>
      <c r="Y101" s="115">
        <v>0</v>
      </c>
      <c r="Z101" s="116">
        <v>1</v>
      </c>
      <c r="AA101" s="117">
        <f t="shared" si="10"/>
        <v>0</v>
      </c>
      <c r="AB101" s="118">
        <f t="shared" si="11"/>
        <v>44959</v>
      </c>
      <c r="AC101" s="118">
        <f t="shared" si="9"/>
        <v>45615</v>
      </c>
      <c r="AD101" s="118">
        <f t="shared" si="12"/>
        <v>-656</v>
      </c>
      <c r="AE101" s="117">
        <f t="shared" si="13"/>
        <v>0</v>
      </c>
    </row>
    <row r="102" spans="2:31" ht="15.75" customHeight="1" thickBot="1" x14ac:dyDescent="0.25">
      <c r="B102" s="123">
        <f t="shared" si="16"/>
        <v>16</v>
      </c>
      <c r="C102" s="158"/>
      <c r="D102" s="123">
        <f t="shared" si="17"/>
        <v>37</v>
      </c>
      <c r="E102" s="158"/>
      <c r="F102" s="123">
        <f t="shared" si="17"/>
        <v>58</v>
      </c>
      <c r="G102" s="158"/>
      <c r="H102" s="123">
        <f t="shared" si="17"/>
        <v>79</v>
      </c>
      <c r="I102" s="158"/>
      <c r="J102" s="123">
        <f t="shared" si="17"/>
        <v>100</v>
      </c>
      <c r="K102" s="158"/>
      <c r="L102" s="123">
        <f t="shared" si="17"/>
        <v>121</v>
      </c>
      <c r="M102" s="158"/>
      <c r="N102" s="196"/>
      <c r="O102" s="125"/>
      <c r="P102" s="82" t="s">
        <v>201</v>
      </c>
      <c r="R102" s="131">
        <v>17282722097</v>
      </c>
      <c r="T102" s="113">
        <f t="shared" si="14"/>
        <v>26</v>
      </c>
      <c r="U102" s="113" t="s">
        <v>170</v>
      </c>
      <c r="V102" s="114"/>
      <c r="W102" s="114">
        <f t="shared" si="15"/>
        <v>45614</v>
      </c>
      <c r="X102" s="114"/>
      <c r="Y102" s="115">
        <v>0</v>
      </c>
      <c r="Z102" s="116">
        <v>1</v>
      </c>
      <c r="AA102" s="117">
        <f t="shared" si="10"/>
        <v>0</v>
      </c>
      <c r="AB102" s="118">
        <f t="shared" si="11"/>
        <v>44959</v>
      </c>
      <c r="AC102" s="118">
        <f t="shared" si="9"/>
        <v>45615</v>
      </c>
      <c r="AD102" s="118">
        <f t="shared" si="12"/>
        <v>-656</v>
      </c>
      <c r="AE102" s="117">
        <f t="shared" si="13"/>
        <v>0</v>
      </c>
    </row>
    <row r="103" spans="2:31" ht="15.75" customHeight="1" thickBot="1" x14ac:dyDescent="0.25">
      <c r="B103" s="123">
        <f t="shared" si="16"/>
        <v>17</v>
      </c>
      <c r="C103" s="158"/>
      <c r="D103" s="123">
        <f t="shared" si="17"/>
        <v>38</v>
      </c>
      <c r="E103" s="158"/>
      <c r="F103" s="123">
        <f t="shared" si="17"/>
        <v>59</v>
      </c>
      <c r="G103" s="158"/>
      <c r="H103" s="123">
        <f t="shared" si="17"/>
        <v>80</v>
      </c>
      <c r="I103" s="158"/>
      <c r="J103" s="123">
        <f t="shared" si="17"/>
        <v>101</v>
      </c>
      <c r="K103" s="158"/>
      <c r="L103" s="123">
        <f t="shared" si="17"/>
        <v>122</v>
      </c>
      <c r="M103" s="158"/>
      <c r="N103" s="196"/>
      <c r="O103" s="125"/>
      <c r="P103" s="82" t="s">
        <v>214</v>
      </c>
      <c r="R103" s="131">
        <v>14101948434</v>
      </c>
      <c r="T103" s="113">
        <f t="shared" si="14"/>
        <v>27</v>
      </c>
      <c r="U103" s="113" t="s">
        <v>172</v>
      </c>
      <c r="V103" s="114"/>
      <c r="W103" s="114">
        <f t="shared" si="15"/>
        <v>45614</v>
      </c>
      <c r="X103" s="114"/>
      <c r="Y103" s="115">
        <v>0</v>
      </c>
      <c r="Z103" s="116">
        <v>1</v>
      </c>
      <c r="AA103" s="117">
        <f t="shared" si="10"/>
        <v>0</v>
      </c>
      <c r="AB103" s="118">
        <f t="shared" si="11"/>
        <v>44959</v>
      </c>
      <c r="AC103" s="118">
        <f t="shared" si="9"/>
        <v>45615</v>
      </c>
      <c r="AD103" s="118">
        <f t="shared" si="12"/>
        <v>-656</v>
      </c>
      <c r="AE103" s="117">
        <f t="shared" si="13"/>
        <v>0</v>
      </c>
    </row>
    <row r="104" spans="2:31" ht="15.75" customHeight="1" thickBot="1" x14ac:dyDescent="0.25">
      <c r="B104" s="123">
        <f t="shared" si="16"/>
        <v>18</v>
      </c>
      <c r="C104" s="158"/>
      <c r="D104" s="123">
        <f t="shared" si="17"/>
        <v>39</v>
      </c>
      <c r="E104" s="158"/>
      <c r="F104" s="123">
        <f t="shared" si="17"/>
        <v>60</v>
      </c>
      <c r="G104" s="158"/>
      <c r="H104" s="123">
        <f t="shared" si="17"/>
        <v>81</v>
      </c>
      <c r="I104" s="158"/>
      <c r="J104" s="123">
        <f t="shared" si="17"/>
        <v>102</v>
      </c>
      <c r="K104" s="158"/>
      <c r="L104" s="123">
        <f t="shared" si="17"/>
        <v>123</v>
      </c>
      <c r="M104" s="158"/>
      <c r="N104" s="196"/>
      <c r="O104" s="125"/>
      <c r="P104" s="82" t="s">
        <v>202</v>
      </c>
      <c r="R104" s="131">
        <v>8860786921</v>
      </c>
      <c r="T104" s="113">
        <f t="shared" si="14"/>
        <v>28</v>
      </c>
      <c r="U104" s="113" t="s">
        <v>174</v>
      </c>
      <c r="V104" s="114"/>
      <c r="W104" s="114">
        <f t="shared" si="15"/>
        <v>45614</v>
      </c>
      <c r="X104" s="114"/>
      <c r="Y104" s="115">
        <v>0</v>
      </c>
      <c r="Z104" s="116">
        <v>1</v>
      </c>
      <c r="AA104" s="117">
        <f t="shared" si="10"/>
        <v>0</v>
      </c>
      <c r="AB104" s="118">
        <f t="shared" si="11"/>
        <v>44959</v>
      </c>
      <c r="AC104" s="118">
        <f t="shared" si="9"/>
        <v>45615</v>
      </c>
      <c r="AD104" s="118">
        <f t="shared" si="12"/>
        <v>-656</v>
      </c>
      <c r="AE104" s="117">
        <f t="shared" si="13"/>
        <v>0</v>
      </c>
    </row>
    <row r="105" spans="2:31" ht="15.75" customHeight="1" thickBot="1" x14ac:dyDescent="0.25">
      <c r="B105" s="123">
        <f t="shared" si="16"/>
        <v>19</v>
      </c>
      <c r="C105" s="158"/>
      <c r="D105" s="123">
        <f t="shared" si="17"/>
        <v>40</v>
      </c>
      <c r="E105" s="158"/>
      <c r="F105" s="123">
        <f t="shared" si="17"/>
        <v>61</v>
      </c>
      <c r="G105" s="158"/>
      <c r="H105" s="123">
        <f t="shared" si="17"/>
        <v>82</v>
      </c>
      <c r="I105" s="158"/>
      <c r="J105" s="123">
        <f t="shared" si="17"/>
        <v>103</v>
      </c>
      <c r="K105" s="158"/>
      <c r="L105" s="123">
        <f t="shared" si="17"/>
        <v>124</v>
      </c>
      <c r="M105" s="158"/>
      <c r="N105" s="196"/>
      <c r="O105" s="125"/>
      <c r="P105" s="82" t="s">
        <v>203</v>
      </c>
      <c r="R105" s="131">
        <v>19587312969</v>
      </c>
      <c r="T105" s="113">
        <f t="shared" si="14"/>
        <v>29</v>
      </c>
      <c r="U105" s="113" t="s">
        <v>176</v>
      </c>
      <c r="V105" s="114"/>
      <c r="W105" s="114">
        <f t="shared" si="15"/>
        <v>45614</v>
      </c>
      <c r="X105" s="114"/>
      <c r="Y105" s="115">
        <v>0</v>
      </c>
      <c r="Z105" s="116">
        <v>1</v>
      </c>
      <c r="AA105" s="117">
        <f t="shared" si="10"/>
        <v>0</v>
      </c>
      <c r="AB105" s="118">
        <f t="shared" si="11"/>
        <v>44959</v>
      </c>
      <c r="AC105" s="118">
        <f t="shared" si="9"/>
        <v>45615</v>
      </c>
      <c r="AD105" s="118">
        <f t="shared" si="12"/>
        <v>-656</v>
      </c>
      <c r="AE105" s="117">
        <f t="shared" si="13"/>
        <v>0</v>
      </c>
    </row>
    <row r="106" spans="2:31" ht="15.75" customHeight="1" thickBot="1" x14ac:dyDescent="0.25">
      <c r="B106" s="123">
        <f t="shared" si="16"/>
        <v>20</v>
      </c>
      <c r="C106" s="158"/>
      <c r="D106" s="123">
        <f t="shared" si="17"/>
        <v>41</v>
      </c>
      <c r="E106" s="158"/>
      <c r="F106" s="123">
        <f t="shared" si="17"/>
        <v>62</v>
      </c>
      <c r="G106" s="158"/>
      <c r="H106" s="123">
        <f t="shared" si="17"/>
        <v>83</v>
      </c>
      <c r="I106" s="158"/>
      <c r="J106" s="123">
        <f t="shared" si="17"/>
        <v>104</v>
      </c>
      <c r="K106" s="158"/>
      <c r="L106" s="123">
        <f t="shared" si="17"/>
        <v>125</v>
      </c>
      <c r="M106" s="158"/>
      <c r="N106" s="196"/>
      <c r="O106" s="125"/>
      <c r="P106" s="82" t="s">
        <v>204</v>
      </c>
      <c r="R106" s="131">
        <v>10049355290</v>
      </c>
      <c r="T106" s="113">
        <f t="shared" si="14"/>
        <v>30</v>
      </c>
      <c r="U106" s="113" t="s">
        <v>178</v>
      </c>
      <c r="V106" s="114"/>
      <c r="W106" s="114">
        <f t="shared" si="15"/>
        <v>45614</v>
      </c>
      <c r="X106" s="114"/>
      <c r="Y106" s="115">
        <v>0</v>
      </c>
      <c r="Z106" s="116">
        <v>1</v>
      </c>
      <c r="AA106" s="117">
        <f t="shared" si="10"/>
        <v>0</v>
      </c>
      <c r="AB106" s="118">
        <f t="shared" si="11"/>
        <v>44959</v>
      </c>
      <c r="AC106" s="118">
        <f t="shared" si="9"/>
        <v>45615</v>
      </c>
      <c r="AD106" s="118">
        <f t="shared" si="12"/>
        <v>-656</v>
      </c>
      <c r="AE106" s="117">
        <f t="shared" si="13"/>
        <v>0</v>
      </c>
    </row>
    <row r="107" spans="2:31" ht="15.75" customHeight="1" thickBot="1" x14ac:dyDescent="0.25">
      <c r="B107" s="123">
        <f t="shared" si="16"/>
        <v>21</v>
      </c>
      <c r="C107" s="158"/>
      <c r="D107" s="123">
        <f t="shared" si="17"/>
        <v>42</v>
      </c>
      <c r="E107" s="158"/>
      <c r="F107" s="123">
        <f t="shared" si="17"/>
        <v>63</v>
      </c>
      <c r="G107" s="158"/>
      <c r="H107" s="123">
        <f t="shared" si="17"/>
        <v>84</v>
      </c>
      <c r="I107" s="158"/>
      <c r="J107" s="123">
        <f t="shared" si="17"/>
        <v>105</v>
      </c>
      <c r="K107" s="158"/>
      <c r="L107" s="123">
        <f t="shared" si="17"/>
        <v>126</v>
      </c>
      <c r="M107" s="158"/>
      <c r="N107" s="197"/>
      <c r="P107" s="82" t="s">
        <v>205</v>
      </c>
      <c r="R107" s="131">
        <v>16751309190</v>
      </c>
      <c r="T107" s="113">
        <f t="shared" si="14"/>
        <v>31</v>
      </c>
      <c r="U107" s="113" t="s">
        <v>180</v>
      </c>
      <c r="V107" s="114"/>
      <c r="W107" s="114">
        <f t="shared" si="15"/>
        <v>45614</v>
      </c>
      <c r="X107" s="114"/>
      <c r="Y107" s="115">
        <v>0</v>
      </c>
      <c r="Z107" s="116">
        <v>1</v>
      </c>
      <c r="AA107" s="117">
        <f t="shared" si="10"/>
        <v>0</v>
      </c>
      <c r="AB107" s="118">
        <f t="shared" si="11"/>
        <v>44959</v>
      </c>
      <c r="AC107" s="118">
        <f t="shared" si="9"/>
        <v>45615</v>
      </c>
      <c r="AD107" s="118">
        <f t="shared" si="12"/>
        <v>-656</v>
      </c>
      <c r="AE107" s="117">
        <f t="shared" si="13"/>
        <v>0</v>
      </c>
    </row>
    <row r="108" spans="2:31" ht="15.75" customHeight="1" thickBot="1" x14ac:dyDescent="0.25">
      <c r="B108" s="161" t="s">
        <v>167</v>
      </c>
      <c r="C108" s="161"/>
      <c r="D108" s="161"/>
      <c r="E108" s="161"/>
      <c r="F108" s="161"/>
      <c r="G108" s="161"/>
      <c r="H108" s="161"/>
      <c r="I108" s="161"/>
      <c r="J108" s="198">
        <f>SUM(C87:C107,G87:G107,K87:K107,E87:E107,I87:I107,K87:K107,M87:M107)</f>
        <v>0</v>
      </c>
      <c r="K108" s="198"/>
      <c r="L108" s="198"/>
      <c r="M108" s="198"/>
      <c r="N108" s="198"/>
      <c r="P108" s="82" t="s">
        <v>206</v>
      </c>
      <c r="R108" s="131">
        <v>14142724014</v>
      </c>
      <c r="T108" s="113">
        <f t="shared" si="14"/>
        <v>32</v>
      </c>
      <c r="U108" s="113" t="s">
        <v>182</v>
      </c>
      <c r="V108" s="114"/>
      <c r="W108" s="114">
        <f t="shared" si="15"/>
        <v>45614</v>
      </c>
      <c r="X108" s="114"/>
      <c r="Y108" s="115">
        <v>0</v>
      </c>
      <c r="Z108" s="116">
        <v>1</v>
      </c>
      <c r="AA108" s="117">
        <f t="shared" si="10"/>
        <v>0</v>
      </c>
      <c r="AB108" s="118">
        <f t="shared" si="11"/>
        <v>44959</v>
      </c>
      <c r="AC108" s="118">
        <f t="shared" si="9"/>
        <v>45615</v>
      </c>
      <c r="AD108" s="118">
        <f t="shared" si="12"/>
        <v>-656</v>
      </c>
      <c r="AE108" s="117">
        <f t="shared" si="13"/>
        <v>0</v>
      </c>
    </row>
    <row r="109" spans="2:31" ht="15.75" customHeight="1" thickBot="1" x14ac:dyDescent="0.25">
      <c r="B109" s="161" t="s">
        <v>171</v>
      </c>
      <c r="C109" s="161"/>
      <c r="D109" s="161"/>
      <c r="E109" s="161"/>
      <c r="F109" s="161"/>
      <c r="G109" s="161"/>
      <c r="H109" s="161"/>
      <c r="I109" s="161"/>
      <c r="J109" s="212">
        <f>IFERROR(J108/(($B$21)*I75),0)</f>
        <v>0</v>
      </c>
      <c r="K109" s="212"/>
      <c r="L109" s="212"/>
      <c r="M109" s="212"/>
      <c r="N109" s="212"/>
      <c r="T109" s="113">
        <f t="shared" si="14"/>
        <v>33</v>
      </c>
      <c r="U109" s="113" t="s">
        <v>184</v>
      </c>
      <c r="V109" s="114"/>
      <c r="W109" s="114">
        <f t="shared" si="15"/>
        <v>45614</v>
      </c>
      <c r="X109" s="114"/>
      <c r="Y109" s="115">
        <v>0</v>
      </c>
      <c r="Z109" s="116">
        <v>1</v>
      </c>
      <c r="AA109" s="117">
        <f t="shared" si="10"/>
        <v>0</v>
      </c>
      <c r="AB109" s="118">
        <f t="shared" si="11"/>
        <v>44959</v>
      </c>
      <c r="AC109" s="118">
        <f t="shared" si="9"/>
        <v>45615</v>
      </c>
      <c r="AD109" s="118">
        <f t="shared" si="12"/>
        <v>-656</v>
      </c>
      <c r="AE109" s="117">
        <f t="shared" si="13"/>
        <v>0</v>
      </c>
    </row>
    <row r="110" spans="2:31" ht="15.75" customHeight="1" thickBot="1" x14ac:dyDescent="0.25">
      <c r="B110" s="161" t="s">
        <v>173</v>
      </c>
      <c r="C110" s="161"/>
      <c r="D110" s="161"/>
      <c r="E110" s="161"/>
      <c r="F110" s="161"/>
      <c r="G110" s="161"/>
      <c r="H110" s="161"/>
      <c r="I110" s="161"/>
      <c r="J110" s="161"/>
      <c r="K110" s="161"/>
      <c r="L110" s="211">
        <f>IF(J109&gt;P88,R88,IF(J109&gt;P87,R87,IF(J109&gt;P86,R86,R85)))</f>
        <v>60</v>
      </c>
      <c r="M110" s="211"/>
      <c r="N110" s="211"/>
      <c r="O110" s="125"/>
      <c r="R110" s="130" t="s">
        <v>216</v>
      </c>
      <c r="T110" s="113">
        <f t="shared" si="14"/>
        <v>34</v>
      </c>
      <c r="U110" s="113" t="s">
        <v>186</v>
      </c>
      <c r="V110" s="114"/>
      <c r="W110" s="114">
        <f t="shared" si="15"/>
        <v>45614</v>
      </c>
      <c r="X110" s="114"/>
      <c r="Y110" s="115">
        <v>0</v>
      </c>
      <c r="Z110" s="116">
        <v>1</v>
      </c>
      <c r="AA110" s="117">
        <f t="shared" si="10"/>
        <v>0</v>
      </c>
      <c r="AB110" s="118">
        <f t="shared" si="11"/>
        <v>44959</v>
      </c>
      <c r="AC110" s="118">
        <f t="shared" si="9"/>
        <v>45615</v>
      </c>
      <c r="AD110" s="118">
        <f t="shared" si="12"/>
        <v>-656</v>
      </c>
      <c r="AE110" s="117">
        <f t="shared" si="13"/>
        <v>0</v>
      </c>
    </row>
    <row r="111" spans="2:31" ht="15.75" customHeight="1" thickBot="1" x14ac:dyDescent="0.3">
      <c r="B111" s="212" t="s">
        <v>215</v>
      </c>
      <c r="C111" s="212"/>
      <c r="D111" s="212"/>
      <c r="E111" s="212"/>
      <c r="F111" s="212"/>
      <c r="G111" s="212"/>
      <c r="H111" s="212"/>
      <c r="I111" s="212"/>
      <c r="J111" s="212"/>
      <c r="K111" s="212"/>
      <c r="L111" s="212"/>
      <c r="M111" s="212"/>
      <c r="N111" s="212"/>
      <c r="O111" s="125"/>
      <c r="P111" s="82" t="s">
        <v>201</v>
      </c>
      <c r="R111" s="131">
        <v>8053415585</v>
      </c>
      <c r="T111" s="113">
        <f t="shared" si="14"/>
        <v>35</v>
      </c>
      <c r="U111" s="113" t="s">
        <v>187</v>
      </c>
      <c r="V111" s="114"/>
      <c r="W111" s="114">
        <f t="shared" si="15"/>
        <v>45614</v>
      </c>
      <c r="X111" s="114"/>
      <c r="Y111" s="115">
        <v>0</v>
      </c>
      <c r="Z111" s="116">
        <v>1</v>
      </c>
      <c r="AA111" s="117">
        <f t="shared" si="10"/>
        <v>0</v>
      </c>
      <c r="AB111" s="118">
        <f t="shared" si="11"/>
        <v>44959</v>
      </c>
      <c r="AC111" s="118">
        <f t="shared" si="9"/>
        <v>45615</v>
      </c>
      <c r="AD111" s="118">
        <f t="shared" si="12"/>
        <v>-656</v>
      </c>
      <c r="AE111" s="117">
        <f t="shared" si="13"/>
        <v>0</v>
      </c>
    </row>
    <row r="112" spans="2:31" ht="15.75" customHeight="1" thickBot="1" x14ac:dyDescent="0.25">
      <c r="B112" s="186"/>
      <c r="C112" s="187"/>
      <c r="D112" s="187"/>
      <c r="E112" s="187"/>
      <c r="F112" s="187"/>
      <c r="G112" s="188"/>
      <c r="H112" s="223" t="s">
        <v>177</v>
      </c>
      <c r="I112" s="223"/>
      <c r="J112" s="223"/>
      <c r="K112" s="223"/>
      <c r="L112" s="224">
        <f>$I$8</f>
        <v>0</v>
      </c>
      <c r="M112" s="224"/>
      <c r="N112" s="224"/>
      <c r="O112" s="125"/>
      <c r="P112" s="82" t="s">
        <v>214</v>
      </c>
      <c r="R112" s="131">
        <v>6562161350</v>
      </c>
      <c r="T112" s="113">
        <f t="shared" si="14"/>
        <v>36</v>
      </c>
      <c r="U112" s="113" t="s">
        <v>189</v>
      </c>
      <c r="V112" s="114"/>
      <c r="W112" s="114">
        <f t="shared" si="15"/>
        <v>45614</v>
      </c>
      <c r="X112" s="114"/>
      <c r="Y112" s="115">
        <v>0</v>
      </c>
      <c r="Z112" s="116">
        <v>1</v>
      </c>
      <c r="AA112" s="117">
        <f t="shared" si="10"/>
        <v>0</v>
      </c>
      <c r="AB112" s="118">
        <f t="shared" si="11"/>
        <v>44959</v>
      </c>
      <c r="AC112" s="118">
        <f t="shared" si="9"/>
        <v>45615</v>
      </c>
      <c r="AD112" s="118">
        <f t="shared" si="12"/>
        <v>-656</v>
      </c>
      <c r="AE112" s="117">
        <f t="shared" si="13"/>
        <v>0</v>
      </c>
    </row>
    <row r="113" spans="2:31" ht="15.75" customHeight="1" thickBot="1" x14ac:dyDescent="0.25">
      <c r="B113" s="189"/>
      <c r="C113" s="190"/>
      <c r="D113" s="190"/>
      <c r="E113" s="190"/>
      <c r="F113" s="190"/>
      <c r="G113" s="191"/>
      <c r="H113" s="223" t="s">
        <v>179</v>
      </c>
      <c r="I113" s="223"/>
      <c r="J113" s="223"/>
      <c r="K113" s="223"/>
      <c r="L113" s="224">
        <f>$J$8</f>
        <v>0</v>
      </c>
      <c r="M113" s="224"/>
      <c r="N113" s="224"/>
      <c r="O113" s="125"/>
      <c r="P113" s="82" t="s">
        <v>202</v>
      </c>
      <c r="R113" s="131">
        <v>4132783282</v>
      </c>
      <c r="T113" s="113">
        <f>T112+1</f>
        <v>37</v>
      </c>
      <c r="U113" s="113" t="s">
        <v>190</v>
      </c>
      <c r="V113" s="114"/>
      <c r="W113" s="114">
        <f>W112</f>
        <v>45614</v>
      </c>
      <c r="X113" s="114"/>
      <c r="Y113" s="115">
        <v>0</v>
      </c>
      <c r="Z113" s="116">
        <v>1</v>
      </c>
      <c r="AA113" s="117">
        <f t="shared" si="10"/>
        <v>0</v>
      </c>
      <c r="AB113" s="118">
        <f t="shared" si="11"/>
        <v>44959</v>
      </c>
      <c r="AC113" s="118">
        <f t="shared" si="9"/>
        <v>45615</v>
      </c>
      <c r="AD113" s="118">
        <f t="shared" si="12"/>
        <v>-656</v>
      </c>
      <c r="AE113" s="117">
        <f t="shared" si="13"/>
        <v>0</v>
      </c>
    </row>
    <row r="114" spans="2:31" ht="15.75" customHeight="1" thickBot="1" x14ac:dyDescent="0.25">
      <c r="B114" s="192"/>
      <c r="C114" s="193"/>
      <c r="D114" s="193"/>
      <c r="E114" s="193"/>
      <c r="F114" s="193"/>
      <c r="G114" s="194"/>
      <c r="H114" s="161" t="s">
        <v>181</v>
      </c>
      <c r="I114" s="161"/>
      <c r="J114" s="161"/>
      <c r="K114" s="161"/>
      <c r="L114" s="210">
        <f>IFERROR(ROUND(L112/L113,2),0)</f>
        <v>0</v>
      </c>
      <c r="M114" s="210"/>
      <c r="N114" s="210"/>
      <c r="O114" s="125"/>
      <c r="P114" s="82" t="s">
        <v>203</v>
      </c>
      <c r="R114" s="131">
        <v>9125008249</v>
      </c>
      <c r="T114" s="113">
        <f>T113+1</f>
        <v>38</v>
      </c>
      <c r="U114" s="113" t="s">
        <v>191</v>
      </c>
      <c r="V114" s="114"/>
      <c r="W114" s="114">
        <f>W113</f>
        <v>45614</v>
      </c>
      <c r="X114" s="114"/>
      <c r="Y114" s="115">
        <v>0</v>
      </c>
      <c r="Z114" s="116">
        <v>1</v>
      </c>
      <c r="AA114" s="117">
        <f t="shared" si="10"/>
        <v>0</v>
      </c>
      <c r="AB114" s="118">
        <f t="shared" si="11"/>
        <v>44959</v>
      </c>
      <c r="AC114" s="118">
        <f t="shared" si="9"/>
        <v>45615</v>
      </c>
      <c r="AD114" s="118">
        <f t="shared" si="12"/>
        <v>-656</v>
      </c>
      <c r="AE114" s="117">
        <f t="shared" si="13"/>
        <v>0</v>
      </c>
    </row>
    <row r="115" spans="2:31" ht="15.75" customHeight="1" thickBot="1" x14ac:dyDescent="0.25">
      <c r="B115" s="161" t="s">
        <v>183</v>
      </c>
      <c r="C115" s="161"/>
      <c r="D115" s="161"/>
      <c r="E115" s="161"/>
      <c r="F115" s="161"/>
      <c r="G115" s="161"/>
      <c r="H115" s="161"/>
      <c r="I115" s="161"/>
      <c r="J115" s="161"/>
      <c r="K115" s="161"/>
      <c r="L115" s="211">
        <f>IF(L114&gt;P94,R94,IF(L114&gt;P93,R93,IF(L114&gt;P92,R92,IF(L114&gt;P91,R91,R90))))</f>
        <v>20</v>
      </c>
      <c r="M115" s="211"/>
      <c r="N115" s="211"/>
      <c r="O115" s="125"/>
      <c r="P115" s="82" t="s">
        <v>204</v>
      </c>
      <c r="R115" s="131">
        <v>4685421355</v>
      </c>
      <c r="T115" s="113">
        <f t="shared" si="14"/>
        <v>39</v>
      </c>
      <c r="U115" s="113" t="s">
        <v>192</v>
      </c>
      <c r="V115" s="114"/>
      <c r="W115" s="114">
        <f t="shared" si="15"/>
        <v>45614</v>
      </c>
      <c r="X115" s="114"/>
      <c r="Y115" s="115">
        <v>0</v>
      </c>
      <c r="Z115" s="116">
        <v>1</v>
      </c>
      <c r="AA115" s="117">
        <f t="shared" si="10"/>
        <v>0</v>
      </c>
      <c r="AB115" s="118">
        <f t="shared" si="11"/>
        <v>44959</v>
      </c>
      <c r="AC115" s="118">
        <f t="shared" si="9"/>
        <v>45615</v>
      </c>
      <c r="AD115" s="118">
        <f t="shared" si="12"/>
        <v>-656</v>
      </c>
      <c r="AE115" s="117">
        <f t="shared" si="13"/>
        <v>0</v>
      </c>
    </row>
    <row r="116" spans="2:31" ht="15.75" customHeight="1" thickBot="1" x14ac:dyDescent="0.3">
      <c r="B116" s="212" t="s">
        <v>185</v>
      </c>
      <c r="C116" s="212"/>
      <c r="D116" s="212"/>
      <c r="E116" s="212"/>
      <c r="F116" s="212"/>
      <c r="G116" s="212"/>
      <c r="H116" s="212"/>
      <c r="I116" s="212"/>
      <c r="J116" s="212"/>
      <c r="K116" s="212"/>
      <c r="L116" s="212"/>
      <c r="M116" s="212"/>
      <c r="N116" s="212"/>
      <c r="P116" s="82" t="s">
        <v>205</v>
      </c>
      <c r="R116" s="131">
        <v>7832191370</v>
      </c>
      <c r="T116" s="113">
        <f t="shared" si="14"/>
        <v>40</v>
      </c>
      <c r="U116" s="113" t="s">
        <v>193</v>
      </c>
      <c r="V116" s="114"/>
      <c r="W116" s="114">
        <f t="shared" si="15"/>
        <v>45614</v>
      </c>
      <c r="X116" s="114"/>
      <c r="Y116" s="115">
        <v>0</v>
      </c>
      <c r="Z116" s="116">
        <v>1</v>
      </c>
      <c r="AA116" s="117">
        <f t="shared" si="10"/>
        <v>0</v>
      </c>
      <c r="AB116" s="118">
        <f t="shared" si="11"/>
        <v>44959</v>
      </c>
      <c r="AC116" s="118">
        <f t="shared" si="9"/>
        <v>45615</v>
      </c>
      <c r="AD116" s="118">
        <f t="shared" si="12"/>
        <v>-656</v>
      </c>
      <c r="AE116" s="117">
        <f t="shared" si="13"/>
        <v>0</v>
      </c>
    </row>
    <row r="117" spans="2:31" ht="15.75" customHeight="1" thickBot="1" x14ac:dyDescent="0.3">
      <c r="B117" s="220" t="s">
        <v>94</v>
      </c>
      <c r="C117" s="220"/>
      <c r="D117" s="220"/>
      <c r="E117" s="220"/>
      <c r="F117" s="220"/>
      <c r="G117" s="220"/>
      <c r="H117" s="220"/>
      <c r="I117" s="220"/>
      <c r="J117" s="220"/>
      <c r="K117" s="220"/>
      <c r="L117" s="220"/>
      <c r="M117" s="221">
        <f>$K$8</f>
        <v>0</v>
      </c>
      <c r="N117" s="221"/>
      <c r="P117" s="82" t="s">
        <v>206</v>
      </c>
      <c r="R117" s="131">
        <v>6568014622</v>
      </c>
      <c r="T117" s="113">
        <f t="shared" si="14"/>
        <v>41</v>
      </c>
      <c r="U117" s="113" t="s">
        <v>194</v>
      </c>
      <c r="V117" s="114"/>
      <c r="W117" s="114">
        <f t="shared" si="15"/>
        <v>45614</v>
      </c>
      <c r="X117" s="114"/>
      <c r="Y117" s="115">
        <v>0</v>
      </c>
      <c r="Z117" s="116">
        <v>1</v>
      </c>
      <c r="AA117" s="117">
        <f t="shared" si="10"/>
        <v>0</v>
      </c>
      <c r="AB117" s="118">
        <f t="shared" si="11"/>
        <v>44959</v>
      </c>
      <c r="AC117" s="118">
        <f t="shared" si="9"/>
        <v>45615</v>
      </c>
      <c r="AD117" s="118">
        <f t="shared" si="12"/>
        <v>-656</v>
      </c>
      <c r="AE117" s="117">
        <f t="shared" si="13"/>
        <v>0</v>
      </c>
    </row>
    <row r="118" spans="2:31" ht="15.75" customHeight="1" thickBot="1" x14ac:dyDescent="0.25">
      <c r="B118" s="161" t="s">
        <v>188</v>
      </c>
      <c r="C118" s="161"/>
      <c r="D118" s="161"/>
      <c r="E118" s="161"/>
      <c r="F118" s="161"/>
      <c r="G118" s="161"/>
      <c r="H118" s="161"/>
      <c r="I118" s="161"/>
      <c r="J118" s="161"/>
      <c r="K118" s="161"/>
      <c r="L118" s="211">
        <f>IF(M117&gt;P99,R99,IF(M117&gt;P98,R98,IF(M117&gt;P97,R97,R96)))</f>
        <v>0</v>
      </c>
      <c r="M118" s="211"/>
      <c r="N118" s="211"/>
      <c r="T118" s="113">
        <f t="shared" si="14"/>
        <v>42</v>
      </c>
      <c r="U118" s="113" t="s">
        <v>195</v>
      </c>
      <c r="V118" s="114"/>
      <c r="W118" s="114">
        <f t="shared" si="15"/>
        <v>45614</v>
      </c>
      <c r="X118" s="114"/>
      <c r="Y118" s="115">
        <v>0</v>
      </c>
      <c r="Z118" s="116">
        <v>1</v>
      </c>
      <c r="AA118" s="117">
        <f t="shared" si="10"/>
        <v>0</v>
      </c>
      <c r="AB118" s="118">
        <f t="shared" si="11"/>
        <v>44959</v>
      </c>
      <c r="AC118" s="118">
        <f t="shared" si="9"/>
        <v>45615</v>
      </c>
      <c r="AD118" s="118">
        <f t="shared" si="12"/>
        <v>-656</v>
      </c>
      <c r="AE118" s="117">
        <f t="shared" si="13"/>
        <v>0</v>
      </c>
    </row>
    <row r="119" spans="2:31" ht="13.5" thickBot="1" x14ac:dyDescent="0.3">
      <c r="R119" s="130" t="s">
        <v>200</v>
      </c>
      <c r="T119" s="113">
        <f t="shared" si="14"/>
        <v>43</v>
      </c>
      <c r="U119" s="113" t="s">
        <v>198</v>
      </c>
      <c r="V119" s="114"/>
      <c r="W119" s="114">
        <f t="shared" si="15"/>
        <v>45614</v>
      </c>
      <c r="X119" s="114"/>
      <c r="Y119" s="115">
        <v>0</v>
      </c>
      <c r="Z119" s="116">
        <v>1</v>
      </c>
      <c r="AA119" s="117">
        <f t="shared" si="10"/>
        <v>0</v>
      </c>
      <c r="AB119" s="118">
        <f t="shared" si="11"/>
        <v>44959</v>
      </c>
      <c r="AC119" s="118">
        <f t="shared" si="9"/>
        <v>45615</v>
      </c>
      <c r="AD119" s="118">
        <f t="shared" si="12"/>
        <v>-656</v>
      </c>
      <c r="AE119" s="117">
        <f t="shared" si="13"/>
        <v>0</v>
      </c>
    </row>
    <row r="120" spans="2:31" ht="15.75" customHeight="1" thickBot="1" x14ac:dyDescent="0.25">
      <c r="B120" s="161" t="str">
        <f>"CAPACIDAD DE CONTRATACIÓN "&amp;$F$74</f>
        <v xml:space="preserve">CAPACIDAD DE CONTRATACIÓN </v>
      </c>
      <c r="C120" s="161"/>
      <c r="D120" s="161"/>
      <c r="E120" s="161"/>
      <c r="F120" s="161"/>
      <c r="G120" s="161"/>
      <c r="H120" s="161"/>
      <c r="I120" s="161"/>
      <c r="J120" s="161"/>
      <c r="K120" s="161"/>
      <c r="L120" s="167">
        <f>I83*((L110+L115+L118)/100)</f>
        <v>426630400</v>
      </c>
      <c r="M120" s="167"/>
      <c r="N120" s="167"/>
      <c r="P120" s="82" t="s">
        <v>201</v>
      </c>
      <c r="R120" s="83">
        <v>16</v>
      </c>
      <c r="Z120" s="235" t="s">
        <v>199</v>
      </c>
      <c r="AA120" s="235"/>
      <c r="AB120" s="235"/>
      <c r="AC120" s="235"/>
      <c r="AD120" s="235"/>
      <c r="AE120" s="126">
        <f>SUM(AE77:AE119)</f>
        <v>25000000</v>
      </c>
    </row>
    <row r="121" spans="2:31" ht="15.75" customHeight="1" thickBot="1" x14ac:dyDescent="0.25">
      <c r="B121" s="161" t="str">
        <f>"SALDO DE LOS CONTRATOS EN EJECUCIÓN "&amp;$F$74</f>
        <v xml:space="preserve">SALDO DE LOS CONTRATOS EN EJECUCIÓN </v>
      </c>
      <c r="C121" s="161"/>
      <c r="D121" s="161"/>
      <c r="E121" s="161"/>
      <c r="F121" s="161"/>
      <c r="G121" s="161"/>
      <c r="H121" s="161"/>
      <c r="I121" s="161"/>
      <c r="J121" s="161"/>
      <c r="K121" s="161"/>
      <c r="L121" s="167">
        <f>$M$8</f>
        <v>0</v>
      </c>
      <c r="M121" s="167"/>
      <c r="N121" s="167"/>
      <c r="P121" s="82"/>
      <c r="R121" s="83"/>
      <c r="Z121" s="132"/>
      <c r="AA121" s="132"/>
      <c r="AB121" s="132"/>
      <c r="AC121" s="132"/>
      <c r="AD121" s="132"/>
      <c r="AE121" s="133"/>
    </row>
    <row r="122" spans="2:31" ht="15.75" customHeight="1" thickBot="1" x14ac:dyDescent="0.25">
      <c r="B122" s="161" t="str">
        <f>"CAPACIDAD RESIDUAL DE CONTRATACIÓN "&amp;$F$74</f>
        <v xml:space="preserve">CAPACIDAD RESIDUAL DE CONTRATACIÓN </v>
      </c>
      <c r="C122" s="161"/>
      <c r="D122" s="161"/>
      <c r="E122" s="161"/>
      <c r="F122" s="161"/>
      <c r="G122" s="161"/>
      <c r="H122" s="161"/>
      <c r="I122" s="161"/>
      <c r="J122" s="161"/>
      <c r="K122" s="161"/>
      <c r="L122" s="167">
        <f>L120-L121</f>
        <v>426630400</v>
      </c>
      <c r="M122" s="167"/>
      <c r="N122" s="167"/>
      <c r="T122" s="231" t="s">
        <v>108</v>
      </c>
      <c r="U122" s="231"/>
      <c r="V122" s="232" t="str">
        <f>B124</f>
        <v>INTEGRANTE 3: 0</v>
      </c>
      <c r="W122" s="233"/>
      <c r="X122" s="233"/>
      <c r="Y122" s="233"/>
      <c r="Z122" s="233"/>
      <c r="AA122" s="234"/>
    </row>
    <row r="123" spans="2:31" ht="15.75" customHeight="1" thickBot="1" x14ac:dyDescent="0.25">
      <c r="B123" s="127"/>
      <c r="C123" s="127"/>
      <c r="D123" s="127"/>
      <c r="E123" s="127"/>
      <c r="F123" s="127"/>
      <c r="G123" s="127"/>
      <c r="H123" s="127"/>
      <c r="I123" s="127"/>
      <c r="J123" s="127"/>
      <c r="K123" s="127"/>
      <c r="L123" s="128"/>
      <c r="M123" s="128"/>
      <c r="N123" s="128"/>
      <c r="T123" s="104" t="s">
        <v>111</v>
      </c>
      <c r="U123" s="129">
        <f>U72</f>
        <v>0</v>
      </c>
    </row>
    <row r="124" spans="2:31" ht="15.75" customHeight="1" thickBot="1" x14ac:dyDescent="0.3">
      <c r="B124" s="180" t="str">
        <f>"INTEGRANTE 3: "&amp;$C$9</f>
        <v>INTEGRANTE 3: 0</v>
      </c>
      <c r="C124" s="181"/>
      <c r="D124" s="181"/>
      <c r="E124" s="181"/>
      <c r="F124" s="181"/>
      <c r="G124" s="181"/>
      <c r="H124" s="181"/>
      <c r="I124" s="181"/>
      <c r="J124" s="181"/>
      <c r="K124" s="181"/>
      <c r="L124" s="181"/>
      <c r="M124" s="181"/>
      <c r="N124" s="182"/>
      <c r="T124" s="109"/>
      <c r="U124" s="110"/>
    </row>
    <row r="125" spans="2:31" ht="18.75" customHeight="1" x14ac:dyDescent="0.25">
      <c r="B125" s="167" t="s">
        <v>102</v>
      </c>
      <c r="C125" s="167"/>
      <c r="D125" s="167"/>
      <c r="E125" s="167"/>
      <c r="F125" s="167"/>
      <c r="G125" s="167"/>
      <c r="H125" s="167"/>
      <c r="I125" s="228">
        <f>$G$9</f>
        <v>0</v>
      </c>
      <c r="J125" s="228"/>
      <c r="K125" s="228"/>
      <c r="L125" s="228"/>
      <c r="M125" s="228"/>
      <c r="N125" s="228"/>
      <c r="Q125" s="103" t="s">
        <v>210</v>
      </c>
      <c r="T125" s="229" t="s">
        <v>113</v>
      </c>
      <c r="U125" s="225" t="s">
        <v>114</v>
      </c>
      <c r="V125" s="225" t="s">
        <v>115</v>
      </c>
      <c r="W125" s="225" t="s">
        <v>116</v>
      </c>
      <c r="X125" s="225" t="s">
        <v>117</v>
      </c>
      <c r="Y125" s="225" t="s">
        <v>118</v>
      </c>
      <c r="Z125" s="225" t="s">
        <v>119</v>
      </c>
      <c r="AA125" s="225" t="s">
        <v>120</v>
      </c>
      <c r="AB125" s="225" t="s">
        <v>121</v>
      </c>
      <c r="AC125" s="225" t="s">
        <v>122</v>
      </c>
      <c r="AD125" s="225" t="s">
        <v>123</v>
      </c>
      <c r="AE125" s="225" t="s">
        <v>124</v>
      </c>
    </row>
    <row r="126" spans="2:31" ht="15.75" customHeight="1" thickBot="1" x14ac:dyDescent="0.3">
      <c r="B126" s="212" t="s">
        <v>103</v>
      </c>
      <c r="C126" s="212"/>
      <c r="D126" s="212"/>
      <c r="E126" s="212"/>
      <c r="F126" s="212"/>
      <c r="G126" s="212"/>
      <c r="H126" s="212" t="s">
        <v>104</v>
      </c>
      <c r="I126" s="212"/>
      <c r="J126" s="212"/>
      <c r="K126" s="212"/>
      <c r="L126" s="212"/>
      <c r="M126" s="212"/>
      <c r="N126" s="91" t="s">
        <v>105</v>
      </c>
      <c r="Q126" s="108">
        <v>1423500</v>
      </c>
      <c r="T126" s="230"/>
      <c r="U126" s="226"/>
      <c r="V126" s="226"/>
      <c r="W126" s="226"/>
      <c r="X126" s="226"/>
      <c r="Y126" s="226"/>
      <c r="Z126" s="226"/>
      <c r="AA126" s="226"/>
      <c r="AB126" s="226"/>
      <c r="AC126" s="226"/>
      <c r="AD126" s="226"/>
      <c r="AE126" s="226"/>
    </row>
    <row r="127" spans="2:31" ht="15.75" customHeight="1" thickBot="1" x14ac:dyDescent="0.3">
      <c r="B127" s="186"/>
      <c r="C127" s="187"/>
      <c r="D127" s="187"/>
      <c r="E127" s="187"/>
      <c r="F127" s="187"/>
      <c r="G127" s="188"/>
      <c r="H127" s="217" t="s">
        <v>106</v>
      </c>
      <c r="I127" s="217"/>
      <c r="J127" s="217"/>
      <c r="K127" s="217"/>
      <c r="L127" s="217"/>
      <c r="M127" s="217"/>
      <c r="N127" s="79">
        <v>120</v>
      </c>
      <c r="T127" s="113">
        <v>1</v>
      </c>
      <c r="U127" s="113" t="s">
        <v>128</v>
      </c>
      <c r="V127" s="114">
        <v>42095</v>
      </c>
      <c r="W127" s="114">
        <v>42124</v>
      </c>
      <c r="X127" s="114">
        <v>42099</v>
      </c>
      <c r="Y127" s="115">
        <v>30000000</v>
      </c>
      <c r="Z127" s="116">
        <v>1</v>
      </c>
      <c r="AA127" s="117">
        <f>Y127*Z127</f>
        <v>30000000</v>
      </c>
      <c r="AB127" s="118">
        <f>DAYS360(V127,W127)+1</f>
        <v>30</v>
      </c>
      <c r="AC127" s="118">
        <f t="shared" ref="AC127:AC169" si="18">IF(X127&gt;$R$45,(X127-V127)+1,($U$22-V127)+1)</f>
        <v>5</v>
      </c>
      <c r="AD127" s="118">
        <f>IF((AB127-AC127)&gt;$P$28,$P$28,(AB127-AC127))</f>
        <v>25</v>
      </c>
      <c r="AE127" s="117">
        <f>ROUND((AA127/AB127)*AD127,0)</f>
        <v>25000000</v>
      </c>
    </row>
    <row r="128" spans="2:31" ht="15.75" customHeight="1" thickBot="1" x14ac:dyDescent="0.3">
      <c r="B128" s="189"/>
      <c r="C128" s="190"/>
      <c r="D128" s="190"/>
      <c r="E128" s="190"/>
      <c r="F128" s="190"/>
      <c r="G128" s="191"/>
      <c r="H128" s="217" t="s">
        <v>107</v>
      </c>
      <c r="I128" s="217"/>
      <c r="J128" s="217"/>
      <c r="K128" s="217"/>
      <c r="L128" s="217"/>
      <c r="M128" s="217"/>
      <c r="N128" s="79">
        <v>40</v>
      </c>
      <c r="P128" s="99" t="s">
        <v>130</v>
      </c>
      <c r="Q128" s="99" t="s">
        <v>0</v>
      </c>
      <c r="R128" s="99" t="s">
        <v>131</v>
      </c>
      <c r="T128" s="113">
        <f>T127+1</f>
        <v>2</v>
      </c>
      <c r="U128" s="113" t="s">
        <v>132</v>
      </c>
      <c r="V128" s="114"/>
      <c r="W128" s="114">
        <f>U123</f>
        <v>0</v>
      </c>
      <c r="X128" s="114"/>
      <c r="Y128" s="115">
        <v>0</v>
      </c>
      <c r="Z128" s="116">
        <v>1</v>
      </c>
      <c r="AA128" s="117">
        <f t="shared" ref="AA128:AA169" si="19">Y128*Z128</f>
        <v>0</v>
      </c>
      <c r="AB128" s="118">
        <f t="shared" ref="AB128:AB169" si="20">DAYS360(V128,W128)+1</f>
        <v>1</v>
      </c>
      <c r="AC128" s="118">
        <f t="shared" si="18"/>
        <v>45615</v>
      </c>
      <c r="AD128" s="118">
        <f t="shared" ref="AD128:AD169" si="21">IF((AB128-AC128)&gt;$P$28,$P$28,(AB128-AC128))</f>
        <v>-45614</v>
      </c>
      <c r="AE128" s="117">
        <f t="shared" ref="AE128:AE169" si="22">ROUND((AA128/AB128)*AD128,0)</f>
        <v>0</v>
      </c>
    </row>
    <row r="129" spans="2:31" ht="15.75" customHeight="1" thickBot="1" x14ac:dyDescent="0.3">
      <c r="B129" s="189"/>
      <c r="C129" s="190"/>
      <c r="D129" s="190"/>
      <c r="E129" s="190"/>
      <c r="F129" s="190"/>
      <c r="G129" s="191"/>
      <c r="H129" s="217" t="s">
        <v>109</v>
      </c>
      <c r="I129" s="217"/>
      <c r="J129" s="217"/>
      <c r="K129" s="217"/>
      <c r="L129" s="217"/>
      <c r="M129" s="217"/>
      <c r="N129" s="79">
        <v>40</v>
      </c>
      <c r="O129" s="119"/>
      <c r="P129" s="79">
        <v>360</v>
      </c>
      <c r="Q129" s="79" t="s">
        <v>3</v>
      </c>
      <c r="R129" s="79">
        <v>12</v>
      </c>
      <c r="T129" s="113">
        <f t="shared" ref="T129:T169" si="23">T128+1</f>
        <v>3</v>
      </c>
      <c r="U129" s="113" t="s">
        <v>134</v>
      </c>
      <c r="V129" s="114"/>
      <c r="W129" s="114">
        <f t="shared" ref="W129:W169" si="24">W128</f>
        <v>0</v>
      </c>
      <c r="X129" s="114"/>
      <c r="Y129" s="115">
        <v>0</v>
      </c>
      <c r="Z129" s="116">
        <v>1</v>
      </c>
      <c r="AA129" s="117">
        <f t="shared" si="19"/>
        <v>0</v>
      </c>
      <c r="AB129" s="118">
        <f t="shared" si="20"/>
        <v>1</v>
      </c>
      <c r="AC129" s="118">
        <f t="shared" si="18"/>
        <v>45615</v>
      </c>
      <c r="AD129" s="118">
        <f t="shared" si="21"/>
        <v>-45614</v>
      </c>
      <c r="AE129" s="117">
        <f t="shared" si="22"/>
        <v>0</v>
      </c>
    </row>
    <row r="130" spans="2:31" ht="15.75" customHeight="1" thickBot="1" x14ac:dyDescent="0.3">
      <c r="B130" s="192"/>
      <c r="C130" s="193"/>
      <c r="D130" s="193"/>
      <c r="E130" s="193"/>
      <c r="F130" s="193"/>
      <c r="G130" s="194"/>
      <c r="H130" s="212" t="s">
        <v>44</v>
      </c>
      <c r="I130" s="212"/>
      <c r="J130" s="212"/>
      <c r="K130" s="212"/>
      <c r="L130" s="212"/>
      <c r="M130" s="212"/>
      <c r="N130" s="79">
        <f>SUM(N127:N129)</f>
        <v>200</v>
      </c>
      <c r="O130" s="119"/>
      <c r="T130" s="113">
        <f t="shared" si="23"/>
        <v>4</v>
      </c>
      <c r="U130" s="113" t="s">
        <v>138</v>
      </c>
      <c r="V130" s="114"/>
      <c r="W130" s="114">
        <f t="shared" si="24"/>
        <v>0</v>
      </c>
      <c r="X130" s="114"/>
      <c r="Y130" s="115">
        <v>0</v>
      </c>
      <c r="Z130" s="116">
        <v>1</v>
      </c>
      <c r="AA130" s="117">
        <f t="shared" si="19"/>
        <v>0</v>
      </c>
      <c r="AB130" s="118">
        <f t="shared" si="20"/>
        <v>1</v>
      </c>
      <c r="AC130" s="118">
        <f t="shared" si="18"/>
        <v>45615</v>
      </c>
      <c r="AD130" s="118">
        <f t="shared" si="21"/>
        <v>-45614</v>
      </c>
      <c r="AE130" s="117">
        <f t="shared" si="22"/>
        <v>0</v>
      </c>
    </row>
    <row r="131" spans="2:31" ht="15.75" customHeight="1" thickBot="1" x14ac:dyDescent="0.3">
      <c r="B131" s="212" t="s">
        <v>211</v>
      </c>
      <c r="C131" s="212"/>
      <c r="D131" s="212"/>
      <c r="E131" s="212"/>
      <c r="F131" s="212"/>
      <c r="G131" s="212"/>
      <c r="H131" s="212"/>
      <c r="I131" s="212"/>
      <c r="J131" s="212"/>
      <c r="K131" s="212"/>
      <c r="L131" s="212"/>
      <c r="M131" s="212"/>
      <c r="N131" s="212"/>
      <c r="O131" s="119"/>
      <c r="P131" s="99" t="s">
        <v>139</v>
      </c>
      <c r="Q131" s="99" t="s">
        <v>140</v>
      </c>
      <c r="R131" s="99" t="s">
        <v>141</v>
      </c>
      <c r="T131" s="113">
        <f t="shared" si="23"/>
        <v>5</v>
      </c>
      <c r="U131" s="113" t="s">
        <v>142</v>
      </c>
      <c r="V131" s="114"/>
      <c r="W131" s="114">
        <f t="shared" si="24"/>
        <v>0</v>
      </c>
      <c r="X131" s="114"/>
      <c r="Y131" s="115">
        <v>0</v>
      </c>
      <c r="Z131" s="116">
        <v>1</v>
      </c>
      <c r="AA131" s="117">
        <f t="shared" si="19"/>
        <v>0</v>
      </c>
      <c r="AB131" s="118">
        <f t="shared" si="20"/>
        <v>1</v>
      </c>
      <c r="AC131" s="118">
        <f t="shared" si="18"/>
        <v>45615</v>
      </c>
      <c r="AD131" s="118">
        <f t="shared" si="21"/>
        <v>-45614</v>
      </c>
      <c r="AE131" s="117">
        <f t="shared" si="22"/>
        <v>0</v>
      </c>
    </row>
    <row r="132" spans="2:31" ht="15.75" customHeight="1" thickBot="1" x14ac:dyDescent="0.3">
      <c r="B132" s="239" t="s">
        <v>125</v>
      </c>
      <c r="C132" s="240"/>
      <c r="D132" s="240"/>
      <c r="E132" s="240"/>
      <c r="F132" s="240"/>
      <c r="G132" s="240"/>
      <c r="H132" s="241"/>
      <c r="I132" s="183" t="s">
        <v>126</v>
      </c>
      <c r="J132" s="184"/>
      <c r="K132" s="184"/>
      <c r="L132" s="184"/>
      <c r="M132" s="184"/>
      <c r="N132" s="185"/>
      <c r="P132" s="121">
        <v>125000</v>
      </c>
      <c r="Q132" s="108">
        <f>533287768/P132</f>
        <v>4266.3021440000002</v>
      </c>
      <c r="R132" s="108">
        <f>ROUNDUP(P132*Q132,-3)</f>
        <v>533288000</v>
      </c>
      <c r="T132" s="113">
        <f t="shared" si="23"/>
        <v>6</v>
      </c>
      <c r="U132" s="113" t="s">
        <v>143</v>
      </c>
      <c r="V132" s="114"/>
      <c r="W132" s="114">
        <f t="shared" si="24"/>
        <v>0</v>
      </c>
      <c r="X132" s="114"/>
      <c r="Y132" s="115">
        <v>0</v>
      </c>
      <c r="Z132" s="116">
        <v>1</v>
      </c>
      <c r="AA132" s="117">
        <f t="shared" si="19"/>
        <v>0</v>
      </c>
      <c r="AB132" s="118">
        <f t="shared" si="20"/>
        <v>1</v>
      </c>
      <c r="AC132" s="118">
        <f t="shared" si="18"/>
        <v>45615</v>
      </c>
      <c r="AD132" s="118">
        <f t="shared" si="21"/>
        <v>-45614</v>
      </c>
      <c r="AE132" s="117">
        <f t="shared" si="22"/>
        <v>0</v>
      </c>
    </row>
    <row r="133" spans="2:31" ht="15.75" customHeight="1" thickBot="1" x14ac:dyDescent="0.3">
      <c r="B133" s="236" t="s">
        <v>127</v>
      </c>
      <c r="C133" s="237"/>
      <c r="D133" s="237"/>
      <c r="E133" s="237"/>
      <c r="F133" s="237"/>
      <c r="G133" s="237"/>
      <c r="H133" s="238"/>
      <c r="I133" s="168">
        <f>IF($H$9&gt;$R$31,$H$9,$R$31)</f>
        <v>533288000</v>
      </c>
      <c r="J133" s="169"/>
      <c r="K133" s="169"/>
      <c r="L133" s="169"/>
      <c r="M133" s="169"/>
      <c r="N133" s="170"/>
      <c r="Q133" s="81" t="s">
        <v>144</v>
      </c>
      <c r="T133" s="113">
        <f t="shared" si="23"/>
        <v>7</v>
      </c>
      <c r="U133" s="113" t="s">
        <v>145</v>
      </c>
      <c r="V133" s="114"/>
      <c r="W133" s="114">
        <f t="shared" si="24"/>
        <v>0</v>
      </c>
      <c r="X133" s="114"/>
      <c r="Y133" s="115">
        <v>0</v>
      </c>
      <c r="Z133" s="116">
        <v>1</v>
      </c>
      <c r="AA133" s="117">
        <f t="shared" si="19"/>
        <v>0</v>
      </c>
      <c r="AB133" s="118">
        <f t="shared" si="20"/>
        <v>1</v>
      </c>
      <c r="AC133" s="118">
        <f t="shared" si="18"/>
        <v>45615</v>
      </c>
      <c r="AD133" s="118">
        <f t="shared" si="21"/>
        <v>-45614</v>
      </c>
      <c r="AE133" s="117">
        <f t="shared" si="22"/>
        <v>0</v>
      </c>
    </row>
    <row r="134" spans="2:31" ht="15.75" customHeight="1" thickBot="1" x14ac:dyDescent="0.3">
      <c r="B134" s="212" t="s">
        <v>212</v>
      </c>
      <c r="C134" s="212"/>
      <c r="D134" s="212"/>
      <c r="E134" s="212"/>
      <c r="F134" s="212"/>
      <c r="G134" s="212"/>
      <c r="H134" s="212"/>
      <c r="I134" s="212"/>
      <c r="J134" s="212"/>
      <c r="K134" s="212"/>
      <c r="L134" s="212"/>
      <c r="M134" s="212"/>
      <c r="N134" s="212"/>
      <c r="P134" s="212" t="s">
        <v>146</v>
      </c>
      <c r="Q134" s="212"/>
      <c r="R134" s="99" t="s">
        <v>147</v>
      </c>
      <c r="T134" s="113">
        <f t="shared" si="23"/>
        <v>8</v>
      </c>
      <c r="U134" s="113" t="s">
        <v>148</v>
      </c>
      <c r="V134" s="114"/>
      <c r="W134" s="114">
        <f t="shared" si="24"/>
        <v>0</v>
      </c>
      <c r="X134" s="114"/>
      <c r="Y134" s="115">
        <v>0</v>
      </c>
      <c r="Z134" s="116">
        <v>1</v>
      </c>
      <c r="AA134" s="117">
        <f t="shared" si="19"/>
        <v>0</v>
      </c>
      <c r="AB134" s="118">
        <f t="shared" si="20"/>
        <v>1</v>
      </c>
      <c r="AC134" s="118">
        <f t="shared" si="18"/>
        <v>45615</v>
      </c>
      <c r="AD134" s="118">
        <f t="shared" si="21"/>
        <v>-45614</v>
      </c>
      <c r="AE134" s="117">
        <f t="shared" si="22"/>
        <v>0</v>
      </c>
    </row>
    <row r="135" spans="2:31" ht="15.75" customHeight="1" thickBot="1" x14ac:dyDescent="0.3">
      <c r="B135" s="212" t="s">
        <v>133</v>
      </c>
      <c r="C135" s="212"/>
      <c r="D135" s="212"/>
      <c r="E135" s="212"/>
      <c r="F135" s="212"/>
      <c r="G135" s="212"/>
      <c r="H135" s="212"/>
      <c r="I135" s="212"/>
      <c r="J135" s="212"/>
      <c r="K135" s="212"/>
      <c r="L135" s="212"/>
      <c r="M135" s="212"/>
      <c r="N135" s="212"/>
      <c r="P135" s="79">
        <v>0</v>
      </c>
      <c r="Q135" s="79">
        <v>3</v>
      </c>
      <c r="R135" s="79">
        <v>60</v>
      </c>
      <c r="T135" s="113">
        <f t="shared" si="23"/>
        <v>9</v>
      </c>
      <c r="U135" s="113" t="s">
        <v>149</v>
      </c>
      <c r="V135" s="114"/>
      <c r="W135" s="114">
        <f t="shared" si="24"/>
        <v>0</v>
      </c>
      <c r="X135" s="114"/>
      <c r="Y135" s="115">
        <v>0</v>
      </c>
      <c r="Z135" s="116">
        <v>1</v>
      </c>
      <c r="AA135" s="117">
        <f t="shared" si="19"/>
        <v>0</v>
      </c>
      <c r="AB135" s="118">
        <f t="shared" si="20"/>
        <v>1</v>
      </c>
      <c r="AC135" s="118">
        <f t="shared" si="18"/>
        <v>45615</v>
      </c>
      <c r="AD135" s="118">
        <f t="shared" si="21"/>
        <v>-45614</v>
      </c>
      <c r="AE135" s="117">
        <f t="shared" si="22"/>
        <v>0</v>
      </c>
    </row>
    <row r="136" spans="2:31" ht="15.75" customHeight="1" thickBot="1" x14ac:dyDescent="0.25">
      <c r="B136" s="122" t="s">
        <v>135</v>
      </c>
      <c r="C136" s="160" t="s">
        <v>136</v>
      </c>
      <c r="D136" s="122" t="s">
        <v>135</v>
      </c>
      <c r="E136" s="160" t="s">
        <v>136</v>
      </c>
      <c r="F136" s="122" t="s">
        <v>135</v>
      </c>
      <c r="G136" s="160" t="s">
        <v>136</v>
      </c>
      <c r="H136" s="122" t="s">
        <v>135</v>
      </c>
      <c r="I136" s="160" t="s">
        <v>136</v>
      </c>
      <c r="J136" s="122" t="s">
        <v>135</v>
      </c>
      <c r="K136" s="160" t="s">
        <v>136</v>
      </c>
      <c r="L136" s="122" t="s">
        <v>135</v>
      </c>
      <c r="M136" s="160" t="s">
        <v>136</v>
      </c>
      <c r="N136" s="195" t="s">
        <v>137</v>
      </c>
      <c r="P136" s="79">
        <v>3</v>
      </c>
      <c r="Q136" s="79">
        <v>6</v>
      </c>
      <c r="R136" s="79">
        <v>80</v>
      </c>
      <c r="T136" s="113">
        <f t="shared" si="23"/>
        <v>10</v>
      </c>
      <c r="U136" s="113" t="s">
        <v>150</v>
      </c>
      <c r="V136" s="114"/>
      <c r="W136" s="114">
        <f t="shared" si="24"/>
        <v>0</v>
      </c>
      <c r="X136" s="114"/>
      <c r="Y136" s="115">
        <v>0</v>
      </c>
      <c r="Z136" s="116">
        <v>1</v>
      </c>
      <c r="AA136" s="117">
        <f t="shared" si="19"/>
        <v>0</v>
      </c>
      <c r="AB136" s="118">
        <f t="shared" si="20"/>
        <v>1</v>
      </c>
      <c r="AC136" s="118">
        <f t="shared" si="18"/>
        <v>45615</v>
      </c>
      <c r="AD136" s="118">
        <f t="shared" si="21"/>
        <v>-45614</v>
      </c>
      <c r="AE136" s="117">
        <f t="shared" si="22"/>
        <v>0</v>
      </c>
    </row>
    <row r="137" spans="2:31" ht="15.75" customHeight="1" thickBot="1" x14ac:dyDescent="0.25">
      <c r="B137" s="123">
        <v>1</v>
      </c>
      <c r="C137" s="159"/>
      <c r="D137" s="123">
        <v>22</v>
      </c>
      <c r="E137" s="159"/>
      <c r="F137" s="123">
        <v>43</v>
      </c>
      <c r="G137" s="158"/>
      <c r="H137" s="123">
        <v>64</v>
      </c>
      <c r="I137" s="158"/>
      <c r="J137" s="123">
        <v>85</v>
      </c>
      <c r="K137" s="158"/>
      <c r="L137" s="123">
        <v>106</v>
      </c>
      <c r="M137" s="158"/>
      <c r="N137" s="196"/>
      <c r="P137" s="79">
        <v>6</v>
      </c>
      <c r="Q137" s="79">
        <v>10</v>
      </c>
      <c r="R137" s="79">
        <v>100</v>
      </c>
      <c r="T137" s="113">
        <f t="shared" si="23"/>
        <v>11</v>
      </c>
      <c r="U137" s="113" t="s">
        <v>151</v>
      </c>
      <c r="V137" s="114"/>
      <c r="W137" s="114">
        <f t="shared" si="24"/>
        <v>0</v>
      </c>
      <c r="X137" s="114"/>
      <c r="Y137" s="115">
        <v>0</v>
      </c>
      <c r="Z137" s="116">
        <v>1</v>
      </c>
      <c r="AA137" s="117">
        <f t="shared" si="19"/>
        <v>0</v>
      </c>
      <c r="AB137" s="118">
        <f t="shared" si="20"/>
        <v>1</v>
      </c>
      <c r="AC137" s="118">
        <f t="shared" si="18"/>
        <v>45615</v>
      </c>
      <c r="AD137" s="118">
        <f t="shared" si="21"/>
        <v>-45614</v>
      </c>
      <c r="AE137" s="117">
        <f t="shared" si="22"/>
        <v>0</v>
      </c>
    </row>
    <row r="138" spans="2:31" ht="15.75" customHeight="1" thickBot="1" x14ac:dyDescent="0.25">
      <c r="B138" s="123">
        <f>+B137+1</f>
        <v>2</v>
      </c>
      <c r="C138" s="159"/>
      <c r="D138" s="123">
        <f>+D137+1</f>
        <v>23</v>
      </c>
      <c r="E138" s="159"/>
      <c r="F138" s="123">
        <f>+F137+1</f>
        <v>44</v>
      </c>
      <c r="G138" s="158"/>
      <c r="H138" s="123">
        <f>+H137+1</f>
        <v>65</v>
      </c>
      <c r="I138" s="158"/>
      <c r="J138" s="123">
        <f>+J137+1</f>
        <v>86</v>
      </c>
      <c r="K138" s="158"/>
      <c r="L138" s="123">
        <f>+L137+1</f>
        <v>107</v>
      </c>
      <c r="M138" s="158"/>
      <c r="N138" s="196"/>
      <c r="P138" s="79">
        <v>10</v>
      </c>
      <c r="Q138" s="79"/>
      <c r="R138" s="79">
        <v>120</v>
      </c>
      <c r="T138" s="113">
        <f t="shared" si="23"/>
        <v>12</v>
      </c>
      <c r="U138" s="113" t="s">
        <v>152</v>
      </c>
      <c r="V138" s="114"/>
      <c r="W138" s="114">
        <f t="shared" si="24"/>
        <v>0</v>
      </c>
      <c r="X138" s="114"/>
      <c r="Y138" s="115">
        <v>0</v>
      </c>
      <c r="Z138" s="116">
        <v>1</v>
      </c>
      <c r="AA138" s="117">
        <f t="shared" si="19"/>
        <v>0</v>
      </c>
      <c r="AB138" s="118">
        <f t="shared" si="20"/>
        <v>1</v>
      </c>
      <c r="AC138" s="118">
        <f t="shared" si="18"/>
        <v>45615</v>
      </c>
      <c r="AD138" s="118">
        <f t="shared" si="21"/>
        <v>-45614</v>
      </c>
      <c r="AE138" s="117">
        <f t="shared" si="22"/>
        <v>0</v>
      </c>
    </row>
    <row r="139" spans="2:31" ht="15.75" customHeight="1" thickBot="1" x14ac:dyDescent="0.25">
      <c r="B139" s="123">
        <f t="shared" ref="B139:B157" si="25">+B138+1</f>
        <v>3</v>
      </c>
      <c r="C139" s="159"/>
      <c r="D139" s="123">
        <f t="shared" ref="D139:L157" si="26">+D138+1</f>
        <v>24</v>
      </c>
      <c r="E139" s="159"/>
      <c r="F139" s="123">
        <f t="shared" si="26"/>
        <v>45</v>
      </c>
      <c r="G139" s="158"/>
      <c r="H139" s="123">
        <f t="shared" si="26"/>
        <v>66</v>
      </c>
      <c r="I139" s="158"/>
      <c r="J139" s="123">
        <f t="shared" si="26"/>
        <v>87</v>
      </c>
      <c r="K139" s="158"/>
      <c r="L139" s="123">
        <f t="shared" si="26"/>
        <v>108</v>
      </c>
      <c r="M139" s="158"/>
      <c r="N139" s="196"/>
      <c r="P139" s="212" t="s">
        <v>153</v>
      </c>
      <c r="Q139" s="212"/>
      <c r="R139" s="99" t="s">
        <v>147</v>
      </c>
      <c r="T139" s="113">
        <f t="shared" si="23"/>
        <v>13</v>
      </c>
      <c r="U139" s="113" t="s">
        <v>154</v>
      </c>
      <c r="V139" s="114"/>
      <c r="W139" s="114">
        <f t="shared" si="24"/>
        <v>0</v>
      </c>
      <c r="X139" s="114"/>
      <c r="Y139" s="115">
        <v>0</v>
      </c>
      <c r="Z139" s="116">
        <v>1</v>
      </c>
      <c r="AA139" s="117">
        <f t="shared" si="19"/>
        <v>0</v>
      </c>
      <c r="AB139" s="118">
        <f t="shared" si="20"/>
        <v>1</v>
      </c>
      <c r="AC139" s="118">
        <f t="shared" si="18"/>
        <v>45615</v>
      </c>
      <c r="AD139" s="118">
        <f t="shared" si="21"/>
        <v>-45614</v>
      </c>
      <c r="AE139" s="117">
        <f t="shared" si="22"/>
        <v>0</v>
      </c>
    </row>
    <row r="140" spans="2:31" ht="15.75" customHeight="1" thickBot="1" x14ac:dyDescent="0.25">
      <c r="B140" s="123">
        <f t="shared" si="25"/>
        <v>4</v>
      </c>
      <c r="C140" s="159"/>
      <c r="D140" s="123">
        <f t="shared" si="26"/>
        <v>25</v>
      </c>
      <c r="E140" s="159"/>
      <c r="F140" s="123">
        <f t="shared" si="26"/>
        <v>46</v>
      </c>
      <c r="G140" s="158"/>
      <c r="H140" s="123">
        <f t="shared" si="26"/>
        <v>67</v>
      </c>
      <c r="I140" s="158"/>
      <c r="J140" s="123">
        <f t="shared" si="26"/>
        <v>88</v>
      </c>
      <c r="K140" s="158"/>
      <c r="L140" s="123">
        <f t="shared" si="26"/>
        <v>109</v>
      </c>
      <c r="M140" s="158"/>
      <c r="N140" s="196"/>
      <c r="P140" s="124">
        <v>0</v>
      </c>
      <c r="Q140" s="124">
        <v>0.5</v>
      </c>
      <c r="R140" s="79">
        <v>20</v>
      </c>
      <c r="T140" s="113">
        <f t="shared" si="23"/>
        <v>14</v>
      </c>
      <c r="U140" s="113" t="s">
        <v>155</v>
      </c>
      <c r="V140" s="114"/>
      <c r="W140" s="114">
        <f t="shared" si="24"/>
        <v>0</v>
      </c>
      <c r="X140" s="114"/>
      <c r="Y140" s="115">
        <v>0</v>
      </c>
      <c r="Z140" s="116">
        <v>1</v>
      </c>
      <c r="AA140" s="117">
        <f t="shared" si="19"/>
        <v>0</v>
      </c>
      <c r="AB140" s="118">
        <f t="shared" si="20"/>
        <v>1</v>
      </c>
      <c r="AC140" s="118">
        <f t="shared" si="18"/>
        <v>45615</v>
      </c>
      <c r="AD140" s="118">
        <f t="shared" si="21"/>
        <v>-45614</v>
      </c>
      <c r="AE140" s="117">
        <f t="shared" si="22"/>
        <v>0</v>
      </c>
    </row>
    <row r="141" spans="2:31" ht="15.75" customHeight="1" thickBot="1" x14ac:dyDescent="0.25">
      <c r="B141" s="123">
        <f t="shared" si="25"/>
        <v>5</v>
      </c>
      <c r="C141" s="159"/>
      <c r="D141" s="123">
        <f t="shared" si="26"/>
        <v>26</v>
      </c>
      <c r="E141" s="159"/>
      <c r="F141" s="123">
        <f t="shared" si="26"/>
        <v>47</v>
      </c>
      <c r="G141" s="158"/>
      <c r="H141" s="123">
        <f t="shared" si="26"/>
        <v>68</v>
      </c>
      <c r="I141" s="158"/>
      <c r="J141" s="123">
        <f t="shared" si="26"/>
        <v>89</v>
      </c>
      <c r="K141" s="158"/>
      <c r="L141" s="123">
        <f t="shared" si="26"/>
        <v>110</v>
      </c>
      <c r="M141" s="158"/>
      <c r="N141" s="196"/>
      <c r="P141" s="124">
        <v>0.5</v>
      </c>
      <c r="Q141" s="124">
        <v>0.75</v>
      </c>
      <c r="R141" s="79">
        <v>25</v>
      </c>
      <c r="T141" s="113">
        <f t="shared" si="23"/>
        <v>15</v>
      </c>
      <c r="U141" s="113" t="s">
        <v>156</v>
      </c>
      <c r="V141" s="114"/>
      <c r="W141" s="114">
        <f t="shared" si="24"/>
        <v>0</v>
      </c>
      <c r="X141" s="114"/>
      <c r="Y141" s="115">
        <v>0</v>
      </c>
      <c r="Z141" s="116">
        <v>1</v>
      </c>
      <c r="AA141" s="117">
        <f t="shared" si="19"/>
        <v>0</v>
      </c>
      <c r="AB141" s="118">
        <f t="shared" si="20"/>
        <v>1</v>
      </c>
      <c r="AC141" s="118">
        <f t="shared" si="18"/>
        <v>45615</v>
      </c>
      <c r="AD141" s="118">
        <f t="shared" si="21"/>
        <v>-45614</v>
      </c>
      <c r="AE141" s="117">
        <f t="shared" si="22"/>
        <v>0</v>
      </c>
    </row>
    <row r="142" spans="2:31" ht="15.75" customHeight="1" thickBot="1" x14ac:dyDescent="0.25">
      <c r="B142" s="123">
        <f t="shared" si="25"/>
        <v>6</v>
      </c>
      <c r="C142" s="159"/>
      <c r="D142" s="123">
        <f t="shared" si="26"/>
        <v>27</v>
      </c>
      <c r="E142" s="159"/>
      <c r="F142" s="123">
        <f t="shared" si="26"/>
        <v>48</v>
      </c>
      <c r="G142" s="158"/>
      <c r="H142" s="123">
        <f t="shared" si="26"/>
        <v>69</v>
      </c>
      <c r="I142" s="158"/>
      <c r="J142" s="123">
        <f t="shared" si="26"/>
        <v>90</v>
      </c>
      <c r="K142" s="158"/>
      <c r="L142" s="123">
        <f t="shared" si="26"/>
        <v>111</v>
      </c>
      <c r="M142" s="158"/>
      <c r="N142" s="196"/>
      <c r="P142" s="124">
        <v>0.75</v>
      </c>
      <c r="Q142" s="124">
        <v>1</v>
      </c>
      <c r="R142" s="79">
        <v>30</v>
      </c>
      <c r="T142" s="113">
        <f t="shared" si="23"/>
        <v>16</v>
      </c>
      <c r="U142" s="113" t="s">
        <v>157</v>
      </c>
      <c r="V142" s="114"/>
      <c r="W142" s="114">
        <f t="shared" si="24"/>
        <v>0</v>
      </c>
      <c r="X142" s="114"/>
      <c r="Y142" s="115">
        <v>0</v>
      </c>
      <c r="Z142" s="116">
        <v>1</v>
      </c>
      <c r="AA142" s="117">
        <f t="shared" si="19"/>
        <v>0</v>
      </c>
      <c r="AB142" s="118">
        <f t="shared" si="20"/>
        <v>1</v>
      </c>
      <c r="AC142" s="118">
        <f t="shared" si="18"/>
        <v>45615</v>
      </c>
      <c r="AD142" s="118">
        <f t="shared" si="21"/>
        <v>-45614</v>
      </c>
      <c r="AE142" s="117">
        <f t="shared" si="22"/>
        <v>0</v>
      </c>
    </row>
    <row r="143" spans="2:31" ht="15.75" customHeight="1" thickBot="1" x14ac:dyDescent="0.25">
      <c r="B143" s="123">
        <f t="shared" si="25"/>
        <v>7</v>
      </c>
      <c r="C143" s="159"/>
      <c r="D143" s="123">
        <f t="shared" si="26"/>
        <v>28</v>
      </c>
      <c r="E143" s="159"/>
      <c r="F143" s="123">
        <f t="shared" si="26"/>
        <v>49</v>
      </c>
      <c r="G143" s="158"/>
      <c r="H143" s="123">
        <f t="shared" si="26"/>
        <v>70</v>
      </c>
      <c r="I143" s="158"/>
      <c r="J143" s="123">
        <f t="shared" si="26"/>
        <v>91</v>
      </c>
      <c r="K143" s="158"/>
      <c r="L143" s="123">
        <f t="shared" si="26"/>
        <v>112</v>
      </c>
      <c r="M143" s="158"/>
      <c r="N143" s="196"/>
      <c r="P143" s="124">
        <v>1</v>
      </c>
      <c r="Q143" s="124">
        <v>1.5</v>
      </c>
      <c r="R143" s="79">
        <v>35</v>
      </c>
      <c r="T143" s="113">
        <f t="shared" si="23"/>
        <v>17</v>
      </c>
      <c r="U143" s="113" t="s">
        <v>158</v>
      </c>
      <c r="V143" s="114"/>
      <c r="W143" s="114">
        <f t="shared" si="24"/>
        <v>0</v>
      </c>
      <c r="X143" s="114"/>
      <c r="Y143" s="115">
        <v>0</v>
      </c>
      <c r="Z143" s="116">
        <v>1</v>
      </c>
      <c r="AA143" s="117">
        <f t="shared" si="19"/>
        <v>0</v>
      </c>
      <c r="AB143" s="118">
        <f t="shared" si="20"/>
        <v>1</v>
      </c>
      <c r="AC143" s="118">
        <f t="shared" si="18"/>
        <v>45615</v>
      </c>
      <c r="AD143" s="118">
        <f t="shared" si="21"/>
        <v>-45614</v>
      </c>
      <c r="AE143" s="117">
        <f t="shared" si="22"/>
        <v>0</v>
      </c>
    </row>
    <row r="144" spans="2:31" ht="15.75" customHeight="1" thickBot="1" x14ac:dyDescent="0.25">
      <c r="B144" s="123">
        <f t="shared" si="25"/>
        <v>8</v>
      </c>
      <c r="C144" s="159"/>
      <c r="D144" s="123">
        <f t="shared" si="26"/>
        <v>29</v>
      </c>
      <c r="E144" s="159"/>
      <c r="F144" s="123">
        <f t="shared" si="26"/>
        <v>50</v>
      </c>
      <c r="G144" s="158"/>
      <c r="H144" s="123">
        <f t="shared" si="26"/>
        <v>71</v>
      </c>
      <c r="I144" s="158"/>
      <c r="J144" s="123">
        <f t="shared" si="26"/>
        <v>92</v>
      </c>
      <c r="K144" s="158"/>
      <c r="L144" s="123">
        <f t="shared" si="26"/>
        <v>113</v>
      </c>
      <c r="M144" s="158"/>
      <c r="N144" s="196"/>
      <c r="P144" s="124">
        <v>1.5</v>
      </c>
      <c r="Q144" s="124"/>
      <c r="R144" s="79">
        <v>40</v>
      </c>
      <c r="T144" s="113">
        <f t="shared" si="23"/>
        <v>18</v>
      </c>
      <c r="U144" s="113" t="s">
        <v>159</v>
      </c>
      <c r="V144" s="114"/>
      <c r="W144" s="114">
        <f t="shared" si="24"/>
        <v>0</v>
      </c>
      <c r="X144" s="114"/>
      <c r="Y144" s="115">
        <v>0</v>
      </c>
      <c r="Z144" s="116">
        <v>1</v>
      </c>
      <c r="AA144" s="117">
        <f t="shared" si="19"/>
        <v>0</v>
      </c>
      <c r="AB144" s="118">
        <f t="shared" si="20"/>
        <v>1</v>
      </c>
      <c r="AC144" s="118">
        <f t="shared" si="18"/>
        <v>45615</v>
      </c>
      <c r="AD144" s="118">
        <f t="shared" si="21"/>
        <v>-45614</v>
      </c>
      <c r="AE144" s="117">
        <f t="shared" si="22"/>
        <v>0</v>
      </c>
    </row>
    <row r="145" spans="2:31" ht="15.75" customHeight="1" thickBot="1" x14ac:dyDescent="0.25">
      <c r="B145" s="123">
        <f t="shared" si="25"/>
        <v>9</v>
      </c>
      <c r="C145" s="159"/>
      <c r="D145" s="123">
        <f t="shared" si="26"/>
        <v>30</v>
      </c>
      <c r="E145" s="159"/>
      <c r="F145" s="123">
        <f t="shared" si="26"/>
        <v>51</v>
      </c>
      <c r="G145" s="158"/>
      <c r="H145" s="123">
        <f t="shared" si="26"/>
        <v>72</v>
      </c>
      <c r="I145" s="158"/>
      <c r="J145" s="123">
        <f t="shared" si="26"/>
        <v>93</v>
      </c>
      <c r="K145" s="158"/>
      <c r="L145" s="123">
        <f t="shared" si="26"/>
        <v>114</v>
      </c>
      <c r="M145" s="158"/>
      <c r="N145" s="196"/>
      <c r="P145" s="212" t="s">
        <v>160</v>
      </c>
      <c r="Q145" s="212"/>
      <c r="R145" s="99" t="s">
        <v>147</v>
      </c>
      <c r="T145" s="113">
        <f t="shared" si="23"/>
        <v>19</v>
      </c>
      <c r="U145" s="113" t="s">
        <v>161</v>
      </c>
      <c r="V145" s="114"/>
      <c r="W145" s="114">
        <f t="shared" si="24"/>
        <v>0</v>
      </c>
      <c r="X145" s="114"/>
      <c r="Y145" s="115">
        <v>0</v>
      </c>
      <c r="Z145" s="116">
        <v>1</v>
      </c>
      <c r="AA145" s="117">
        <f t="shared" si="19"/>
        <v>0</v>
      </c>
      <c r="AB145" s="118">
        <f t="shared" si="20"/>
        <v>1</v>
      </c>
      <c r="AC145" s="118">
        <f t="shared" si="18"/>
        <v>45615</v>
      </c>
      <c r="AD145" s="118">
        <f t="shared" si="21"/>
        <v>-45614</v>
      </c>
      <c r="AE145" s="117">
        <f t="shared" si="22"/>
        <v>0</v>
      </c>
    </row>
    <row r="146" spans="2:31" ht="15.75" customHeight="1" thickBot="1" x14ac:dyDescent="0.25">
      <c r="B146" s="123">
        <f t="shared" si="25"/>
        <v>10</v>
      </c>
      <c r="C146" s="159"/>
      <c r="D146" s="123">
        <f t="shared" si="26"/>
        <v>31</v>
      </c>
      <c r="E146" s="159"/>
      <c r="F146" s="123">
        <f t="shared" si="26"/>
        <v>52</v>
      </c>
      <c r="G146" s="158"/>
      <c r="H146" s="123">
        <f t="shared" si="26"/>
        <v>73</v>
      </c>
      <c r="I146" s="158"/>
      <c r="J146" s="123">
        <f t="shared" si="26"/>
        <v>94</v>
      </c>
      <c r="K146" s="158"/>
      <c r="L146" s="123">
        <f t="shared" si="26"/>
        <v>115</v>
      </c>
      <c r="M146" s="158"/>
      <c r="N146" s="196"/>
      <c r="P146" s="79"/>
      <c r="Q146" s="79"/>
      <c r="R146" s="79">
        <v>0</v>
      </c>
      <c r="T146" s="113">
        <f t="shared" si="23"/>
        <v>20</v>
      </c>
      <c r="U146" s="113" t="s">
        <v>162</v>
      </c>
      <c r="V146" s="114"/>
      <c r="W146" s="114">
        <f t="shared" si="24"/>
        <v>0</v>
      </c>
      <c r="X146" s="114"/>
      <c r="Y146" s="115">
        <v>0</v>
      </c>
      <c r="Z146" s="116">
        <v>1</v>
      </c>
      <c r="AA146" s="117">
        <f t="shared" si="19"/>
        <v>0</v>
      </c>
      <c r="AB146" s="118">
        <f t="shared" si="20"/>
        <v>1</v>
      </c>
      <c r="AC146" s="118">
        <f t="shared" si="18"/>
        <v>45615</v>
      </c>
      <c r="AD146" s="118">
        <f t="shared" si="21"/>
        <v>-45614</v>
      </c>
      <c r="AE146" s="117">
        <f t="shared" si="22"/>
        <v>0</v>
      </c>
    </row>
    <row r="147" spans="2:31" ht="15.75" customHeight="1" thickBot="1" x14ac:dyDescent="0.25">
      <c r="B147" s="123">
        <f t="shared" si="25"/>
        <v>11</v>
      </c>
      <c r="C147" s="158"/>
      <c r="D147" s="123">
        <f t="shared" si="26"/>
        <v>32</v>
      </c>
      <c r="E147" s="158"/>
      <c r="F147" s="123">
        <f t="shared" si="26"/>
        <v>53</v>
      </c>
      <c r="G147" s="158"/>
      <c r="H147" s="123">
        <f t="shared" si="26"/>
        <v>74</v>
      </c>
      <c r="I147" s="158"/>
      <c r="J147" s="123">
        <f t="shared" si="26"/>
        <v>95</v>
      </c>
      <c r="K147" s="158"/>
      <c r="L147" s="123">
        <f t="shared" si="26"/>
        <v>116</v>
      </c>
      <c r="M147" s="158"/>
      <c r="N147" s="196"/>
      <c r="P147" s="79">
        <v>0</v>
      </c>
      <c r="Q147" s="79">
        <v>5</v>
      </c>
      <c r="R147" s="79">
        <v>20</v>
      </c>
      <c r="T147" s="113">
        <f t="shared" si="23"/>
        <v>21</v>
      </c>
      <c r="U147" s="113" t="s">
        <v>163</v>
      </c>
      <c r="V147" s="114"/>
      <c r="W147" s="114">
        <f t="shared" si="24"/>
        <v>0</v>
      </c>
      <c r="X147" s="114"/>
      <c r="Y147" s="115">
        <v>0</v>
      </c>
      <c r="Z147" s="116">
        <v>1</v>
      </c>
      <c r="AA147" s="117">
        <f t="shared" si="19"/>
        <v>0</v>
      </c>
      <c r="AB147" s="118">
        <f t="shared" si="20"/>
        <v>1</v>
      </c>
      <c r="AC147" s="118">
        <f t="shared" si="18"/>
        <v>45615</v>
      </c>
      <c r="AD147" s="118">
        <f t="shared" si="21"/>
        <v>-45614</v>
      </c>
      <c r="AE147" s="117">
        <f t="shared" si="22"/>
        <v>0</v>
      </c>
    </row>
    <row r="148" spans="2:31" ht="15.75" customHeight="1" thickBot="1" x14ac:dyDescent="0.25">
      <c r="B148" s="123">
        <f t="shared" si="25"/>
        <v>12</v>
      </c>
      <c r="C148" s="158"/>
      <c r="D148" s="123">
        <f t="shared" si="26"/>
        <v>33</v>
      </c>
      <c r="E148" s="158"/>
      <c r="F148" s="123">
        <f t="shared" si="26"/>
        <v>54</v>
      </c>
      <c r="G148" s="158"/>
      <c r="H148" s="123">
        <f t="shared" si="26"/>
        <v>75</v>
      </c>
      <c r="I148" s="158"/>
      <c r="J148" s="123">
        <f t="shared" si="26"/>
        <v>96</v>
      </c>
      <c r="K148" s="158"/>
      <c r="L148" s="123">
        <f t="shared" si="26"/>
        <v>117</v>
      </c>
      <c r="M148" s="158"/>
      <c r="N148" s="196"/>
      <c r="P148" s="79">
        <v>5</v>
      </c>
      <c r="Q148" s="79">
        <v>10</v>
      </c>
      <c r="R148" s="79">
        <v>30</v>
      </c>
      <c r="T148" s="113">
        <f t="shared" si="23"/>
        <v>22</v>
      </c>
      <c r="U148" s="113" t="s">
        <v>164</v>
      </c>
      <c r="V148" s="114"/>
      <c r="W148" s="114">
        <f t="shared" si="24"/>
        <v>0</v>
      </c>
      <c r="X148" s="114"/>
      <c r="Y148" s="115">
        <v>0</v>
      </c>
      <c r="Z148" s="116">
        <v>1</v>
      </c>
      <c r="AA148" s="117">
        <f t="shared" si="19"/>
        <v>0</v>
      </c>
      <c r="AB148" s="118">
        <f t="shared" si="20"/>
        <v>1</v>
      </c>
      <c r="AC148" s="118">
        <f t="shared" si="18"/>
        <v>45615</v>
      </c>
      <c r="AD148" s="118">
        <f t="shared" si="21"/>
        <v>-45614</v>
      </c>
      <c r="AE148" s="117">
        <f t="shared" si="22"/>
        <v>0</v>
      </c>
    </row>
    <row r="149" spans="2:31" ht="15.75" customHeight="1" thickBot="1" x14ac:dyDescent="0.25">
      <c r="B149" s="123">
        <f t="shared" si="25"/>
        <v>13</v>
      </c>
      <c r="C149" s="158"/>
      <c r="D149" s="123">
        <f t="shared" si="26"/>
        <v>34</v>
      </c>
      <c r="E149" s="158"/>
      <c r="F149" s="123">
        <f t="shared" si="26"/>
        <v>55</v>
      </c>
      <c r="G149" s="158"/>
      <c r="H149" s="123">
        <f t="shared" si="26"/>
        <v>76</v>
      </c>
      <c r="I149" s="158"/>
      <c r="J149" s="123">
        <f t="shared" si="26"/>
        <v>97</v>
      </c>
      <c r="K149" s="158"/>
      <c r="L149" s="123">
        <f t="shared" si="26"/>
        <v>118</v>
      </c>
      <c r="M149" s="158"/>
      <c r="N149" s="196"/>
      <c r="P149" s="79">
        <v>10</v>
      </c>
      <c r="Q149" s="79"/>
      <c r="R149" s="79">
        <v>40</v>
      </c>
      <c r="T149" s="113">
        <f t="shared" si="23"/>
        <v>23</v>
      </c>
      <c r="U149" s="113" t="s">
        <v>165</v>
      </c>
      <c r="V149" s="114"/>
      <c r="W149" s="114">
        <f t="shared" si="24"/>
        <v>0</v>
      </c>
      <c r="X149" s="114"/>
      <c r="Y149" s="115">
        <v>0</v>
      </c>
      <c r="Z149" s="116">
        <v>1</v>
      </c>
      <c r="AA149" s="117">
        <f t="shared" si="19"/>
        <v>0</v>
      </c>
      <c r="AB149" s="118">
        <f t="shared" si="20"/>
        <v>1</v>
      </c>
      <c r="AC149" s="118">
        <f t="shared" si="18"/>
        <v>45615</v>
      </c>
      <c r="AD149" s="118">
        <f t="shared" si="21"/>
        <v>-45614</v>
      </c>
      <c r="AE149" s="117">
        <f t="shared" si="22"/>
        <v>0</v>
      </c>
    </row>
    <row r="150" spans="2:31" ht="15.75" customHeight="1" thickBot="1" x14ac:dyDescent="0.25">
      <c r="B150" s="123">
        <f t="shared" si="25"/>
        <v>14</v>
      </c>
      <c r="C150" s="158"/>
      <c r="D150" s="123">
        <f t="shared" si="26"/>
        <v>35</v>
      </c>
      <c r="E150" s="158"/>
      <c r="F150" s="123">
        <f t="shared" si="26"/>
        <v>56</v>
      </c>
      <c r="G150" s="158"/>
      <c r="H150" s="123">
        <f t="shared" si="26"/>
        <v>77</v>
      </c>
      <c r="I150" s="158"/>
      <c r="J150" s="123">
        <f t="shared" si="26"/>
        <v>98</v>
      </c>
      <c r="K150" s="158"/>
      <c r="L150" s="123">
        <f t="shared" si="26"/>
        <v>119</v>
      </c>
      <c r="M150" s="158"/>
      <c r="N150" s="196"/>
      <c r="T150" s="113">
        <f t="shared" si="23"/>
        <v>24</v>
      </c>
      <c r="U150" s="113" t="s">
        <v>166</v>
      </c>
      <c r="V150" s="114"/>
      <c r="W150" s="114">
        <f t="shared" si="24"/>
        <v>0</v>
      </c>
      <c r="X150" s="114"/>
      <c r="Y150" s="115">
        <v>0</v>
      </c>
      <c r="Z150" s="116">
        <v>1</v>
      </c>
      <c r="AA150" s="117">
        <f t="shared" si="19"/>
        <v>0</v>
      </c>
      <c r="AB150" s="118">
        <f t="shared" si="20"/>
        <v>1</v>
      </c>
      <c r="AC150" s="118">
        <f t="shared" si="18"/>
        <v>45615</v>
      </c>
      <c r="AD150" s="118">
        <f t="shared" si="21"/>
        <v>-45614</v>
      </c>
      <c r="AE150" s="117">
        <f t="shared" si="22"/>
        <v>0</v>
      </c>
    </row>
    <row r="151" spans="2:31" ht="15.75" customHeight="1" thickBot="1" x14ac:dyDescent="0.25">
      <c r="B151" s="123">
        <f t="shared" si="25"/>
        <v>15</v>
      </c>
      <c r="C151" s="158"/>
      <c r="D151" s="123">
        <f t="shared" si="26"/>
        <v>36</v>
      </c>
      <c r="E151" s="158"/>
      <c r="F151" s="123">
        <f t="shared" si="26"/>
        <v>57</v>
      </c>
      <c r="G151" s="158"/>
      <c r="H151" s="123">
        <f t="shared" si="26"/>
        <v>78</v>
      </c>
      <c r="I151" s="158"/>
      <c r="J151" s="123">
        <f t="shared" si="26"/>
        <v>99</v>
      </c>
      <c r="K151" s="158"/>
      <c r="L151" s="123">
        <f t="shared" si="26"/>
        <v>120</v>
      </c>
      <c r="M151" s="158"/>
      <c r="N151" s="196"/>
      <c r="O151" s="125"/>
      <c r="R151" s="130" t="s">
        <v>213</v>
      </c>
      <c r="T151" s="113">
        <f t="shared" si="23"/>
        <v>25</v>
      </c>
      <c r="U151" s="113" t="s">
        <v>168</v>
      </c>
      <c r="V151" s="114"/>
      <c r="W151" s="114">
        <f t="shared" si="24"/>
        <v>0</v>
      </c>
      <c r="X151" s="114"/>
      <c r="Y151" s="115">
        <v>0</v>
      </c>
      <c r="Z151" s="116">
        <v>1</v>
      </c>
      <c r="AA151" s="117">
        <f t="shared" si="19"/>
        <v>0</v>
      </c>
      <c r="AB151" s="118">
        <f t="shared" si="20"/>
        <v>1</v>
      </c>
      <c r="AC151" s="118">
        <f t="shared" si="18"/>
        <v>45615</v>
      </c>
      <c r="AD151" s="118">
        <f t="shared" si="21"/>
        <v>-45614</v>
      </c>
      <c r="AE151" s="117">
        <f t="shared" si="22"/>
        <v>0</v>
      </c>
    </row>
    <row r="152" spans="2:31" ht="15.75" customHeight="1" thickBot="1" x14ac:dyDescent="0.25">
      <c r="B152" s="123">
        <f t="shared" si="25"/>
        <v>16</v>
      </c>
      <c r="C152" s="158"/>
      <c r="D152" s="123">
        <f t="shared" si="26"/>
        <v>37</v>
      </c>
      <c r="E152" s="158"/>
      <c r="F152" s="123">
        <f t="shared" si="26"/>
        <v>58</v>
      </c>
      <c r="G152" s="158"/>
      <c r="H152" s="123">
        <f t="shared" si="26"/>
        <v>79</v>
      </c>
      <c r="I152" s="158"/>
      <c r="J152" s="123">
        <f t="shared" si="26"/>
        <v>100</v>
      </c>
      <c r="K152" s="158"/>
      <c r="L152" s="123">
        <f t="shared" si="26"/>
        <v>121</v>
      </c>
      <c r="M152" s="158"/>
      <c r="N152" s="196"/>
      <c r="O152" s="125"/>
      <c r="P152" s="82" t="s">
        <v>201</v>
      </c>
      <c r="R152" s="131">
        <v>17282722097</v>
      </c>
      <c r="T152" s="113">
        <f t="shared" si="23"/>
        <v>26</v>
      </c>
      <c r="U152" s="113" t="s">
        <v>170</v>
      </c>
      <c r="V152" s="114"/>
      <c r="W152" s="114">
        <f t="shared" si="24"/>
        <v>0</v>
      </c>
      <c r="X152" s="114"/>
      <c r="Y152" s="115">
        <v>0</v>
      </c>
      <c r="Z152" s="116">
        <v>1</v>
      </c>
      <c r="AA152" s="117">
        <f t="shared" si="19"/>
        <v>0</v>
      </c>
      <c r="AB152" s="118">
        <f t="shared" si="20"/>
        <v>1</v>
      </c>
      <c r="AC152" s="118">
        <f t="shared" si="18"/>
        <v>45615</v>
      </c>
      <c r="AD152" s="118">
        <f t="shared" si="21"/>
        <v>-45614</v>
      </c>
      <c r="AE152" s="117">
        <f t="shared" si="22"/>
        <v>0</v>
      </c>
    </row>
    <row r="153" spans="2:31" ht="15.75" customHeight="1" thickBot="1" x14ac:dyDescent="0.25">
      <c r="B153" s="123">
        <f t="shared" si="25"/>
        <v>17</v>
      </c>
      <c r="C153" s="158"/>
      <c r="D153" s="123">
        <f t="shared" si="26"/>
        <v>38</v>
      </c>
      <c r="E153" s="158"/>
      <c r="F153" s="123">
        <f t="shared" si="26"/>
        <v>59</v>
      </c>
      <c r="G153" s="158"/>
      <c r="H153" s="123">
        <f t="shared" si="26"/>
        <v>80</v>
      </c>
      <c r="I153" s="158"/>
      <c r="J153" s="123">
        <f t="shared" si="26"/>
        <v>101</v>
      </c>
      <c r="K153" s="158"/>
      <c r="L153" s="123">
        <f t="shared" si="26"/>
        <v>122</v>
      </c>
      <c r="M153" s="158"/>
      <c r="N153" s="196"/>
      <c r="O153" s="125"/>
      <c r="P153" s="82" t="s">
        <v>214</v>
      </c>
      <c r="R153" s="131">
        <v>14101948434</v>
      </c>
      <c r="T153" s="113">
        <f t="shared" si="23"/>
        <v>27</v>
      </c>
      <c r="U153" s="113" t="s">
        <v>172</v>
      </c>
      <c r="V153" s="114"/>
      <c r="W153" s="114">
        <f t="shared" si="24"/>
        <v>0</v>
      </c>
      <c r="X153" s="114"/>
      <c r="Y153" s="115">
        <v>0</v>
      </c>
      <c r="Z153" s="116">
        <v>1</v>
      </c>
      <c r="AA153" s="117">
        <f t="shared" si="19"/>
        <v>0</v>
      </c>
      <c r="AB153" s="118">
        <f t="shared" si="20"/>
        <v>1</v>
      </c>
      <c r="AC153" s="118">
        <f t="shared" si="18"/>
        <v>45615</v>
      </c>
      <c r="AD153" s="118">
        <f t="shared" si="21"/>
        <v>-45614</v>
      </c>
      <c r="AE153" s="117">
        <f t="shared" si="22"/>
        <v>0</v>
      </c>
    </row>
    <row r="154" spans="2:31" ht="15.75" customHeight="1" thickBot="1" x14ac:dyDescent="0.25">
      <c r="B154" s="123">
        <f t="shared" si="25"/>
        <v>18</v>
      </c>
      <c r="C154" s="158"/>
      <c r="D154" s="123">
        <f t="shared" si="26"/>
        <v>39</v>
      </c>
      <c r="E154" s="158"/>
      <c r="F154" s="123">
        <f t="shared" si="26"/>
        <v>60</v>
      </c>
      <c r="G154" s="158"/>
      <c r="H154" s="123">
        <f t="shared" si="26"/>
        <v>81</v>
      </c>
      <c r="I154" s="158"/>
      <c r="J154" s="123">
        <f t="shared" si="26"/>
        <v>102</v>
      </c>
      <c r="K154" s="158"/>
      <c r="L154" s="123">
        <f t="shared" si="26"/>
        <v>123</v>
      </c>
      <c r="M154" s="158"/>
      <c r="N154" s="196"/>
      <c r="O154" s="125"/>
      <c r="P154" s="82" t="s">
        <v>202</v>
      </c>
      <c r="R154" s="131">
        <v>8860786921</v>
      </c>
      <c r="T154" s="113">
        <f t="shared" si="23"/>
        <v>28</v>
      </c>
      <c r="U154" s="113" t="s">
        <v>174</v>
      </c>
      <c r="V154" s="114"/>
      <c r="W154" s="114">
        <f t="shared" si="24"/>
        <v>0</v>
      </c>
      <c r="X154" s="114"/>
      <c r="Y154" s="115">
        <v>0</v>
      </c>
      <c r="Z154" s="116">
        <v>1</v>
      </c>
      <c r="AA154" s="117">
        <f t="shared" si="19"/>
        <v>0</v>
      </c>
      <c r="AB154" s="118">
        <f t="shared" si="20"/>
        <v>1</v>
      </c>
      <c r="AC154" s="118">
        <f t="shared" si="18"/>
        <v>45615</v>
      </c>
      <c r="AD154" s="118">
        <f t="shared" si="21"/>
        <v>-45614</v>
      </c>
      <c r="AE154" s="117">
        <f t="shared" si="22"/>
        <v>0</v>
      </c>
    </row>
    <row r="155" spans="2:31" ht="15.75" customHeight="1" thickBot="1" x14ac:dyDescent="0.25">
      <c r="B155" s="123">
        <f t="shared" si="25"/>
        <v>19</v>
      </c>
      <c r="C155" s="158"/>
      <c r="D155" s="123">
        <f t="shared" si="26"/>
        <v>40</v>
      </c>
      <c r="E155" s="158"/>
      <c r="F155" s="123">
        <f t="shared" si="26"/>
        <v>61</v>
      </c>
      <c r="G155" s="158"/>
      <c r="H155" s="123">
        <f t="shared" si="26"/>
        <v>82</v>
      </c>
      <c r="I155" s="158"/>
      <c r="J155" s="123">
        <f t="shared" si="26"/>
        <v>103</v>
      </c>
      <c r="K155" s="158"/>
      <c r="L155" s="123">
        <f t="shared" si="26"/>
        <v>124</v>
      </c>
      <c r="M155" s="158"/>
      <c r="N155" s="196"/>
      <c r="O155" s="125"/>
      <c r="P155" s="82" t="s">
        <v>203</v>
      </c>
      <c r="R155" s="131">
        <v>19587312969</v>
      </c>
      <c r="T155" s="113">
        <f t="shared" si="23"/>
        <v>29</v>
      </c>
      <c r="U155" s="113" t="s">
        <v>176</v>
      </c>
      <c r="V155" s="114"/>
      <c r="W155" s="114">
        <f t="shared" si="24"/>
        <v>0</v>
      </c>
      <c r="X155" s="114"/>
      <c r="Y155" s="115">
        <v>0</v>
      </c>
      <c r="Z155" s="116">
        <v>1</v>
      </c>
      <c r="AA155" s="117">
        <f t="shared" si="19"/>
        <v>0</v>
      </c>
      <c r="AB155" s="118">
        <f t="shared" si="20"/>
        <v>1</v>
      </c>
      <c r="AC155" s="118">
        <f t="shared" si="18"/>
        <v>45615</v>
      </c>
      <c r="AD155" s="118">
        <f t="shared" si="21"/>
        <v>-45614</v>
      </c>
      <c r="AE155" s="117">
        <f t="shared" si="22"/>
        <v>0</v>
      </c>
    </row>
    <row r="156" spans="2:31" ht="15.75" customHeight="1" thickBot="1" x14ac:dyDescent="0.25">
      <c r="B156" s="123">
        <f t="shared" si="25"/>
        <v>20</v>
      </c>
      <c r="C156" s="158"/>
      <c r="D156" s="123">
        <f t="shared" si="26"/>
        <v>41</v>
      </c>
      <c r="E156" s="158"/>
      <c r="F156" s="123">
        <f t="shared" si="26"/>
        <v>62</v>
      </c>
      <c r="G156" s="158"/>
      <c r="H156" s="123">
        <f t="shared" si="26"/>
        <v>83</v>
      </c>
      <c r="I156" s="158"/>
      <c r="J156" s="123">
        <f t="shared" si="26"/>
        <v>104</v>
      </c>
      <c r="K156" s="158"/>
      <c r="L156" s="123">
        <f t="shared" si="26"/>
        <v>125</v>
      </c>
      <c r="M156" s="158"/>
      <c r="N156" s="196"/>
      <c r="O156" s="125"/>
      <c r="P156" s="82" t="s">
        <v>204</v>
      </c>
      <c r="R156" s="131">
        <v>10049355290</v>
      </c>
      <c r="T156" s="113">
        <f t="shared" si="23"/>
        <v>30</v>
      </c>
      <c r="U156" s="113" t="s">
        <v>178</v>
      </c>
      <c r="V156" s="114"/>
      <c r="W156" s="114">
        <f t="shared" si="24"/>
        <v>0</v>
      </c>
      <c r="X156" s="114"/>
      <c r="Y156" s="115">
        <v>0</v>
      </c>
      <c r="Z156" s="116">
        <v>1</v>
      </c>
      <c r="AA156" s="117">
        <f t="shared" si="19"/>
        <v>0</v>
      </c>
      <c r="AB156" s="118">
        <f t="shared" si="20"/>
        <v>1</v>
      </c>
      <c r="AC156" s="118">
        <f t="shared" si="18"/>
        <v>45615</v>
      </c>
      <c r="AD156" s="118">
        <f t="shared" si="21"/>
        <v>-45614</v>
      </c>
      <c r="AE156" s="117">
        <f t="shared" si="22"/>
        <v>0</v>
      </c>
    </row>
    <row r="157" spans="2:31" ht="15.75" customHeight="1" thickBot="1" x14ac:dyDescent="0.25">
      <c r="B157" s="123">
        <f t="shared" si="25"/>
        <v>21</v>
      </c>
      <c r="C157" s="158"/>
      <c r="D157" s="123">
        <f t="shared" si="26"/>
        <v>42</v>
      </c>
      <c r="E157" s="158"/>
      <c r="F157" s="123">
        <f t="shared" si="26"/>
        <v>63</v>
      </c>
      <c r="G157" s="158"/>
      <c r="H157" s="123">
        <f t="shared" si="26"/>
        <v>84</v>
      </c>
      <c r="I157" s="158"/>
      <c r="J157" s="123">
        <f t="shared" si="26"/>
        <v>105</v>
      </c>
      <c r="K157" s="158"/>
      <c r="L157" s="123">
        <f t="shared" si="26"/>
        <v>126</v>
      </c>
      <c r="M157" s="158"/>
      <c r="N157" s="197"/>
      <c r="P157" s="82" t="s">
        <v>205</v>
      </c>
      <c r="R157" s="131">
        <v>16751309190</v>
      </c>
      <c r="T157" s="113">
        <f t="shared" si="23"/>
        <v>31</v>
      </c>
      <c r="U157" s="113" t="s">
        <v>180</v>
      </c>
      <c r="V157" s="114"/>
      <c r="W157" s="114">
        <f t="shared" si="24"/>
        <v>0</v>
      </c>
      <c r="X157" s="114"/>
      <c r="Y157" s="115">
        <v>0</v>
      </c>
      <c r="Z157" s="116">
        <v>1</v>
      </c>
      <c r="AA157" s="117">
        <f t="shared" si="19"/>
        <v>0</v>
      </c>
      <c r="AB157" s="118">
        <f t="shared" si="20"/>
        <v>1</v>
      </c>
      <c r="AC157" s="118">
        <f t="shared" si="18"/>
        <v>45615</v>
      </c>
      <c r="AD157" s="118">
        <f t="shared" si="21"/>
        <v>-45614</v>
      </c>
      <c r="AE157" s="117">
        <f t="shared" si="22"/>
        <v>0</v>
      </c>
    </row>
    <row r="158" spans="2:31" ht="15.75" customHeight="1" thickBot="1" x14ac:dyDescent="0.25">
      <c r="B158" s="161" t="s">
        <v>167</v>
      </c>
      <c r="C158" s="161"/>
      <c r="D158" s="161"/>
      <c r="E158" s="161"/>
      <c r="F158" s="161"/>
      <c r="G158" s="161"/>
      <c r="H158" s="161"/>
      <c r="I158" s="161"/>
      <c r="J158" s="198">
        <f>SUM(C137:C157,G137:G157,K137:K157,E137:E157,I137:I157,K137:K157,M137:M157)</f>
        <v>0</v>
      </c>
      <c r="K158" s="198"/>
      <c r="L158" s="198"/>
      <c r="M158" s="198"/>
      <c r="N158" s="198"/>
      <c r="P158" s="82" t="s">
        <v>206</v>
      </c>
      <c r="R158" s="131">
        <v>14142724014</v>
      </c>
      <c r="T158" s="113">
        <f t="shared" si="23"/>
        <v>32</v>
      </c>
      <c r="U158" s="113" t="s">
        <v>182</v>
      </c>
      <c r="V158" s="114"/>
      <c r="W158" s="114">
        <f t="shared" si="24"/>
        <v>0</v>
      </c>
      <c r="X158" s="114"/>
      <c r="Y158" s="115">
        <v>0</v>
      </c>
      <c r="Z158" s="116">
        <v>1</v>
      </c>
      <c r="AA158" s="117">
        <f t="shared" si="19"/>
        <v>0</v>
      </c>
      <c r="AB158" s="118">
        <f t="shared" si="20"/>
        <v>1</v>
      </c>
      <c r="AC158" s="118">
        <f t="shared" si="18"/>
        <v>45615</v>
      </c>
      <c r="AD158" s="118">
        <f t="shared" si="21"/>
        <v>-45614</v>
      </c>
      <c r="AE158" s="117">
        <f t="shared" si="22"/>
        <v>0</v>
      </c>
    </row>
    <row r="159" spans="2:31" ht="15.75" customHeight="1" thickBot="1" x14ac:dyDescent="0.25">
      <c r="B159" s="161" t="s">
        <v>171</v>
      </c>
      <c r="C159" s="161"/>
      <c r="D159" s="161"/>
      <c r="E159" s="161"/>
      <c r="F159" s="161"/>
      <c r="G159" s="161"/>
      <c r="H159" s="161"/>
      <c r="I159" s="161"/>
      <c r="J159" s="212">
        <f>IFERROR(J158/(($B$21)*I125),0)</f>
        <v>0</v>
      </c>
      <c r="K159" s="212"/>
      <c r="L159" s="212"/>
      <c r="M159" s="212"/>
      <c r="N159" s="212"/>
      <c r="T159" s="113">
        <f t="shared" si="23"/>
        <v>33</v>
      </c>
      <c r="U159" s="113" t="s">
        <v>184</v>
      </c>
      <c r="V159" s="114"/>
      <c r="W159" s="114">
        <f t="shared" si="24"/>
        <v>0</v>
      </c>
      <c r="X159" s="114"/>
      <c r="Y159" s="115">
        <v>0</v>
      </c>
      <c r="Z159" s="116">
        <v>1</v>
      </c>
      <c r="AA159" s="117">
        <f t="shared" si="19"/>
        <v>0</v>
      </c>
      <c r="AB159" s="118">
        <f t="shared" si="20"/>
        <v>1</v>
      </c>
      <c r="AC159" s="118">
        <f t="shared" si="18"/>
        <v>45615</v>
      </c>
      <c r="AD159" s="118">
        <f t="shared" si="21"/>
        <v>-45614</v>
      </c>
      <c r="AE159" s="117">
        <f t="shared" si="22"/>
        <v>0</v>
      </c>
    </row>
    <row r="160" spans="2:31" ht="15.75" customHeight="1" thickBot="1" x14ac:dyDescent="0.25">
      <c r="B160" s="161" t="s">
        <v>173</v>
      </c>
      <c r="C160" s="161"/>
      <c r="D160" s="161"/>
      <c r="E160" s="161"/>
      <c r="F160" s="161"/>
      <c r="G160" s="161"/>
      <c r="H160" s="161"/>
      <c r="I160" s="161"/>
      <c r="J160" s="161"/>
      <c r="K160" s="161"/>
      <c r="L160" s="211">
        <f>IF(J159&gt;P138,R138,IF(J159&gt;P137,R137,IF(J159&gt;P136,R136,R135)))</f>
        <v>60</v>
      </c>
      <c r="M160" s="211"/>
      <c r="N160" s="211"/>
      <c r="O160" s="125"/>
      <c r="R160" s="130" t="s">
        <v>216</v>
      </c>
      <c r="T160" s="113">
        <f t="shared" si="23"/>
        <v>34</v>
      </c>
      <c r="U160" s="113" t="s">
        <v>186</v>
      </c>
      <c r="V160" s="114"/>
      <c r="W160" s="114">
        <f t="shared" si="24"/>
        <v>0</v>
      </c>
      <c r="X160" s="114"/>
      <c r="Y160" s="115">
        <v>0</v>
      </c>
      <c r="Z160" s="116">
        <v>1</v>
      </c>
      <c r="AA160" s="117">
        <f t="shared" si="19"/>
        <v>0</v>
      </c>
      <c r="AB160" s="118">
        <f t="shared" si="20"/>
        <v>1</v>
      </c>
      <c r="AC160" s="118">
        <f t="shared" si="18"/>
        <v>45615</v>
      </c>
      <c r="AD160" s="118">
        <f t="shared" si="21"/>
        <v>-45614</v>
      </c>
      <c r="AE160" s="117">
        <f t="shared" si="22"/>
        <v>0</v>
      </c>
    </row>
    <row r="161" spans="2:31" ht="15.75" customHeight="1" thickBot="1" x14ac:dyDescent="0.3">
      <c r="B161" s="212" t="s">
        <v>215</v>
      </c>
      <c r="C161" s="212"/>
      <c r="D161" s="212"/>
      <c r="E161" s="212"/>
      <c r="F161" s="212"/>
      <c r="G161" s="212"/>
      <c r="H161" s="212"/>
      <c r="I161" s="212"/>
      <c r="J161" s="212"/>
      <c r="K161" s="212"/>
      <c r="L161" s="212"/>
      <c r="M161" s="212"/>
      <c r="N161" s="212"/>
      <c r="O161" s="125"/>
      <c r="P161" s="82" t="s">
        <v>201</v>
      </c>
      <c r="R161" s="131">
        <v>8053415585</v>
      </c>
      <c r="T161" s="113">
        <f t="shared" si="23"/>
        <v>35</v>
      </c>
      <c r="U161" s="113" t="s">
        <v>187</v>
      </c>
      <c r="V161" s="114"/>
      <c r="W161" s="114">
        <f t="shared" si="24"/>
        <v>0</v>
      </c>
      <c r="X161" s="114"/>
      <c r="Y161" s="115">
        <v>0</v>
      </c>
      <c r="Z161" s="116">
        <v>1</v>
      </c>
      <c r="AA161" s="117">
        <f t="shared" si="19"/>
        <v>0</v>
      </c>
      <c r="AB161" s="118">
        <f t="shared" si="20"/>
        <v>1</v>
      </c>
      <c r="AC161" s="118">
        <f t="shared" si="18"/>
        <v>45615</v>
      </c>
      <c r="AD161" s="118">
        <f t="shared" si="21"/>
        <v>-45614</v>
      </c>
      <c r="AE161" s="117">
        <f t="shared" si="22"/>
        <v>0</v>
      </c>
    </row>
    <row r="162" spans="2:31" ht="15.75" customHeight="1" thickBot="1" x14ac:dyDescent="0.25">
      <c r="B162" s="186"/>
      <c r="C162" s="187"/>
      <c r="D162" s="187"/>
      <c r="E162" s="187"/>
      <c r="F162" s="187"/>
      <c r="G162" s="188"/>
      <c r="H162" s="223" t="s">
        <v>177</v>
      </c>
      <c r="I162" s="223"/>
      <c r="J162" s="223"/>
      <c r="K162" s="223"/>
      <c r="L162" s="224">
        <f>$I$9</f>
        <v>0</v>
      </c>
      <c r="M162" s="224"/>
      <c r="N162" s="224"/>
      <c r="O162" s="125"/>
      <c r="P162" s="82" t="s">
        <v>214</v>
      </c>
      <c r="R162" s="131">
        <v>6562161350</v>
      </c>
      <c r="T162" s="113">
        <f t="shared" si="23"/>
        <v>36</v>
      </c>
      <c r="U162" s="113" t="s">
        <v>189</v>
      </c>
      <c r="V162" s="114"/>
      <c r="W162" s="114">
        <f t="shared" si="24"/>
        <v>0</v>
      </c>
      <c r="X162" s="114"/>
      <c r="Y162" s="115">
        <v>0</v>
      </c>
      <c r="Z162" s="116">
        <v>1</v>
      </c>
      <c r="AA162" s="117">
        <f t="shared" si="19"/>
        <v>0</v>
      </c>
      <c r="AB162" s="118">
        <f t="shared" si="20"/>
        <v>1</v>
      </c>
      <c r="AC162" s="118">
        <f t="shared" si="18"/>
        <v>45615</v>
      </c>
      <c r="AD162" s="118">
        <f t="shared" si="21"/>
        <v>-45614</v>
      </c>
      <c r="AE162" s="117">
        <f t="shared" si="22"/>
        <v>0</v>
      </c>
    </row>
    <row r="163" spans="2:31" ht="15.75" customHeight="1" thickBot="1" x14ac:dyDescent="0.25">
      <c r="B163" s="189"/>
      <c r="C163" s="190"/>
      <c r="D163" s="190"/>
      <c r="E163" s="190"/>
      <c r="F163" s="190"/>
      <c r="G163" s="191"/>
      <c r="H163" s="223" t="s">
        <v>179</v>
      </c>
      <c r="I163" s="223"/>
      <c r="J163" s="223"/>
      <c r="K163" s="223"/>
      <c r="L163" s="224">
        <f>$J$9</f>
        <v>0</v>
      </c>
      <c r="M163" s="224"/>
      <c r="N163" s="224"/>
      <c r="O163" s="125"/>
      <c r="P163" s="82" t="s">
        <v>202</v>
      </c>
      <c r="R163" s="131">
        <v>4132783282</v>
      </c>
      <c r="T163" s="113">
        <f>T162+1</f>
        <v>37</v>
      </c>
      <c r="U163" s="113" t="s">
        <v>190</v>
      </c>
      <c r="V163" s="114"/>
      <c r="W163" s="114">
        <f>W162</f>
        <v>0</v>
      </c>
      <c r="X163" s="114"/>
      <c r="Y163" s="115">
        <v>0</v>
      </c>
      <c r="Z163" s="116">
        <v>1</v>
      </c>
      <c r="AA163" s="117">
        <f t="shared" si="19"/>
        <v>0</v>
      </c>
      <c r="AB163" s="118">
        <f t="shared" si="20"/>
        <v>1</v>
      </c>
      <c r="AC163" s="118">
        <f t="shared" si="18"/>
        <v>45615</v>
      </c>
      <c r="AD163" s="118">
        <f t="shared" si="21"/>
        <v>-45614</v>
      </c>
      <c r="AE163" s="117">
        <f t="shared" si="22"/>
        <v>0</v>
      </c>
    </row>
    <row r="164" spans="2:31" ht="15.75" customHeight="1" thickBot="1" x14ac:dyDescent="0.25">
      <c r="B164" s="192"/>
      <c r="C164" s="193"/>
      <c r="D164" s="193"/>
      <c r="E164" s="193"/>
      <c r="F164" s="193"/>
      <c r="G164" s="194"/>
      <c r="H164" s="161" t="s">
        <v>181</v>
      </c>
      <c r="I164" s="161"/>
      <c r="J164" s="161"/>
      <c r="K164" s="161"/>
      <c r="L164" s="210">
        <f>IFERROR(ROUND(L162/L163,2),0)</f>
        <v>0</v>
      </c>
      <c r="M164" s="210"/>
      <c r="N164" s="210"/>
      <c r="O164" s="125"/>
      <c r="P164" s="82" t="s">
        <v>203</v>
      </c>
      <c r="R164" s="131">
        <v>9125008249</v>
      </c>
      <c r="T164" s="113">
        <f>T163+1</f>
        <v>38</v>
      </c>
      <c r="U164" s="113" t="s">
        <v>191</v>
      </c>
      <c r="V164" s="114"/>
      <c r="W164" s="114">
        <f>W163</f>
        <v>0</v>
      </c>
      <c r="X164" s="114"/>
      <c r="Y164" s="115">
        <v>0</v>
      </c>
      <c r="Z164" s="116">
        <v>1</v>
      </c>
      <c r="AA164" s="117">
        <f t="shared" si="19"/>
        <v>0</v>
      </c>
      <c r="AB164" s="118">
        <f t="shared" si="20"/>
        <v>1</v>
      </c>
      <c r="AC164" s="118">
        <f t="shared" si="18"/>
        <v>45615</v>
      </c>
      <c r="AD164" s="118">
        <f t="shared" si="21"/>
        <v>-45614</v>
      </c>
      <c r="AE164" s="117">
        <f t="shared" si="22"/>
        <v>0</v>
      </c>
    </row>
    <row r="165" spans="2:31" ht="15.75" customHeight="1" thickBot="1" x14ac:dyDescent="0.25">
      <c r="B165" s="161" t="s">
        <v>183</v>
      </c>
      <c r="C165" s="161"/>
      <c r="D165" s="161"/>
      <c r="E165" s="161"/>
      <c r="F165" s="161"/>
      <c r="G165" s="161"/>
      <c r="H165" s="161"/>
      <c r="I165" s="161"/>
      <c r="J165" s="161"/>
      <c r="K165" s="161"/>
      <c r="L165" s="211">
        <f>IF(L164&gt;P144,R144,IF(L164&gt;P143,R143,IF(L164&gt;P142,R142,IF(L164&gt;P141,R141,R140))))</f>
        <v>20</v>
      </c>
      <c r="M165" s="211"/>
      <c r="N165" s="211"/>
      <c r="O165" s="125"/>
      <c r="P165" s="82" t="s">
        <v>204</v>
      </c>
      <c r="R165" s="131">
        <v>4685421355</v>
      </c>
      <c r="T165" s="113">
        <f t="shared" si="23"/>
        <v>39</v>
      </c>
      <c r="U165" s="113" t="s">
        <v>192</v>
      </c>
      <c r="V165" s="114"/>
      <c r="W165" s="114">
        <f t="shared" si="24"/>
        <v>0</v>
      </c>
      <c r="X165" s="114"/>
      <c r="Y165" s="115">
        <v>0</v>
      </c>
      <c r="Z165" s="116">
        <v>1</v>
      </c>
      <c r="AA165" s="117">
        <f t="shared" si="19"/>
        <v>0</v>
      </c>
      <c r="AB165" s="118">
        <f t="shared" si="20"/>
        <v>1</v>
      </c>
      <c r="AC165" s="118">
        <f t="shared" si="18"/>
        <v>45615</v>
      </c>
      <c r="AD165" s="118">
        <f t="shared" si="21"/>
        <v>-45614</v>
      </c>
      <c r="AE165" s="117">
        <f t="shared" si="22"/>
        <v>0</v>
      </c>
    </row>
    <row r="166" spans="2:31" ht="15.75" customHeight="1" thickBot="1" x14ac:dyDescent="0.3">
      <c r="B166" s="212" t="s">
        <v>185</v>
      </c>
      <c r="C166" s="212"/>
      <c r="D166" s="212"/>
      <c r="E166" s="212"/>
      <c r="F166" s="212"/>
      <c r="G166" s="212"/>
      <c r="H166" s="212"/>
      <c r="I166" s="212"/>
      <c r="J166" s="212"/>
      <c r="K166" s="212"/>
      <c r="L166" s="212"/>
      <c r="M166" s="212"/>
      <c r="N166" s="212"/>
      <c r="P166" s="82" t="s">
        <v>205</v>
      </c>
      <c r="R166" s="131">
        <v>7832191370</v>
      </c>
      <c r="T166" s="113">
        <f t="shared" si="23"/>
        <v>40</v>
      </c>
      <c r="U166" s="113" t="s">
        <v>193</v>
      </c>
      <c r="V166" s="114"/>
      <c r="W166" s="114">
        <f t="shared" si="24"/>
        <v>0</v>
      </c>
      <c r="X166" s="114"/>
      <c r="Y166" s="115">
        <v>0</v>
      </c>
      <c r="Z166" s="116">
        <v>1</v>
      </c>
      <c r="AA166" s="117">
        <f t="shared" si="19"/>
        <v>0</v>
      </c>
      <c r="AB166" s="118">
        <f t="shared" si="20"/>
        <v>1</v>
      </c>
      <c r="AC166" s="118">
        <f t="shared" si="18"/>
        <v>45615</v>
      </c>
      <c r="AD166" s="118">
        <f t="shared" si="21"/>
        <v>-45614</v>
      </c>
      <c r="AE166" s="117">
        <f t="shared" si="22"/>
        <v>0</v>
      </c>
    </row>
    <row r="167" spans="2:31" ht="15.75" customHeight="1" thickBot="1" x14ac:dyDescent="0.3">
      <c r="B167" s="220" t="s">
        <v>94</v>
      </c>
      <c r="C167" s="220"/>
      <c r="D167" s="220"/>
      <c r="E167" s="220"/>
      <c r="F167" s="220"/>
      <c r="G167" s="220"/>
      <c r="H167" s="220"/>
      <c r="I167" s="220"/>
      <c r="J167" s="220"/>
      <c r="K167" s="220"/>
      <c r="L167" s="220"/>
      <c r="M167" s="221">
        <f>$K$9</f>
        <v>0</v>
      </c>
      <c r="N167" s="221"/>
      <c r="P167" s="82" t="s">
        <v>206</v>
      </c>
      <c r="R167" s="131">
        <v>6568014622</v>
      </c>
      <c r="T167" s="113">
        <f t="shared" si="23"/>
        <v>41</v>
      </c>
      <c r="U167" s="113" t="s">
        <v>194</v>
      </c>
      <c r="V167" s="114"/>
      <c r="W167" s="114">
        <f t="shared" si="24"/>
        <v>0</v>
      </c>
      <c r="X167" s="114"/>
      <c r="Y167" s="115">
        <v>0</v>
      </c>
      <c r="Z167" s="116">
        <v>1</v>
      </c>
      <c r="AA167" s="117">
        <f t="shared" si="19"/>
        <v>0</v>
      </c>
      <c r="AB167" s="118">
        <f t="shared" si="20"/>
        <v>1</v>
      </c>
      <c r="AC167" s="118">
        <f t="shared" si="18"/>
        <v>45615</v>
      </c>
      <c r="AD167" s="118">
        <f t="shared" si="21"/>
        <v>-45614</v>
      </c>
      <c r="AE167" s="117">
        <f t="shared" si="22"/>
        <v>0</v>
      </c>
    </row>
    <row r="168" spans="2:31" ht="15.75" customHeight="1" thickBot="1" x14ac:dyDescent="0.25">
      <c r="B168" s="161" t="s">
        <v>188</v>
      </c>
      <c r="C168" s="161"/>
      <c r="D168" s="161"/>
      <c r="E168" s="161"/>
      <c r="F168" s="161"/>
      <c r="G168" s="161"/>
      <c r="H168" s="161"/>
      <c r="I168" s="161"/>
      <c r="J168" s="161"/>
      <c r="K168" s="161"/>
      <c r="L168" s="211">
        <f>IF(M167&gt;P149,R149,IF(M167&gt;P148,R148,IF(M167&gt;P147,R147,R146)))</f>
        <v>0</v>
      </c>
      <c r="M168" s="211"/>
      <c r="N168" s="211"/>
      <c r="T168" s="113">
        <f t="shared" si="23"/>
        <v>42</v>
      </c>
      <c r="U168" s="113" t="s">
        <v>195</v>
      </c>
      <c r="V168" s="114"/>
      <c r="W168" s="114">
        <f t="shared" si="24"/>
        <v>0</v>
      </c>
      <c r="X168" s="114"/>
      <c r="Y168" s="115">
        <v>0</v>
      </c>
      <c r="Z168" s="116">
        <v>1</v>
      </c>
      <c r="AA168" s="117">
        <f t="shared" si="19"/>
        <v>0</v>
      </c>
      <c r="AB168" s="118">
        <f t="shared" si="20"/>
        <v>1</v>
      </c>
      <c r="AC168" s="118">
        <f t="shared" si="18"/>
        <v>45615</v>
      </c>
      <c r="AD168" s="118">
        <f t="shared" si="21"/>
        <v>-45614</v>
      </c>
      <c r="AE168" s="117">
        <f t="shared" si="22"/>
        <v>0</v>
      </c>
    </row>
    <row r="169" spans="2:31" ht="13.5" thickBot="1" x14ac:dyDescent="0.3">
      <c r="R169" s="130" t="s">
        <v>200</v>
      </c>
      <c r="T169" s="113">
        <f t="shared" si="23"/>
        <v>43</v>
      </c>
      <c r="U169" s="113" t="s">
        <v>198</v>
      </c>
      <c r="V169" s="114"/>
      <c r="W169" s="114">
        <f t="shared" si="24"/>
        <v>0</v>
      </c>
      <c r="X169" s="114"/>
      <c r="Y169" s="115">
        <v>0</v>
      </c>
      <c r="Z169" s="116">
        <v>1</v>
      </c>
      <c r="AA169" s="117">
        <f t="shared" si="19"/>
        <v>0</v>
      </c>
      <c r="AB169" s="118">
        <f t="shared" si="20"/>
        <v>1</v>
      </c>
      <c r="AC169" s="118">
        <f t="shared" si="18"/>
        <v>45615</v>
      </c>
      <c r="AD169" s="118">
        <f t="shared" si="21"/>
        <v>-45614</v>
      </c>
      <c r="AE169" s="117">
        <f t="shared" si="22"/>
        <v>0</v>
      </c>
    </row>
    <row r="170" spans="2:31" ht="15.75" customHeight="1" thickBot="1" x14ac:dyDescent="0.25">
      <c r="B170" s="161" t="str">
        <f>"CAPACIDAD DE CONTRATACIÓN "&amp;$F$124</f>
        <v xml:space="preserve">CAPACIDAD DE CONTRATACIÓN </v>
      </c>
      <c r="C170" s="161"/>
      <c r="D170" s="161"/>
      <c r="E170" s="161"/>
      <c r="F170" s="161"/>
      <c r="G170" s="161"/>
      <c r="H170" s="161"/>
      <c r="I170" s="161"/>
      <c r="J170" s="161"/>
      <c r="K170" s="161"/>
      <c r="L170" s="167">
        <f>I133*((L160+L165+L168)/100)</f>
        <v>426630400</v>
      </c>
      <c r="M170" s="167"/>
      <c r="N170" s="167"/>
      <c r="P170" s="82" t="s">
        <v>201</v>
      </c>
      <c r="R170" s="83">
        <v>16</v>
      </c>
      <c r="Z170" s="235" t="s">
        <v>199</v>
      </c>
      <c r="AA170" s="235"/>
      <c r="AB170" s="235"/>
      <c r="AC170" s="235"/>
      <c r="AD170" s="235"/>
      <c r="AE170" s="126">
        <f>SUM(AE127:AE169)</f>
        <v>25000000</v>
      </c>
    </row>
    <row r="171" spans="2:31" ht="15.75" customHeight="1" x14ac:dyDescent="0.2">
      <c r="B171" s="161" t="str">
        <f>"SALDO DE LOS CONTRATOS EN EJECUCIÓN "&amp;$F$124</f>
        <v xml:space="preserve">SALDO DE LOS CONTRATOS EN EJECUCIÓN </v>
      </c>
      <c r="C171" s="161"/>
      <c r="D171" s="161"/>
      <c r="E171" s="161"/>
      <c r="F171" s="161"/>
      <c r="G171" s="161"/>
      <c r="H171" s="161"/>
      <c r="I171" s="161"/>
      <c r="J171" s="161"/>
      <c r="K171" s="161"/>
      <c r="L171" s="167">
        <f>$M$9</f>
        <v>0</v>
      </c>
      <c r="M171" s="167"/>
      <c r="N171" s="167"/>
      <c r="P171" s="82"/>
      <c r="R171" s="83"/>
      <c r="Z171" s="132"/>
      <c r="AA171" s="132"/>
      <c r="AB171" s="132"/>
      <c r="AC171" s="132"/>
      <c r="AD171" s="132"/>
      <c r="AE171" s="133"/>
    </row>
    <row r="172" spans="2:31" ht="15.75" customHeight="1" x14ac:dyDescent="0.2">
      <c r="B172" s="161" t="str">
        <f>"CAPACIDAD RESIDUAL DE CONTRATACIÓN "&amp;$F$124</f>
        <v xml:space="preserve">CAPACIDAD RESIDUAL DE CONTRATACIÓN </v>
      </c>
      <c r="C172" s="161"/>
      <c r="D172" s="161"/>
      <c r="E172" s="161"/>
      <c r="F172" s="161"/>
      <c r="G172" s="161"/>
      <c r="H172" s="161"/>
      <c r="I172" s="161"/>
      <c r="J172" s="161"/>
      <c r="K172" s="161"/>
      <c r="L172" s="167">
        <f>L170-L171</f>
        <v>426630400</v>
      </c>
      <c r="M172" s="167"/>
      <c r="N172" s="167"/>
      <c r="P172" s="82" t="s">
        <v>202</v>
      </c>
      <c r="R172" s="83">
        <v>15</v>
      </c>
    </row>
    <row r="173" spans="2:31" ht="15.75" customHeight="1" x14ac:dyDescent="0.2">
      <c r="B173" s="127"/>
      <c r="C173" s="127"/>
      <c r="D173" s="127"/>
      <c r="E173" s="127"/>
      <c r="F173" s="127"/>
      <c r="G173" s="127"/>
      <c r="H173" s="127"/>
      <c r="I173" s="127"/>
      <c r="J173" s="127"/>
      <c r="K173" s="127"/>
      <c r="L173" s="128"/>
      <c r="M173" s="128"/>
      <c r="N173" s="128"/>
      <c r="P173" s="82"/>
      <c r="R173" s="83"/>
    </row>
    <row r="174" spans="2:31" ht="15.75" customHeight="1" thickBot="1" x14ac:dyDescent="0.3">
      <c r="B174" s="180" t="str">
        <f>"INTEGRANTE 4: "&amp;$C$10</f>
        <v>INTEGRANTE 4: 0</v>
      </c>
      <c r="C174" s="181"/>
      <c r="D174" s="181"/>
      <c r="E174" s="181"/>
      <c r="F174" s="181"/>
      <c r="G174" s="181"/>
      <c r="H174" s="181"/>
      <c r="I174" s="181"/>
      <c r="J174" s="181"/>
      <c r="K174" s="181"/>
      <c r="L174" s="181"/>
      <c r="M174" s="181"/>
      <c r="N174" s="182"/>
      <c r="T174" s="109"/>
      <c r="U174" s="110"/>
    </row>
    <row r="175" spans="2:31" ht="18.75" customHeight="1" x14ac:dyDescent="0.25">
      <c r="B175" s="168" t="s">
        <v>102</v>
      </c>
      <c r="C175" s="169"/>
      <c r="D175" s="169"/>
      <c r="E175" s="169"/>
      <c r="F175" s="169"/>
      <c r="G175" s="169"/>
      <c r="H175" s="170"/>
      <c r="I175" s="438">
        <f>$G$10</f>
        <v>0</v>
      </c>
      <c r="J175" s="439"/>
      <c r="K175" s="439"/>
      <c r="L175" s="439"/>
      <c r="M175" s="439"/>
      <c r="N175" s="440"/>
      <c r="Q175" s="103" t="s">
        <v>210</v>
      </c>
      <c r="T175" s="229" t="s">
        <v>113</v>
      </c>
      <c r="U175" s="225" t="s">
        <v>114</v>
      </c>
      <c r="V175" s="225" t="s">
        <v>115</v>
      </c>
      <c r="W175" s="225" t="s">
        <v>116</v>
      </c>
      <c r="X175" s="225" t="s">
        <v>117</v>
      </c>
      <c r="Y175" s="225" t="s">
        <v>118</v>
      </c>
      <c r="Z175" s="225" t="s">
        <v>119</v>
      </c>
      <c r="AA175" s="225" t="s">
        <v>120</v>
      </c>
      <c r="AB175" s="225" t="s">
        <v>121</v>
      </c>
      <c r="AC175" s="225" t="s">
        <v>122</v>
      </c>
      <c r="AD175" s="225" t="s">
        <v>123</v>
      </c>
      <c r="AE175" s="225" t="s">
        <v>124</v>
      </c>
    </row>
    <row r="176" spans="2:31" ht="15.75" customHeight="1" thickBot="1" x14ac:dyDescent="0.3">
      <c r="B176" s="183" t="s">
        <v>103</v>
      </c>
      <c r="C176" s="184"/>
      <c r="D176" s="184"/>
      <c r="E176" s="184"/>
      <c r="F176" s="184"/>
      <c r="G176" s="185"/>
      <c r="H176" s="183" t="s">
        <v>104</v>
      </c>
      <c r="I176" s="184"/>
      <c r="J176" s="184"/>
      <c r="K176" s="184"/>
      <c r="L176" s="184"/>
      <c r="M176" s="185"/>
      <c r="N176" s="91" t="s">
        <v>105</v>
      </c>
      <c r="Q176" s="108">
        <v>1423500</v>
      </c>
      <c r="T176" s="230"/>
      <c r="U176" s="226"/>
      <c r="V176" s="226"/>
      <c r="W176" s="226"/>
      <c r="X176" s="226"/>
      <c r="Y176" s="226"/>
      <c r="Z176" s="226"/>
      <c r="AA176" s="226"/>
      <c r="AB176" s="226"/>
      <c r="AC176" s="226"/>
      <c r="AD176" s="226"/>
      <c r="AE176" s="226"/>
    </row>
    <row r="177" spans="2:31" ht="15.75" customHeight="1" thickBot="1" x14ac:dyDescent="0.3">
      <c r="B177" s="186"/>
      <c r="C177" s="187"/>
      <c r="D177" s="187"/>
      <c r="E177" s="187"/>
      <c r="F177" s="187"/>
      <c r="G177" s="188"/>
      <c r="H177" s="434" t="s">
        <v>106</v>
      </c>
      <c r="I177" s="435"/>
      <c r="J177" s="435"/>
      <c r="K177" s="435"/>
      <c r="L177" s="435"/>
      <c r="M177" s="436"/>
      <c r="N177" s="79">
        <v>120</v>
      </c>
      <c r="T177" s="113">
        <v>1</v>
      </c>
      <c r="U177" s="113" t="s">
        <v>128</v>
      </c>
      <c r="V177" s="114">
        <v>42095</v>
      </c>
      <c r="W177" s="114">
        <v>42124</v>
      </c>
      <c r="X177" s="114">
        <v>42099</v>
      </c>
      <c r="Y177" s="115">
        <v>30000000</v>
      </c>
      <c r="Z177" s="116">
        <v>1</v>
      </c>
      <c r="AA177" s="117">
        <f>Y177*Z177</f>
        <v>30000000</v>
      </c>
      <c r="AB177" s="118">
        <f>DAYS360(V177,W177)+1</f>
        <v>30</v>
      </c>
      <c r="AC177" s="118">
        <f t="shared" ref="AC177:AC219" si="27">IF(X177&gt;$R$45,(X177-V177)+1,($U$22-V177)+1)</f>
        <v>5</v>
      </c>
      <c r="AD177" s="118">
        <f>IF((AB177-AC177)&gt;$P$28,$P$28,(AB177-AC177))</f>
        <v>25</v>
      </c>
      <c r="AE177" s="117">
        <f>ROUND((AA177/AB177)*AD177,0)</f>
        <v>25000000</v>
      </c>
    </row>
    <row r="178" spans="2:31" ht="15.75" customHeight="1" thickBot="1" x14ac:dyDescent="0.3">
      <c r="B178" s="189"/>
      <c r="C178" s="190"/>
      <c r="D178" s="190"/>
      <c r="E178" s="190"/>
      <c r="F178" s="190"/>
      <c r="G178" s="191"/>
      <c r="H178" s="434" t="s">
        <v>107</v>
      </c>
      <c r="I178" s="435"/>
      <c r="J178" s="435"/>
      <c r="K178" s="435"/>
      <c r="L178" s="435"/>
      <c r="M178" s="436"/>
      <c r="N178" s="79">
        <v>40</v>
      </c>
      <c r="P178" s="99" t="s">
        <v>130</v>
      </c>
      <c r="Q178" s="99" t="s">
        <v>0</v>
      </c>
      <c r="R178" s="99" t="s">
        <v>131</v>
      </c>
      <c r="T178" s="113">
        <f>T177+1</f>
        <v>2</v>
      </c>
      <c r="U178" s="113" t="s">
        <v>132</v>
      </c>
      <c r="V178" s="114"/>
      <c r="W178" s="114">
        <f>U173</f>
        <v>0</v>
      </c>
      <c r="X178" s="114"/>
      <c r="Y178" s="115">
        <v>0</v>
      </c>
      <c r="Z178" s="116">
        <v>1</v>
      </c>
      <c r="AA178" s="117">
        <f t="shared" ref="AA178:AA219" si="28">Y178*Z178</f>
        <v>0</v>
      </c>
      <c r="AB178" s="118">
        <f t="shared" ref="AB178:AB219" si="29">DAYS360(V178,W178)+1</f>
        <v>1</v>
      </c>
      <c r="AC178" s="118">
        <f t="shared" si="27"/>
        <v>45615</v>
      </c>
      <c r="AD178" s="118">
        <f t="shared" ref="AD178:AD219" si="30">IF((AB178-AC178)&gt;$P$28,$P$28,(AB178-AC178))</f>
        <v>-45614</v>
      </c>
      <c r="AE178" s="117">
        <f t="shared" ref="AE178:AE219" si="31">ROUND((AA178/AB178)*AD178,0)</f>
        <v>0</v>
      </c>
    </row>
    <row r="179" spans="2:31" ht="15.75" customHeight="1" thickBot="1" x14ac:dyDescent="0.3">
      <c r="B179" s="189"/>
      <c r="C179" s="190"/>
      <c r="D179" s="190"/>
      <c r="E179" s="190"/>
      <c r="F179" s="190"/>
      <c r="G179" s="191"/>
      <c r="H179" s="434" t="s">
        <v>109</v>
      </c>
      <c r="I179" s="435"/>
      <c r="J179" s="435"/>
      <c r="K179" s="435"/>
      <c r="L179" s="435"/>
      <c r="M179" s="436"/>
      <c r="N179" s="79">
        <v>40</v>
      </c>
      <c r="O179" s="119"/>
      <c r="P179" s="79">
        <v>360</v>
      </c>
      <c r="Q179" s="79" t="s">
        <v>3</v>
      </c>
      <c r="R179" s="79">
        <v>12</v>
      </c>
      <c r="T179" s="113">
        <f t="shared" ref="T179:T219" si="32">T178+1</f>
        <v>3</v>
      </c>
      <c r="U179" s="113" t="s">
        <v>134</v>
      </c>
      <c r="V179" s="114"/>
      <c r="W179" s="114">
        <f t="shared" ref="W179:W219" si="33">W178</f>
        <v>0</v>
      </c>
      <c r="X179" s="114"/>
      <c r="Y179" s="115">
        <v>0</v>
      </c>
      <c r="Z179" s="116">
        <v>1</v>
      </c>
      <c r="AA179" s="117">
        <f t="shared" si="28"/>
        <v>0</v>
      </c>
      <c r="AB179" s="118">
        <f t="shared" si="29"/>
        <v>1</v>
      </c>
      <c r="AC179" s="118">
        <f t="shared" si="27"/>
        <v>45615</v>
      </c>
      <c r="AD179" s="118">
        <f t="shared" si="30"/>
        <v>-45614</v>
      </c>
      <c r="AE179" s="117">
        <f t="shared" si="31"/>
        <v>0</v>
      </c>
    </row>
    <row r="180" spans="2:31" ht="15.75" customHeight="1" thickBot="1" x14ac:dyDescent="0.3">
      <c r="B180" s="192"/>
      <c r="C180" s="193"/>
      <c r="D180" s="193"/>
      <c r="E180" s="193"/>
      <c r="F180" s="193"/>
      <c r="G180" s="194"/>
      <c r="H180" s="183" t="s">
        <v>44</v>
      </c>
      <c r="I180" s="184"/>
      <c r="J180" s="184"/>
      <c r="K180" s="184"/>
      <c r="L180" s="184"/>
      <c r="M180" s="185"/>
      <c r="N180" s="79">
        <f>SUM(N177:N179)</f>
        <v>200</v>
      </c>
      <c r="O180" s="119"/>
      <c r="T180" s="113">
        <f t="shared" si="32"/>
        <v>4</v>
      </c>
      <c r="U180" s="113" t="s">
        <v>138</v>
      </c>
      <c r="V180" s="114"/>
      <c r="W180" s="114">
        <f t="shared" si="33"/>
        <v>0</v>
      </c>
      <c r="X180" s="114"/>
      <c r="Y180" s="115">
        <v>0</v>
      </c>
      <c r="Z180" s="116">
        <v>1</v>
      </c>
      <c r="AA180" s="117">
        <f t="shared" si="28"/>
        <v>0</v>
      </c>
      <c r="AB180" s="118">
        <f t="shared" si="29"/>
        <v>1</v>
      </c>
      <c r="AC180" s="118">
        <f t="shared" si="27"/>
        <v>45615</v>
      </c>
      <c r="AD180" s="118">
        <f t="shared" si="30"/>
        <v>-45614</v>
      </c>
      <c r="AE180" s="117">
        <f t="shared" si="31"/>
        <v>0</v>
      </c>
    </row>
    <row r="181" spans="2:31" ht="15.75" customHeight="1" thickBot="1" x14ac:dyDescent="0.3">
      <c r="B181" s="183" t="s">
        <v>211</v>
      </c>
      <c r="C181" s="184"/>
      <c r="D181" s="184"/>
      <c r="E181" s="184"/>
      <c r="F181" s="184"/>
      <c r="G181" s="184"/>
      <c r="H181" s="184"/>
      <c r="I181" s="184"/>
      <c r="J181" s="184"/>
      <c r="K181" s="184"/>
      <c r="L181" s="184"/>
      <c r="M181" s="184"/>
      <c r="N181" s="185"/>
      <c r="O181" s="119"/>
      <c r="P181" s="99" t="s">
        <v>139</v>
      </c>
      <c r="Q181" s="99" t="s">
        <v>140</v>
      </c>
      <c r="R181" s="99" t="s">
        <v>141</v>
      </c>
      <c r="T181" s="113">
        <f t="shared" si="32"/>
        <v>5</v>
      </c>
      <c r="U181" s="113" t="s">
        <v>142</v>
      </c>
      <c r="V181" s="114"/>
      <c r="W181" s="114">
        <f t="shared" si="33"/>
        <v>0</v>
      </c>
      <c r="X181" s="114"/>
      <c r="Y181" s="115">
        <v>0</v>
      </c>
      <c r="Z181" s="116">
        <v>1</v>
      </c>
      <c r="AA181" s="117">
        <f t="shared" si="28"/>
        <v>0</v>
      </c>
      <c r="AB181" s="118">
        <f t="shared" si="29"/>
        <v>1</v>
      </c>
      <c r="AC181" s="118">
        <f t="shared" si="27"/>
        <v>45615</v>
      </c>
      <c r="AD181" s="118">
        <f t="shared" si="30"/>
        <v>-45614</v>
      </c>
      <c r="AE181" s="117">
        <f t="shared" si="31"/>
        <v>0</v>
      </c>
    </row>
    <row r="182" spans="2:31" ht="15.75" customHeight="1" thickBot="1" x14ac:dyDescent="0.3">
      <c r="B182" s="239" t="s">
        <v>125</v>
      </c>
      <c r="C182" s="240"/>
      <c r="D182" s="240"/>
      <c r="E182" s="240"/>
      <c r="F182" s="240"/>
      <c r="G182" s="240"/>
      <c r="H182" s="241"/>
      <c r="I182" s="183" t="s">
        <v>126</v>
      </c>
      <c r="J182" s="184"/>
      <c r="K182" s="184"/>
      <c r="L182" s="184"/>
      <c r="M182" s="184"/>
      <c r="N182" s="185"/>
      <c r="P182" s="121">
        <v>125000</v>
      </c>
      <c r="Q182" s="108">
        <f>533287768/P182</f>
        <v>4266.3021440000002</v>
      </c>
      <c r="R182" s="108">
        <f>ROUNDUP(P182*Q182,-3)</f>
        <v>533288000</v>
      </c>
      <c r="T182" s="113">
        <f t="shared" si="32"/>
        <v>6</v>
      </c>
      <c r="U182" s="113" t="s">
        <v>143</v>
      </c>
      <c r="V182" s="114"/>
      <c r="W182" s="114">
        <f t="shared" si="33"/>
        <v>0</v>
      </c>
      <c r="X182" s="114"/>
      <c r="Y182" s="115">
        <v>0</v>
      </c>
      <c r="Z182" s="116">
        <v>1</v>
      </c>
      <c r="AA182" s="117">
        <f t="shared" si="28"/>
        <v>0</v>
      </c>
      <c r="AB182" s="118">
        <f t="shared" si="29"/>
        <v>1</v>
      </c>
      <c r="AC182" s="118">
        <f t="shared" si="27"/>
        <v>45615</v>
      </c>
      <c r="AD182" s="118">
        <f t="shared" si="30"/>
        <v>-45614</v>
      </c>
      <c r="AE182" s="117">
        <f t="shared" si="31"/>
        <v>0</v>
      </c>
    </row>
    <row r="183" spans="2:31" ht="15.75" customHeight="1" thickBot="1" x14ac:dyDescent="0.3">
      <c r="B183" s="236" t="s">
        <v>127</v>
      </c>
      <c r="C183" s="237"/>
      <c r="D183" s="237"/>
      <c r="E183" s="237"/>
      <c r="F183" s="237"/>
      <c r="G183" s="237"/>
      <c r="H183" s="238"/>
      <c r="I183" s="168">
        <f>IF($H$10&gt;$R$31,$H$10,$R$31)</f>
        <v>533288000</v>
      </c>
      <c r="J183" s="169"/>
      <c r="K183" s="169"/>
      <c r="L183" s="169"/>
      <c r="M183" s="169"/>
      <c r="N183" s="170"/>
      <c r="Q183" s="81" t="s">
        <v>144</v>
      </c>
      <c r="T183" s="113">
        <f t="shared" si="32"/>
        <v>7</v>
      </c>
      <c r="U183" s="113" t="s">
        <v>145</v>
      </c>
      <c r="V183" s="114"/>
      <c r="W183" s="114">
        <f t="shared" si="33"/>
        <v>0</v>
      </c>
      <c r="X183" s="114"/>
      <c r="Y183" s="115">
        <v>0</v>
      </c>
      <c r="Z183" s="116">
        <v>1</v>
      </c>
      <c r="AA183" s="117">
        <f t="shared" si="28"/>
        <v>0</v>
      </c>
      <c r="AB183" s="118">
        <f t="shared" si="29"/>
        <v>1</v>
      </c>
      <c r="AC183" s="118">
        <f t="shared" si="27"/>
        <v>45615</v>
      </c>
      <c r="AD183" s="118">
        <f t="shared" si="30"/>
        <v>-45614</v>
      </c>
      <c r="AE183" s="117">
        <f t="shared" si="31"/>
        <v>0</v>
      </c>
    </row>
    <row r="184" spans="2:31" ht="15.75" customHeight="1" thickBot="1" x14ac:dyDescent="0.3">
      <c r="B184" s="183" t="s">
        <v>212</v>
      </c>
      <c r="C184" s="184"/>
      <c r="D184" s="184"/>
      <c r="E184" s="184"/>
      <c r="F184" s="184"/>
      <c r="G184" s="184"/>
      <c r="H184" s="184"/>
      <c r="I184" s="184"/>
      <c r="J184" s="184"/>
      <c r="K184" s="184"/>
      <c r="L184" s="184"/>
      <c r="M184" s="184"/>
      <c r="N184" s="185"/>
      <c r="P184" s="183" t="s">
        <v>146</v>
      </c>
      <c r="Q184" s="185"/>
      <c r="R184" s="99" t="s">
        <v>147</v>
      </c>
      <c r="T184" s="113">
        <f t="shared" si="32"/>
        <v>8</v>
      </c>
      <c r="U184" s="113" t="s">
        <v>148</v>
      </c>
      <c r="V184" s="114"/>
      <c r="W184" s="114">
        <f t="shared" si="33"/>
        <v>0</v>
      </c>
      <c r="X184" s="114"/>
      <c r="Y184" s="115">
        <v>0</v>
      </c>
      <c r="Z184" s="116">
        <v>1</v>
      </c>
      <c r="AA184" s="117">
        <f t="shared" si="28"/>
        <v>0</v>
      </c>
      <c r="AB184" s="118">
        <f t="shared" si="29"/>
        <v>1</v>
      </c>
      <c r="AC184" s="118">
        <f t="shared" si="27"/>
        <v>45615</v>
      </c>
      <c r="AD184" s="118">
        <f t="shared" si="30"/>
        <v>-45614</v>
      </c>
      <c r="AE184" s="117">
        <f t="shared" si="31"/>
        <v>0</v>
      </c>
    </row>
    <row r="185" spans="2:31" ht="15.75" customHeight="1" thickBot="1" x14ac:dyDescent="0.3">
      <c r="B185" s="183" t="s">
        <v>133</v>
      </c>
      <c r="C185" s="184"/>
      <c r="D185" s="184"/>
      <c r="E185" s="184"/>
      <c r="F185" s="184"/>
      <c r="G185" s="184"/>
      <c r="H185" s="184"/>
      <c r="I185" s="184"/>
      <c r="J185" s="184"/>
      <c r="K185" s="184"/>
      <c r="L185" s="184"/>
      <c r="M185" s="184"/>
      <c r="N185" s="185"/>
      <c r="P185" s="79">
        <v>0</v>
      </c>
      <c r="Q185" s="79">
        <v>3</v>
      </c>
      <c r="R185" s="79">
        <v>60</v>
      </c>
      <c r="T185" s="113">
        <f t="shared" si="32"/>
        <v>9</v>
      </c>
      <c r="U185" s="113" t="s">
        <v>149</v>
      </c>
      <c r="V185" s="114"/>
      <c r="W185" s="114">
        <f t="shared" si="33"/>
        <v>0</v>
      </c>
      <c r="X185" s="114"/>
      <c r="Y185" s="115">
        <v>0</v>
      </c>
      <c r="Z185" s="116">
        <v>1</v>
      </c>
      <c r="AA185" s="117">
        <f t="shared" si="28"/>
        <v>0</v>
      </c>
      <c r="AB185" s="118">
        <f t="shared" si="29"/>
        <v>1</v>
      </c>
      <c r="AC185" s="118">
        <f t="shared" si="27"/>
        <v>45615</v>
      </c>
      <c r="AD185" s="118">
        <f t="shared" si="30"/>
        <v>-45614</v>
      </c>
      <c r="AE185" s="117">
        <f t="shared" si="31"/>
        <v>0</v>
      </c>
    </row>
    <row r="186" spans="2:31" ht="15.75" customHeight="1" thickBot="1" x14ac:dyDescent="0.25">
      <c r="B186" s="122" t="s">
        <v>135</v>
      </c>
      <c r="C186" s="160" t="s">
        <v>136</v>
      </c>
      <c r="D186" s="122" t="s">
        <v>135</v>
      </c>
      <c r="E186" s="160" t="s">
        <v>136</v>
      </c>
      <c r="F186" s="122" t="s">
        <v>135</v>
      </c>
      <c r="G186" s="160" t="s">
        <v>136</v>
      </c>
      <c r="H186" s="122" t="s">
        <v>135</v>
      </c>
      <c r="I186" s="160" t="s">
        <v>136</v>
      </c>
      <c r="J186" s="122" t="s">
        <v>135</v>
      </c>
      <c r="K186" s="160" t="s">
        <v>136</v>
      </c>
      <c r="L186" s="122" t="s">
        <v>135</v>
      </c>
      <c r="M186" s="160" t="s">
        <v>136</v>
      </c>
      <c r="N186" s="195" t="s">
        <v>137</v>
      </c>
      <c r="P186" s="79">
        <v>3</v>
      </c>
      <c r="Q186" s="79">
        <v>6</v>
      </c>
      <c r="R186" s="79">
        <v>80</v>
      </c>
      <c r="T186" s="113">
        <f t="shared" si="32"/>
        <v>10</v>
      </c>
      <c r="U186" s="113" t="s">
        <v>150</v>
      </c>
      <c r="V186" s="114"/>
      <c r="W186" s="114">
        <f t="shared" si="33"/>
        <v>0</v>
      </c>
      <c r="X186" s="114"/>
      <c r="Y186" s="115">
        <v>0</v>
      </c>
      <c r="Z186" s="116">
        <v>1</v>
      </c>
      <c r="AA186" s="117">
        <f t="shared" si="28"/>
        <v>0</v>
      </c>
      <c r="AB186" s="118">
        <f t="shared" si="29"/>
        <v>1</v>
      </c>
      <c r="AC186" s="118">
        <f t="shared" si="27"/>
        <v>45615</v>
      </c>
      <c r="AD186" s="118">
        <f t="shared" si="30"/>
        <v>-45614</v>
      </c>
      <c r="AE186" s="117">
        <f t="shared" si="31"/>
        <v>0</v>
      </c>
    </row>
    <row r="187" spans="2:31" ht="15.75" customHeight="1" thickBot="1" x14ac:dyDescent="0.25">
      <c r="B187" s="123">
        <v>1</v>
      </c>
      <c r="C187" s="159"/>
      <c r="D187" s="123">
        <v>22</v>
      </c>
      <c r="E187" s="159"/>
      <c r="F187" s="123">
        <v>43</v>
      </c>
      <c r="G187" s="158"/>
      <c r="H187" s="123">
        <v>64</v>
      </c>
      <c r="I187" s="158"/>
      <c r="J187" s="123">
        <v>85</v>
      </c>
      <c r="K187" s="158"/>
      <c r="L187" s="123">
        <v>106</v>
      </c>
      <c r="M187" s="158"/>
      <c r="N187" s="196"/>
      <c r="P187" s="79">
        <v>6</v>
      </c>
      <c r="Q187" s="79">
        <v>10</v>
      </c>
      <c r="R187" s="79">
        <v>100</v>
      </c>
      <c r="T187" s="113">
        <f t="shared" si="32"/>
        <v>11</v>
      </c>
      <c r="U187" s="113" t="s">
        <v>151</v>
      </c>
      <c r="V187" s="114"/>
      <c r="W187" s="114">
        <f t="shared" si="33"/>
        <v>0</v>
      </c>
      <c r="X187" s="114"/>
      <c r="Y187" s="115">
        <v>0</v>
      </c>
      <c r="Z187" s="116">
        <v>1</v>
      </c>
      <c r="AA187" s="117">
        <f t="shared" si="28"/>
        <v>0</v>
      </c>
      <c r="AB187" s="118">
        <f t="shared" si="29"/>
        <v>1</v>
      </c>
      <c r="AC187" s="118">
        <f t="shared" si="27"/>
        <v>45615</v>
      </c>
      <c r="AD187" s="118">
        <f t="shared" si="30"/>
        <v>-45614</v>
      </c>
      <c r="AE187" s="117">
        <f t="shared" si="31"/>
        <v>0</v>
      </c>
    </row>
    <row r="188" spans="2:31" ht="15.75" customHeight="1" thickBot="1" x14ac:dyDescent="0.25">
      <c r="B188" s="123">
        <f>+B187+1</f>
        <v>2</v>
      </c>
      <c r="C188" s="159"/>
      <c r="D188" s="123">
        <f>+D187+1</f>
        <v>23</v>
      </c>
      <c r="E188" s="159"/>
      <c r="F188" s="123">
        <f>+F187+1</f>
        <v>44</v>
      </c>
      <c r="G188" s="158"/>
      <c r="H188" s="123">
        <f>+H187+1</f>
        <v>65</v>
      </c>
      <c r="I188" s="158"/>
      <c r="J188" s="123">
        <f>+J187+1</f>
        <v>86</v>
      </c>
      <c r="K188" s="158"/>
      <c r="L188" s="123">
        <f>+L187+1</f>
        <v>107</v>
      </c>
      <c r="M188" s="158"/>
      <c r="N188" s="196"/>
      <c r="P188" s="79">
        <v>10</v>
      </c>
      <c r="Q188" s="79"/>
      <c r="R188" s="79">
        <v>120</v>
      </c>
      <c r="T188" s="113">
        <f t="shared" si="32"/>
        <v>12</v>
      </c>
      <c r="U188" s="113" t="s">
        <v>152</v>
      </c>
      <c r="V188" s="114"/>
      <c r="W188" s="114">
        <f t="shared" si="33"/>
        <v>0</v>
      </c>
      <c r="X188" s="114"/>
      <c r="Y188" s="115">
        <v>0</v>
      </c>
      <c r="Z188" s="116">
        <v>1</v>
      </c>
      <c r="AA188" s="117">
        <f t="shared" si="28"/>
        <v>0</v>
      </c>
      <c r="AB188" s="118">
        <f t="shared" si="29"/>
        <v>1</v>
      </c>
      <c r="AC188" s="118">
        <f t="shared" si="27"/>
        <v>45615</v>
      </c>
      <c r="AD188" s="118">
        <f t="shared" si="30"/>
        <v>-45614</v>
      </c>
      <c r="AE188" s="117">
        <f t="shared" si="31"/>
        <v>0</v>
      </c>
    </row>
    <row r="189" spans="2:31" ht="15.75" customHeight="1" thickBot="1" x14ac:dyDescent="0.25">
      <c r="B189" s="123">
        <f t="shared" ref="B189:B207" si="34">+B188+1</f>
        <v>3</v>
      </c>
      <c r="C189" s="159"/>
      <c r="D189" s="123">
        <f t="shared" ref="D189:L207" si="35">+D188+1</f>
        <v>24</v>
      </c>
      <c r="E189" s="159"/>
      <c r="F189" s="123">
        <f t="shared" si="35"/>
        <v>45</v>
      </c>
      <c r="G189" s="158"/>
      <c r="H189" s="123">
        <f t="shared" si="35"/>
        <v>66</v>
      </c>
      <c r="I189" s="158"/>
      <c r="J189" s="123">
        <f t="shared" si="35"/>
        <v>87</v>
      </c>
      <c r="K189" s="158"/>
      <c r="L189" s="123">
        <f t="shared" si="35"/>
        <v>108</v>
      </c>
      <c r="M189" s="158"/>
      <c r="N189" s="196"/>
      <c r="P189" s="183" t="s">
        <v>153</v>
      </c>
      <c r="Q189" s="185"/>
      <c r="R189" s="99" t="s">
        <v>147</v>
      </c>
      <c r="T189" s="113">
        <f t="shared" si="32"/>
        <v>13</v>
      </c>
      <c r="U189" s="113" t="s">
        <v>154</v>
      </c>
      <c r="V189" s="114"/>
      <c r="W189" s="114">
        <f t="shared" si="33"/>
        <v>0</v>
      </c>
      <c r="X189" s="114"/>
      <c r="Y189" s="115">
        <v>0</v>
      </c>
      <c r="Z189" s="116">
        <v>1</v>
      </c>
      <c r="AA189" s="117">
        <f t="shared" si="28"/>
        <v>0</v>
      </c>
      <c r="AB189" s="118">
        <f t="shared" si="29"/>
        <v>1</v>
      </c>
      <c r="AC189" s="118">
        <f t="shared" si="27"/>
        <v>45615</v>
      </c>
      <c r="AD189" s="118">
        <f t="shared" si="30"/>
        <v>-45614</v>
      </c>
      <c r="AE189" s="117">
        <f t="shared" si="31"/>
        <v>0</v>
      </c>
    </row>
    <row r="190" spans="2:31" ht="15.75" customHeight="1" thickBot="1" x14ac:dyDescent="0.25">
      <c r="B190" s="123">
        <f t="shared" si="34"/>
        <v>4</v>
      </c>
      <c r="C190" s="159"/>
      <c r="D190" s="123">
        <f t="shared" si="35"/>
        <v>25</v>
      </c>
      <c r="E190" s="159"/>
      <c r="F190" s="123">
        <f t="shared" si="35"/>
        <v>46</v>
      </c>
      <c r="G190" s="158"/>
      <c r="H190" s="123">
        <f t="shared" si="35"/>
        <v>67</v>
      </c>
      <c r="I190" s="158"/>
      <c r="J190" s="123">
        <f t="shared" si="35"/>
        <v>88</v>
      </c>
      <c r="K190" s="158"/>
      <c r="L190" s="123">
        <f t="shared" si="35"/>
        <v>109</v>
      </c>
      <c r="M190" s="158"/>
      <c r="N190" s="196"/>
      <c r="P190" s="124">
        <v>0</v>
      </c>
      <c r="Q190" s="124">
        <v>0.5</v>
      </c>
      <c r="R190" s="79">
        <v>20</v>
      </c>
      <c r="T190" s="113">
        <f t="shared" si="32"/>
        <v>14</v>
      </c>
      <c r="U190" s="113" t="s">
        <v>155</v>
      </c>
      <c r="V190" s="114"/>
      <c r="W190" s="114">
        <f t="shared" si="33"/>
        <v>0</v>
      </c>
      <c r="X190" s="114"/>
      <c r="Y190" s="115">
        <v>0</v>
      </c>
      <c r="Z190" s="116">
        <v>1</v>
      </c>
      <c r="AA190" s="117">
        <f t="shared" si="28"/>
        <v>0</v>
      </c>
      <c r="AB190" s="118">
        <f t="shared" si="29"/>
        <v>1</v>
      </c>
      <c r="AC190" s="118">
        <f t="shared" si="27"/>
        <v>45615</v>
      </c>
      <c r="AD190" s="118">
        <f t="shared" si="30"/>
        <v>-45614</v>
      </c>
      <c r="AE190" s="117">
        <f t="shared" si="31"/>
        <v>0</v>
      </c>
    </row>
    <row r="191" spans="2:31" ht="15.75" customHeight="1" thickBot="1" x14ac:dyDescent="0.25">
      <c r="B191" s="123">
        <f t="shared" si="34"/>
        <v>5</v>
      </c>
      <c r="C191" s="159"/>
      <c r="D191" s="123">
        <f t="shared" si="35"/>
        <v>26</v>
      </c>
      <c r="E191" s="159"/>
      <c r="F191" s="123">
        <f t="shared" si="35"/>
        <v>47</v>
      </c>
      <c r="G191" s="158"/>
      <c r="H191" s="123">
        <f t="shared" si="35"/>
        <v>68</v>
      </c>
      <c r="I191" s="158"/>
      <c r="J191" s="123">
        <f t="shared" si="35"/>
        <v>89</v>
      </c>
      <c r="K191" s="158"/>
      <c r="L191" s="123">
        <f t="shared" si="35"/>
        <v>110</v>
      </c>
      <c r="M191" s="158"/>
      <c r="N191" s="196"/>
      <c r="P191" s="124">
        <v>0.5</v>
      </c>
      <c r="Q191" s="124">
        <v>0.75</v>
      </c>
      <c r="R191" s="79">
        <v>25</v>
      </c>
      <c r="T191" s="113">
        <f t="shared" si="32"/>
        <v>15</v>
      </c>
      <c r="U191" s="113" t="s">
        <v>156</v>
      </c>
      <c r="V191" s="114"/>
      <c r="W191" s="114">
        <f t="shared" si="33"/>
        <v>0</v>
      </c>
      <c r="X191" s="114"/>
      <c r="Y191" s="115">
        <v>0</v>
      </c>
      <c r="Z191" s="116">
        <v>1</v>
      </c>
      <c r="AA191" s="117">
        <f t="shared" si="28"/>
        <v>0</v>
      </c>
      <c r="AB191" s="118">
        <f t="shared" si="29"/>
        <v>1</v>
      </c>
      <c r="AC191" s="118">
        <f t="shared" si="27"/>
        <v>45615</v>
      </c>
      <c r="AD191" s="118">
        <f t="shared" si="30"/>
        <v>-45614</v>
      </c>
      <c r="AE191" s="117">
        <f t="shared" si="31"/>
        <v>0</v>
      </c>
    </row>
    <row r="192" spans="2:31" ht="15.75" customHeight="1" thickBot="1" x14ac:dyDescent="0.25">
      <c r="B192" s="123">
        <f t="shared" si="34"/>
        <v>6</v>
      </c>
      <c r="C192" s="159"/>
      <c r="D192" s="123">
        <f t="shared" si="35"/>
        <v>27</v>
      </c>
      <c r="E192" s="159"/>
      <c r="F192" s="123">
        <f t="shared" si="35"/>
        <v>48</v>
      </c>
      <c r="G192" s="158"/>
      <c r="H192" s="123">
        <f t="shared" si="35"/>
        <v>69</v>
      </c>
      <c r="I192" s="158"/>
      <c r="J192" s="123">
        <f t="shared" si="35"/>
        <v>90</v>
      </c>
      <c r="K192" s="158"/>
      <c r="L192" s="123">
        <f t="shared" si="35"/>
        <v>111</v>
      </c>
      <c r="M192" s="158"/>
      <c r="N192" s="196"/>
      <c r="P192" s="124">
        <v>0.75</v>
      </c>
      <c r="Q192" s="124">
        <v>1</v>
      </c>
      <c r="R192" s="79">
        <v>30</v>
      </c>
      <c r="T192" s="113">
        <f t="shared" si="32"/>
        <v>16</v>
      </c>
      <c r="U192" s="113" t="s">
        <v>157</v>
      </c>
      <c r="V192" s="114"/>
      <c r="W192" s="114">
        <f t="shared" si="33"/>
        <v>0</v>
      </c>
      <c r="X192" s="114"/>
      <c r="Y192" s="115">
        <v>0</v>
      </c>
      <c r="Z192" s="116">
        <v>1</v>
      </c>
      <c r="AA192" s="117">
        <f t="shared" si="28"/>
        <v>0</v>
      </c>
      <c r="AB192" s="118">
        <f t="shared" si="29"/>
        <v>1</v>
      </c>
      <c r="AC192" s="118">
        <f t="shared" si="27"/>
        <v>45615</v>
      </c>
      <c r="AD192" s="118">
        <f t="shared" si="30"/>
        <v>-45614</v>
      </c>
      <c r="AE192" s="117">
        <f t="shared" si="31"/>
        <v>0</v>
      </c>
    </row>
    <row r="193" spans="2:31" ht="15.75" customHeight="1" thickBot="1" x14ac:dyDescent="0.25">
      <c r="B193" s="123">
        <f t="shared" si="34"/>
        <v>7</v>
      </c>
      <c r="C193" s="159"/>
      <c r="D193" s="123">
        <f t="shared" si="35"/>
        <v>28</v>
      </c>
      <c r="E193" s="159"/>
      <c r="F193" s="123">
        <f t="shared" si="35"/>
        <v>49</v>
      </c>
      <c r="G193" s="158"/>
      <c r="H193" s="123">
        <f t="shared" si="35"/>
        <v>70</v>
      </c>
      <c r="I193" s="158"/>
      <c r="J193" s="123">
        <f t="shared" si="35"/>
        <v>91</v>
      </c>
      <c r="K193" s="158"/>
      <c r="L193" s="123">
        <f t="shared" si="35"/>
        <v>112</v>
      </c>
      <c r="M193" s="158"/>
      <c r="N193" s="196"/>
      <c r="P193" s="124">
        <v>1</v>
      </c>
      <c r="Q193" s="124">
        <v>1.5</v>
      </c>
      <c r="R193" s="79">
        <v>35</v>
      </c>
      <c r="T193" s="113">
        <f t="shared" si="32"/>
        <v>17</v>
      </c>
      <c r="U193" s="113" t="s">
        <v>158</v>
      </c>
      <c r="V193" s="114"/>
      <c r="W193" s="114">
        <f t="shared" si="33"/>
        <v>0</v>
      </c>
      <c r="X193" s="114"/>
      <c r="Y193" s="115">
        <v>0</v>
      </c>
      <c r="Z193" s="116">
        <v>1</v>
      </c>
      <c r="AA193" s="117">
        <f t="shared" si="28"/>
        <v>0</v>
      </c>
      <c r="AB193" s="118">
        <f t="shared" si="29"/>
        <v>1</v>
      </c>
      <c r="AC193" s="118">
        <f t="shared" si="27"/>
        <v>45615</v>
      </c>
      <c r="AD193" s="118">
        <f t="shared" si="30"/>
        <v>-45614</v>
      </c>
      <c r="AE193" s="117">
        <f t="shared" si="31"/>
        <v>0</v>
      </c>
    </row>
    <row r="194" spans="2:31" ht="15.75" customHeight="1" thickBot="1" x14ac:dyDescent="0.25">
      <c r="B194" s="123">
        <f t="shared" si="34"/>
        <v>8</v>
      </c>
      <c r="C194" s="159"/>
      <c r="D194" s="123">
        <f t="shared" si="35"/>
        <v>29</v>
      </c>
      <c r="E194" s="159"/>
      <c r="F194" s="123">
        <f t="shared" si="35"/>
        <v>50</v>
      </c>
      <c r="G194" s="158"/>
      <c r="H194" s="123">
        <f t="shared" si="35"/>
        <v>71</v>
      </c>
      <c r="I194" s="158"/>
      <c r="J194" s="123">
        <f t="shared" si="35"/>
        <v>92</v>
      </c>
      <c r="K194" s="158"/>
      <c r="L194" s="123">
        <f t="shared" si="35"/>
        <v>113</v>
      </c>
      <c r="M194" s="158"/>
      <c r="N194" s="196"/>
      <c r="P194" s="124">
        <v>1.5</v>
      </c>
      <c r="Q194" s="124"/>
      <c r="R194" s="79">
        <v>40</v>
      </c>
      <c r="T194" s="113">
        <f t="shared" si="32"/>
        <v>18</v>
      </c>
      <c r="U194" s="113" t="s">
        <v>159</v>
      </c>
      <c r="V194" s="114"/>
      <c r="W194" s="114">
        <f t="shared" si="33"/>
        <v>0</v>
      </c>
      <c r="X194" s="114"/>
      <c r="Y194" s="115">
        <v>0</v>
      </c>
      <c r="Z194" s="116">
        <v>1</v>
      </c>
      <c r="AA194" s="117">
        <f t="shared" si="28"/>
        <v>0</v>
      </c>
      <c r="AB194" s="118">
        <f t="shared" si="29"/>
        <v>1</v>
      </c>
      <c r="AC194" s="118">
        <f t="shared" si="27"/>
        <v>45615</v>
      </c>
      <c r="AD194" s="118">
        <f t="shared" si="30"/>
        <v>-45614</v>
      </c>
      <c r="AE194" s="117">
        <f t="shared" si="31"/>
        <v>0</v>
      </c>
    </row>
    <row r="195" spans="2:31" ht="15.75" customHeight="1" thickBot="1" x14ac:dyDescent="0.25">
      <c r="B195" s="123">
        <f t="shared" si="34"/>
        <v>9</v>
      </c>
      <c r="C195" s="159"/>
      <c r="D195" s="123">
        <f t="shared" si="35"/>
        <v>30</v>
      </c>
      <c r="E195" s="159"/>
      <c r="F195" s="123">
        <f t="shared" si="35"/>
        <v>51</v>
      </c>
      <c r="G195" s="158"/>
      <c r="H195" s="123">
        <f t="shared" si="35"/>
        <v>72</v>
      </c>
      <c r="I195" s="158"/>
      <c r="J195" s="123">
        <f t="shared" si="35"/>
        <v>93</v>
      </c>
      <c r="K195" s="158"/>
      <c r="L195" s="123">
        <f t="shared" si="35"/>
        <v>114</v>
      </c>
      <c r="M195" s="158"/>
      <c r="N195" s="196"/>
      <c r="P195" s="183" t="s">
        <v>160</v>
      </c>
      <c r="Q195" s="185"/>
      <c r="R195" s="99" t="s">
        <v>147</v>
      </c>
      <c r="T195" s="113">
        <f t="shared" si="32"/>
        <v>19</v>
      </c>
      <c r="U195" s="113" t="s">
        <v>161</v>
      </c>
      <c r="V195" s="114"/>
      <c r="W195" s="114">
        <f t="shared" si="33"/>
        <v>0</v>
      </c>
      <c r="X195" s="114"/>
      <c r="Y195" s="115">
        <v>0</v>
      </c>
      <c r="Z195" s="116">
        <v>1</v>
      </c>
      <c r="AA195" s="117">
        <f t="shared" si="28"/>
        <v>0</v>
      </c>
      <c r="AB195" s="118">
        <f t="shared" si="29"/>
        <v>1</v>
      </c>
      <c r="AC195" s="118">
        <f t="shared" si="27"/>
        <v>45615</v>
      </c>
      <c r="AD195" s="118">
        <f t="shared" si="30"/>
        <v>-45614</v>
      </c>
      <c r="AE195" s="117">
        <f t="shared" si="31"/>
        <v>0</v>
      </c>
    </row>
    <row r="196" spans="2:31" ht="15.75" customHeight="1" thickBot="1" x14ac:dyDescent="0.25">
      <c r="B196" s="123">
        <f t="shared" si="34"/>
        <v>10</v>
      </c>
      <c r="C196" s="159"/>
      <c r="D196" s="123">
        <f t="shared" si="35"/>
        <v>31</v>
      </c>
      <c r="E196" s="159"/>
      <c r="F196" s="123">
        <f t="shared" si="35"/>
        <v>52</v>
      </c>
      <c r="G196" s="158"/>
      <c r="H196" s="123">
        <f t="shared" si="35"/>
        <v>73</v>
      </c>
      <c r="I196" s="158"/>
      <c r="J196" s="123">
        <f t="shared" si="35"/>
        <v>94</v>
      </c>
      <c r="K196" s="158"/>
      <c r="L196" s="123">
        <f t="shared" si="35"/>
        <v>115</v>
      </c>
      <c r="M196" s="158"/>
      <c r="N196" s="196"/>
      <c r="P196" s="79"/>
      <c r="Q196" s="79"/>
      <c r="R196" s="79">
        <v>0</v>
      </c>
      <c r="T196" s="113">
        <f t="shared" si="32"/>
        <v>20</v>
      </c>
      <c r="U196" s="113" t="s">
        <v>162</v>
      </c>
      <c r="V196" s="114"/>
      <c r="W196" s="114">
        <f t="shared" si="33"/>
        <v>0</v>
      </c>
      <c r="X196" s="114"/>
      <c r="Y196" s="115">
        <v>0</v>
      </c>
      <c r="Z196" s="116">
        <v>1</v>
      </c>
      <c r="AA196" s="117">
        <f t="shared" si="28"/>
        <v>0</v>
      </c>
      <c r="AB196" s="118">
        <f t="shared" si="29"/>
        <v>1</v>
      </c>
      <c r="AC196" s="118">
        <f t="shared" si="27"/>
        <v>45615</v>
      </c>
      <c r="AD196" s="118">
        <f t="shared" si="30"/>
        <v>-45614</v>
      </c>
      <c r="AE196" s="117">
        <f t="shared" si="31"/>
        <v>0</v>
      </c>
    </row>
    <row r="197" spans="2:31" ht="15.75" customHeight="1" thickBot="1" x14ac:dyDescent="0.25">
      <c r="B197" s="123">
        <f t="shared" si="34"/>
        <v>11</v>
      </c>
      <c r="C197" s="158"/>
      <c r="D197" s="123">
        <f t="shared" si="35"/>
        <v>32</v>
      </c>
      <c r="E197" s="158"/>
      <c r="F197" s="123">
        <f t="shared" si="35"/>
        <v>53</v>
      </c>
      <c r="G197" s="158"/>
      <c r="H197" s="123">
        <f t="shared" si="35"/>
        <v>74</v>
      </c>
      <c r="I197" s="158"/>
      <c r="J197" s="123">
        <f t="shared" si="35"/>
        <v>95</v>
      </c>
      <c r="K197" s="158"/>
      <c r="L197" s="123">
        <f t="shared" si="35"/>
        <v>116</v>
      </c>
      <c r="M197" s="158"/>
      <c r="N197" s="196"/>
      <c r="P197" s="79">
        <v>0</v>
      </c>
      <c r="Q197" s="79">
        <v>5</v>
      </c>
      <c r="R197" s="79">
        <v>20</v>
      </c>
      <c r="T197" s="113">
        <f t="shared" si="32"/>
        <v>21</v>
      </c>
      <c r="U197" s="113" t="s">
        <v>163</v>
      </c>
      <c r="V197" s="114"/>
      <c r="W197" s="114">
        <f t="shared" si="33"/>
        <v>0</v>
      </c>
      <c r="X197" s="114"/>
      <c r="Y197" s="115">
        <v>0</v>
      </c>
      <c r="Z197" s="116">
        <v>1</v>
      </c>
      <c r="AA197" s="117">
        <f t="shared" si="28"/>
        <v>0</v>
      </c>
      <c r="AB197" s="118">
        <f t="shared" si="29"/>
        <v>1</v>
      </c>
      <c r="AC197" s="118">
        <f t="shared" si="27"/>
        <v>45615</v>
      </c>
      <c r="AD197" s="118">
        <f t="shared" si="30"/>
        <v>-45614</v>
      </c>
      <c r="AE197" s="117">
        <f t="shared" si="31"/>
        <v>0</v>
      </c>
    </row>
    <row r="198" spans="2:31" ht="15.75" customHeight="1" thickBot="1" x14ac:dyDescent="0.25">
      <c r="B198" s="123">
        <f t="shared" si="34"/>
        <v>12</v>
      </c>
      <c r="C198" s="158"/>
      <c r="D198" s="123">
        <f t="shared" si="35"/>
        <v>33</v>
      </c>
      <c r="E198" s="158"/>
      <c r="F198" s="123">
        <f t="shared" si="35"/>
        <v>54</v>
      </c>
      <c r="G198" s="158"/>
      <c r="H198" s="123">
        <f t="shared" si="35"/>
        <v>75</v>
      </c>
      <c r="I198" s="158"/>
      <c r="J198" s="123">
        <f t="shared" si="35"/>
        <v>96</v>
      </c>
      <c r="K198" s="158"/>
      <c r="L198" s="123">
        <f t="shared" si="35"/>
        <v>117</v>
      </c>
      <c r="M198" s="158"/>
      <c r="N198" s="196"/>
      <c r="P198" s="79">
        <v>5</v>
      </c>
      <c r="Q198" s="79">
        <v>10</v>
      </c>
      <c r="R198" s="79">
        <v>30</v>
      </c>
      <c r="T198" s="113">
        <f t="shared" si="32"/>
        <v>22</v>
      </c>
      <c r="U198" s="113" t="s">
        <v>164</v>
      </c>
      <c r="V198" s="114"/>
      <c r="W198" s="114">
        <f t="shared" si="33"/>
        <v>0</v>
      </c>
      <c r="X198" s="114"/>
      <c r="Y198" s="115">
        <v>0</v>
      </c>
      <c r="Z198" s="116">
        <v>1</v>
      </c>
      <c r="AA198" s="117">
        <f t="shared" si="28"/>
        <v>0</v>
      </c>
      <c r="AB198" s="118">
        <f t="shared" si="29"/>
        <v>1</v>
      </c>
      <c r="AC198" s="118">
        <f t="shared" si="27"/>
        <v>45615</v>
      </c>
      <c r="AD198" s="118">
        <f t="shared" si="30"/>
        <v>-45614</v>
      </c>
      <c r="AE198" s="117">
        <f t="shared" si="31"/>
        <v>0</v>
      </c>
    </row>
    <row r="199" spans="2:31" ht="15.75" customHeight="1" thickBot="1" x14ac:dyDescent="0.25">
      <c r="B199" s="123">
        <f t="shared" si="34"/>
        <v>13</v>
      </c>
      <c r="C199" s="158"/>
      <c r="D199" s="123">
        <f t="shared" si="35"/>
        <v>34</v>
      </c>
      <c r="E199" s="158"/>
      <c r="F199" s="123">
        <f t="shared" si="35"/>
        <v>55</v>
      </c>
      <c r="G199" s="158"/>
      <c r="H199" s="123">
        <f t="shared" si="35"/>
        <v>76</v>
      </c>
      <c r="I199" s="158"/>
      <c r="J199" s="123">
        <f t="shared" si="35"/>
        <v>97</v>
      </c>
      <c r="K199" s="158"/>
      <c r="L199" s="123">
        <f t="shared" si="35"/>
        <v>118</v>
      </c>
      <c r="M199" s="158"/>
      <c r="N199" s="196"/>
      <c r="P199" s="79">
        <v>10</v>
      </c>
      <c r="Q199" s="79"/>
      <c r="R199" s="79">
        <v>40</v>
      </c>
      <c r="T199" s="113">
        <f t="shared" si="32"/>
        <v>23</v>
      </c>
      <c r="U199" s="113" t="s">
        <v>165</v>
      </c>
      <c r="V199" s="114"/>
      <c r="W199" s="114">
        <f t="shared" si="33"/>
        <v>0</v>
      </c>
      <c r="X199" s="114"/>
      <c r="Y199" s="115">
        <v>0</v>
      </c>
      <c r="Z199" s="116">
        <v>1</v>
      </c>
      <c r="AA199" s="117">
        <f t="shared" si="28"/>
        <v>0</v>
      </c>
      <c r="AB199" s="118">
        <f t="shared" si="29"/>
        <v>1</v>
      </c>
      <c r="AC199" s="118">
        <f t="shared" si="27"/>
        <v>45615</v>
      </c>
      <c r="AD199" s="118">
        <f t="shared" si="30"/>
        <v>-45614</v>
      </c>
      <c r="AE199" s="117">
        <f t="shared" si="31"/>
        <v>0</v>
      </c>
    </row>
    <row r="200" spans="2:31" ht="15.75" customHeight="1" thickBot="1" x14ac:dyDescent="0.25">
      <c r="B200" s="123">
        <f t="shared" si="34"/>
        <v>14</v>
      </c>
      <c r="C200" s="158"/>
      <c r="D200" s="123">
        <f t="shared" si="35"/>
        <v>35</v>
      </c>
      <c r="E200" s="158"/>
      <c r="F200" s="123">
        <f t="shared" si="35"/>
        <v>56</v>
      </c>
      <c r="G200" s="158"/>
      <c r="H200" s="123">
        <f t="shared" si="35"/>
        <v>77</v>
      </c>
      <c r="I200" s="158"/>
      <c r="J200" s="123">
        <f t="shared" si="35"/>
        <v>98</v>
      </c>
      <c r="K200" s="158"/>
      <c r="L200" s="123">
        <f t="shared" si="35"/>
        <v>119</v>
      </c>
      <c r="M200" s="158"/>
      <c r="N200" s="196"/>
      <c r="T200" s="113">
        <f t="shared" si="32"/>
        <v>24</v>
      </c>
      <c r="U200" s="113" t="s">
        <v>166</v>
      </c>
      <c r="V200" s="114"/>
      <c r="W200" s="114">
        <f t="shared" si="33"/>
        <v>0</v>
      </c>
      <c r="X200" s="114"/>
      <c r="Y200" s="115">
        <v>0</v>
      </c>
      <c r="Z200" s="116">
        <v>1</v>
      </c>
      <c r="AA200" s="117">
        <f t="shared" si="28"/>
        <v>0</v>
      </c>
      <c r="AB200" s="118">
        <f t="shared" si="29"/>
        <v>1</v>
      </c>
      <c r="AC200" s="118">
        <f t="shared" si="27"/>
        <v>45615</v>
      </c>
      <c r="AD200" s="118">
        <f t="shared" si="30"/>
        <v>-45614</v>
      </c>
      <c r="AE200" s="117">
        <f t="shared" si="31"/>
        <v>0</v>
      </c>
    </row>
    <row r="201" spans="2:31" ht="15.75" customHeight="1" thickBot="1" x14ac:dyDescent="0.25">
      <c r="B201" s="123">
        <f t="shared" si="34"/>
        <v>15</v>
      </c>
      <c r="C201" s="158"/>
      <c r="D201" s="123">
        <f t="shared" si="35"/>
        <v>36</v>
      </c>
      <c r="E201" s="158"/>
      <c r="F201" s="123">
        <f t="shared" si="35"/>
        <v>57</v>
      </c>
      <c r="G201" s="158"/>
      <c r="H201" s="123">
        <f t="shared" si="35"/>
        <v>78</v>
      </c>
      <c r="I201" s="158"/>
      <c r="J201" s="123">
        <f t="shared" si="35"/>
        <v>99</v>
      </c>
      <c r="K201" s="158"/>
      <c r="L201" s="123">
        <f t="shared" si="35"/>
        <v>120</v>
      </c>
      <c r="M201" s="158"/>
      <c r="N201" s="196"/>
      <c r="O201" s="125"/>
      <c r="R201" s="130" t="s">
        <v>213</v>
      </c>
      <c r="T201" s="113">
        <f t="shared" si="32"/>
        <v>25</v>
      </c>
      <c r="U201" s="113" t="s">
        <v>168</v>
      </c>
      <c r="V201" s="114"/>
      <c r="W201" s="114">
        <f t="shared" si="33"/>
        <v>0</v>
      </c>
      <c r="X201" s="114"/>
      <c r="Y201" s="115">
        <v>0</v>
      </c>
      <c r="Z201" s="116">
        <v>1</v>
      </c>
      <c r="AA201" s="117">
        <f t="shared" si="28"/>
        <v>0</v>
      </c>
      <c r="AB201" s="118">
        <f t="shared" si="29"/>
        <v>1</v>
      </c>
      <c r="AC201" s="118">
        <f t="shared" si="27"/>
        <v>45615</v>
      </c>
      <c r="AD201" s="118">
        <f t="shared" si="30"/>
        <v>-45614</v>
      </c>
      <c r="AE201" s="117">
        <f t="shared" si="31"/>
        <v>0</v>
      </c>
    </row>
    <row r="202" spans="2:31" ht="15.75" customHeight="1" thickBot="1" x14ac:dyDescent="0.25">
      <c r="B202" s="123">
        <f t="shared" si="34"/>
        <v>16</v>
      </c>
      <c r="C202" s="158"/>
      <c r="D202" s="123">
        <f t="shared" si="35"/>
        <v>37</v>
      </c>
      <c r="E202" s="158"/>
      <c r="F202" s="123">
        <f t="shared" si="35"/>
        <v>58</v>
      </c>
      <c r="G202" s="158"/>
      <c r="H202" s="123">
        <f t="shared" si="35"/>
        <v>79</v>
      </c>
      <c r="I202" s="158"/>
      <c r="J202" s="123">
        <f t="shared" si="35"/>
        <v>100</v>
      </c>
      <c r="K202" s="158"/>
      <c r="L202" s="123">
        <f t="shared" si="35"/>
        <v>121</v>
      </c>
      <c r="M202" s="158"/>
      <c r="N202" s="196"/>
      <c r="O202" s="125"/>
      <c r="P202" s="82" t="s">
        <v>201</v>
      </c>
      <c r="R202" s="131">
        <v>17282722097</v>
      </c>
      <c r="T202" s="113">
        <f t="shared" si="32"/>
        <v>26</v>
      </c>
      <c r="U202" s="113" t="s">
        <v>170</v>
      </c>
      <c r="V202" s="114"/>
      <c r="W202" s="114">
        <f t="shared" si="33"/>
        <v>0</v>
      </c>
      <c r="X202" s="114"/>
      <c r="Y202" s="115">
        <v>0</v>
      </c>
      <c r="Z202" s="116">
        <v>1</v>
      </c>
      <c r="AA202" s="117">
        <f t="shared" si="28"/>
        <v>0</v>
      </c>
      <c r="AB202" s="118">
        <f t="shared" si="29"/>
        <v>1</v>
      </c>
      <c r="AC202" s="118">
        <f t="shared" si="27"/>
        <v>45615</v>
      </c>
      <c r="AD202" s="118">
        <f t="shared" si="30"/>
        <v>-45614</v>
      </c>
      <c r="AE202" s="117">
        <f t="shared" si="31"/>
        <v>0</v>
      </c>
    </row>
    <row r="203" spans="2:31" ht="15.75" customHeight="1" thickBot="1" x14ac:dyDescent="0.25">
      <c r="B203" s="123">
        <f t="shared" si="34"/>
        <v>17</v>
      </c>
      <c r="C203" s="158"/>
      <c r="D203" s="123">
        <f t="shared" si="35"/>
        <v>38</v>
      </c>
      <c r="E203" s="158"/>
      <c r="F203" s="123">
        <f t="shared" si="35"/>
        <v>59</v>
      </c>
      <c r="G203" s="158"/>
      <c r="H203" s="123">
        <f t="shared" si="35"/>
        <v>80</v>
      </c>
      <c r="I203" s="158"/>
      <c r="J203" s="123">
        <f t="shared" si="35"/>
        <v>101</v>
      </c>
      <c r="K203" s="158"/>
      <c r="L203" s="123">
        <f t="shared" si="35"/>
        <v>122</v>
      </c>
      <c r="M203" s="158"/>
      <c r="N203" s="196"/>
      <c r="O203" s="125"/>
      <c r="P203" s="82" t="s">
        <v>214</v>
      </c>
      <c r="R203" s="131">
        <v>14101948434</v>
      </c>
      <c r="T203" s="113">
        <f t="shared" si="32"/>
        <v>27</v>
      </c>
      <c r="U203" s="113" t="s">
        <v>172</v>
      </c>
      <c r="V203" s="114"/>
      <c r="W203" s="114">
        <f t="shared" si="33"/>
        <v>0</v>
      </c>
      <c r="X203" s="114"/>
      <c r="Y203" s="115">
        <v>0</v>
      </c>
      <c r="Z203" s="116">
        <v>1</v>
      </c>
      <c r="AA203" s="117">
        <f t="shared" si="28"/>
        <v>0</v>
      </c>
      <c r="AB203" s="118">
        <f t="shared" si="29"/>
        <v>1</v>
      </c>
      <c r="AC203" s="118">
        <f t="shared" si="27"/>
        <v>45615</v>
      </c>
      <c r="AD203" s="118">
        <f t="shared" si="30"/>
        <v>-45614</v>
      </c>
      <c r="AE203" s="117">
        <f t="shared" si="31"/>
        <v>0</v>
      </c>
    </row>
    <row r="204" spans="2:31" ht="15.75" customHeight="1" thickBot="1" x14ac:dyDescent="0.25">
      <c r="B204" s="123">
        <f t="shared" si="34"/>
        <v>18</v>
      </c>
      <c r="C204" s="158"/>
      <c r="D204" s="123">
        <f t="shared" si="35"/>
        <v>39</v>
      </c>
      <c r="E204" s="158"/>
      <c r="F204" s="123">
        <f t="shared" si="35"/>
        <v>60</v>
      </c>
      <c r="G204" s="158"/>
      <c r="H204" s="123">
        <f t="shared" si="35"/>
        <v>81</v>
      </c>
      <c r="I204" s="158"/>
      <c r="J204" s="123">
        <f t="shared" si="35"/>
        <v>102</v>
      </c>
      <c r="K204" s="158"/>
      <c r="L204" s="123">
        <f t="shared" si="35"/>
        <v>123</v>
      </c>
      <c r="M204" s="158"/>
      <c r="N204" s="196"/>
      <c r="O204" s="125"/>
      <c r="P204" s="82" t="s">
        <v>202</v>
      </c>
      <c r="R204" s="131">
        <v>8860786921</v>
      </c>
      <c r="T204" s="113">
        <f t="shared" si="32"/>
        <v>28</v>
      </c>
      <c r="U204" s="113" t="s">
        <v>174</v>
      </c>
      <c r="V204" s="114"/>
      <c r="W204" s="114">
        <f t="shared" si="33"/>
        <v>0</v>
      </c>
      <c r="X204" s="114"/>
      <c r="Y204" s="115">
        <v>0</v>
      </c>
      <c r="Z204" s="116">
        <v>1</v>
      </c>
      <c r="AA204" s="117">
        <f t="shared" si="28"/>
        <v>0</v>
      </c>
      <c r="AB204" s="118">
        <f t="shared" si="29"/>
        <v>1</v>
      </c>
      <c r="AC204" s="118">
        <f t="shared" si="27"/>
        <v>45615</v>
      </c>
      <c r="AD204" s="118">
        <f t="shared" si="30"/>
        <v>-45614</v>
      </c>
      <c r="AE204" s="117">
        <f t="shared" si="31"/>
        <v>0</v>
      </c>
    </row>
    <row r="205" spans="2:31" ht="15.75" customHeight="1" thickBot="1" x14ac:dyDescent="0.25">
      <c r="B205" s="123">
        <f t="shared" si="34"/>
        <v>19</v>
      </c>
      <c r="C205" s="158"/>
      <c r="D205" s="123">
        <f t="shared" si="35"/>
        <v>40</v>
      </c>
      <c r="E205" s="158"/>
      <c r="F205" s="123">
        <f t="shared" si="35"/>
        <v>61</v>
      </c>
      <c r="G205" s="158"/>
      <c r="H205" s="123">
        <f t="shared" si="35"/>
        <v>82</v>
      </c>
      <c r="I205" s="158"/>
      <c r="J205" s="123">
        <f t="shared" si="35"/>
        <v>103</v>
      </c>
      <c r="K205" s="158"/>
      <c r="L205" s="123">
        <f t="shared" si="35"/>
        <v>124</v>
      </c>
      <c r="M205" s="158"/>
      <c r="N205" s="196"/>
      <c r="O205" s="125"/>
      <c r="P205" s="82" t="s">
        <v>203</v>
      </c>
      <c r="R205" s="131">
        <v>19587312969</v>
      </c>
      <c r="T205" s="113">
        <f t="shared" si="32"/>
        <v>29</v>
      </c>
      <c r="U205" s="113" t="s">
        <v>176</v>
      </c>
      <c r="V205" s="114"/>
      <c r="W205" s="114">
        <f t="shared" si="33"/>
        <v>0</v>
      </c>
      <c r="X205" s="114"/>
      <c r="Y205" s="115">
        <v>0</v>
      </c>
      <c r="Z205" s="116">
        <v>1</v>
      </c>
      <c r="AA205" s="117">
        <f t="shared" si="28"/>
        <v>0</v>
      </c>
      <c r="AB205" s="118">
        <f t="shared" si="29"/>
        <v>1</v>
      </c>
      <c r="AC205" s="118">
        <f t="shared" si="27"/>
        <v>45615</v>
      </c>
      <c r="AD205" s="118">
        <f t="shared" si="30"/>
        <v>-45614</v>
      </c>
      <c r="AE205" s="117">
        <f t="shared" si="31"/>
        <v>0</v>
      </c>
    </row>
    <row r="206" spans="2:31" ht="15.75" customHeight="1" thickBot="1" x14ac:dyDescent="0.25">
      <c r="B206" s="123">
        <f t="shared" si="34"/>
        <v>20</v>
      </c>
      <c r="C206" s="158"/>
      <c r="D206" s="123">
        <f t="shared" si="35"/>
        <v>41</v>
      </c>
      <c r="E206" s="158"/>
      <c r="F206" s="123">
        <f t="shared" si="35"/>
        <v>62</v>
      </c>
      <c r="G206" s="158"/>
      <c r="H206" s="123">
        <f t="shared" si="35"/>
        <v>83</v>
      </c>
      <c r="I206" s="158"/>
      <c r="J206" s="123">
        <f t="shared" si="35"/>
        <v>104</v>
      </c>
      <c r="K206" s="158"/>
      <c r="L206" s="123">
        <f t="shared" si="35"/>
        <v>125</v>
      </c>
      <c r="M206" s="158"/>
      <c r="N206" s="196"/>
      <c r="O206" s="125"/>
      <c r="P206" s="82" t="s">
        <v>204</v>
      </c>
      <c r="R206" s="131">
        <v>10049355290</v>
      </c>
      <c r="T206" s="113">
        <f t="shared" si="32"/>
        <v>30</v>
      </c>
      <c r="U206" s="113" t="s">
        <v>178</v>
      </c>
      <c r="V206" s="114"/>
      <c r="W206" s="114">
        <f t="shared" si="33"/>
        <v>0</v>
      </c>
      <c r="X206" s="114"/>
      <c r="Y206" s="115">
        <v>0</v>
      </c>
      <c r="Z206" s="116">
        <v>1</v>
      </c>
      <c r="AA206" s="117">
        <f t="shared" si="28"/>
        <v>0</v>
      </c>
      <c r="AB206" s="118">
        <f t="shared" si="29"/>
        <v>1</v>
      </c>
      <c r="AC206" s="118">
        <f t="shared" si="27"/>
        <v>45615</v>
      </c>
      <c r="AD206" s="118">
        <f t="shared" si="30"/>
        <v>-45614</v>
      </c>
      <c r="AE206" s="117">
        <f t="shared" si="31"/>
        <v>0</v>
      </c>
    </row>
    <row r="207" spans="2:31" ht="15.75" customHeight="1" thickBot="1" x14ac:dyDescent="0.25">
      <c r="B207" s="123">
        <f t="shared" si="34"/>
        <v>21</v>
      </c>
      <c r="C207" s="158"/>
      <c r="D207" s="123">
        <f t="shared" si="35"/>
        <v>42</v>
      </c>
      <c r="E207" s="158"/>
      <c r="F207" s="123">
        <f t="shared" si="35"/>
        <v>63</v>
      </c>
      <c r="G207" s="158"/>
      <c r="H207" s="123">
        <f t="shared" si="35"/>
        <v>84</v>
      </c>
      <c r="I207" s="158"/>
      <c r="J207" s="123">
        <f t="shared" si="35"/>
        <v>105</v>
      </c>
      <c r="K207" s="158"/>
      <c r="L207" s="123">
        <f t="shared" si="35"/>
        <v>126</v>
      </c>
      <c r="M207" s="158"/>
      <c r="N207" s="197"/>
      <c r="P207" s="82" t="s">
        <v>205</v>
      </c>
      <c r="R207" s="131">
        <v>16751309190</v>
      </c>
      <c r="T207" s="113">
        <f t="shared" si="32"/>
        <v>31</v>
      </c>
      <c r="U207" s="113" t="s">
        <v>180</v>
      </c>
      <c r="V207" s="114"/>
      <c r="W207" s="114">
        <f t="shared" si="33"/>
        <v>0</v>
      </c>
      <c r="X207" s="114"/>
      <c r="Y207" s="115">
        <v>0</v>
      </c>
      <c r="Z207" s="116">
        <v>1</v>
      </c>
      <c r="AA207" s="117">
        <f t="shared" si="28"/>
        <v>0</v>
      </c>
      <c r="AB207" s="118">
        <f t="shared" si="29"/>
        <v>1</v>
      </c>
      <c r="AC207" s="118">
        <f t="shared" si="27"/>
        <v>45615</v>
      </c>
      <c r="AD207" s="118">
        <f t="shared" si="30"/>
        <v>-45614</v>
      </c>
      <c r="AE207" s="117">
        <f t="shared" si="31"/>
        <v>0</v>
      </c>
    </row>
    <row r="208" spans="2:31" ht="15.75" customHeight="1" thickBot="1" x14ac:dyDescent="0.25">
      <c r="B208" s="161" t="s">
        <v>167</v>
      </c>
      <c r="C208" s="161"/>
      <c r="D208" s="161"/>
      <c r="E208" s="161"/>
      <c r="F208" s="161"/>
      <c r="G208" s="161"/>
      <c r="H208" s="161"/>
      <c r="I208" s="161"/>
      <c r="J208" s="198">
        <f>SUM(C187:C207,G187:G207,K187:K207,E187:E207,I187:I207,K187:K207,M187:M207)</f>
        <v>0</v>
      </c>
      <c r="K208" s="198"/>
      <c r="L208" s="198"/>
      <c r="M208" s="198"/>
      <c r="N208" s="198"/>
      <c r="P208" s="82" t="s">
        <v>206</v>
      </c>
      <c r="R208" s="131">
        <v>14142724014</v>
      </c>
      <c r="T208" s="113">
        <f t="shared" si="32"/>
        <v>32</v>
      </c>
      <c r="U208" s="113" t="s">
        <v>182</v>
      </c>
      <c r="V208" s="114"/>
      <c r="W208" s="114">
        <f t="shared" si="33"/>
        <v>0</v>
      </c>
      <c r="X208" s="114"/>
      <c r="Y208" s="115">
        <v>0</v>
      </c>
      <c r="Z208" s="116">
        <v>1</v>
      </c>
      <c r="AA208" s="117">
        <f t="shared" si="28"/>
        <v>0</v>
      </c>
      <c r="AB208" s="118">
        <f t="shared" si="29"/>
        <v>1</v>
      </c>
      <c r="AC208" s="118">
        <f t="shared" si="27"/>
        <v>45615</v>
      </c>
      <c r="AD208" s="118">
        <f t="shared" si="30"/>
        <v>-45614</v>
      </c>
      <c r="AE208" s="117">
        <f t="shared" si="31"/>
        <v>0</v>
      </c>
    </row>
    <row r="209" spans="2:31" ht="15.75" customHeight="1" thickBot="1" x14ac:dyDescent="0.25">
      <c r="B209" s="411" t="s">
        <v>171</v>
      </c>
      <c r="C209" s="412"/>
      <c r="D209" s="412"/>
      <c r="E209" s="412"/>
      <c r="F209" s="412"/>
      <c r="G209" s="412"/>
      <c r="H209" s="412"/>
      <c r="I209" s="413"/>
      <c r="J209" s="183">
        <f>IFERROR(J208/(($B$21)*I175),0)</f>
        <v>0</v>
      </c>
      <c r="K209" s="184"/>
      <c r="L209" s="184"/>
      <c r="M209" s="184"/>
      <c r="N209" s="185"/>
      <c r="T209" s="113">
        <f t="shared" si="32"/>
        <v>33</v>
      </c>
      <c r="U209" s="113" t="s">
        <v>184</v>
      </c>
      <c r="V209" s="114"/>
      <c r="W209" s="114">
        <f t="shared" si="33"/>
        <v>0</v>
      </c>
      <c r="X209" s="114"/>
      <c r="Y209" s="115">
        <v>0</v>
      </c>
      <c r="Z209" s="116">
        <v>1</v>
      </c>
      <c r="AA209" s="117">
        <f t="shared" si="28"/>
        <v>0</v>
      </c>
      <c r="AB209" s="118">
        <f t="shared" si="29"/>
        <v>1</v>
      </c>
      <c r="AC209" s="118">
        <f t="shared" si="27"/>
        <v>45615</v>
      </c>
      <c r="AD209" s="118">
        <f t="shared" si="30"/>
        <v>-45614</v>
      </c>
      <c r="AE209" s="117">
        <f t="shared" si="31"/>
        <v>0</v>
      </c>
    </row>
    <row r="210" spans="2:31" ht="15.75" customHeight="1" thickBot="1" x14ac:dyDescent="0.25">
      <c r="B210" s="411" t="s">
        <v>173</v>
      </c>
      <c r="C210" s="412"/>
      <c r="D210" s="412"/>
      <c r="E210" s="412"/>
      <c r="F210" s="412"/>
      <c r="G210" s="412"/>
      <c r="H210" s="412"/>
      <c r="I210" s="412"/>
      <c r="J210" s="412"/>
      <c r="K210" s="413"/>
      <c r="L210" s="414">
        <f>IF(J209&gt;P188,R188,IF(J209&gt;P187,R187,IF(J209&gt;P186,R186,R185)))</f>
        <v>60</v>
      </c>
      <c r="M210" s="415"/>
      <c r="N210" s="416"/>
      <c r="O210" s="125"/>
      <c r="R210" s="130" t="s">
        <v>216</v>
      </c>
      <c r="T210" s="113">
        <f t="shared" si="32"/>
        <v>34</v>
      </c>
      <c r="U210" s="113" t="s">
        <v>186</v>
      </c>
      <c r="V210" s="114"/>
      <c r="W210" s="114">
        <f t="shared" si="33"/>
        <v>0</v>
      </c>
      <c r="X210" s="114"/>
      <c r="Y210" s="115">
        <v>0</v>
      </c>
      <c r="Z210" s="116">
        <v>1</v>
      </c>
      <c r="AA210" s="117">
        <f t="shared" si="28"/>
        <v>0</v>
      </c>
      <c r="AB210" s="118">
        <f t="shared" si="29"/>
        <v>1</v>
      </c>
      <c r="AC210" s="118">
        <f t="shared" si="27"/>
        <v>45615</v>
      </c>
      <c r="AD210" s="118">
        <f t="shared" si="30"/>
        <v>-45614</v>
      </c>
      <c r="AE210" s="117">
        <f t="shared" si="31"/>
        <v>0</v>
      </c>
    </row>
    <row r="211" spans="2:31" ht="15.75" customHeight="1" thickBot="1" x14ac:dyDescent="0.3">
      <c r="B211" s="183" t="s">
        <v>215</v>
      </c>
      <c r="C211" s="184"/>
      <c r="D211" s="184"/>
      <c r="E211" s="184"/>
      <c r="F211" s="184"/>
      <c r="G211" s="184"/>
      <c r="H211" s="184"/>
      <c r="I211" s="184"/>
      <c r="J211" s="184"/>
      <c r="K211" s="184"/>
      <c r="L211" s="184"/>
      <c r="M211" s="184"/>
      <c r="N211" s="185"/>
      <c r="O211" s="125"/>
      <c r="P211" s="82" t="s">
        <v>201</v>
      </c>
      <c r="R211" s="131">
        <v>8053415585</v>
      </c>
      <c r="T211" s="113">
        <f t="shared" si="32"/>
        <v>35</v>
      </c>
      <c r="U211" s="113" t="s">
        <v>187</v>
      </c>
      <c r="V211" s="114"/>
      <c r="W211" s="114">
        <f t="shared" si="33"/>
        <v>0</v>
      </c>
      <c r="X211" s="114"/>
      <c r="Y211" s="115">
        <v>0</v>
      </c>
      <c r="Z211" s="116">
        <v>1</v>
      </c>
      <c r="AA211" s="117">
        <f t="shared" si="28"/>
        <v>0</v>
      </c>
      <c r="AB211" s="118">
        <f t="shared" si="29"/>
        <v>1</v>
      </c>
      <c r="AC211" s="118">
        <f t="shared" si="27"/>
        <v>45615</v>
      </c>
      <c r="AD211" s="118">
        <f t="shared" si="30"/>
        <v>-45614</v>
      </c>
      <c r="AE211" s="117">
        <f t="shared" si="31"/>
        <v>0</v>
      </c>
    </row>
    <row r="212" spans="2:31" ht="15.75" customHeight="1" thickBot="1" x14ac:dyDescent="0.25">
      <c r="B212" s="186"/>
      <c r="C212" s="187"/>
      <c r="D212" s="187"/>
      <c r="E212" s="187"/>
      <c r="F212" s="187"/>
      <c r="G212" s="188"/>
      <c r="H212" s="428" t="s">
        <v>177</v>
      </c>
      <c r="I212" s="429"/>
      <c r="J212" s="429"/>
      <c r="K212" s="430"/>
      <c r="L212" s="431">
        <f>$I$10</f>
        <v>0</v>
      </c>
      <c r="M212" s="432"/>
      <c r="N212" s="433"/>
      <c r="O212" s="125"/>
      <c r="P212" s="82" t="s">
        <v>214</v>
      </c>
      <c r="R212" s="131">
        <v>6562161350</v>
      </c>
      <c r="T212" s="113">
        <f t="shared" si="32"/>
        <v>36</v>
      </c>
      <c r="U212" s="113" t="s">
        <v>189</v>
      </c>
      <c r="V212" s="114"/>
      <c r="W212" s="114">
        <f t="shared" si="33"/>
        <v>0</v>
      </c>
      <c r="X212" s="114"/>
      <c r="Y212" s="115">
        <v>0</v>
      </c>
      <c r="Z212" s="116">
        <v>1</v>
      </c>
      <c r="AA212" s="117">
        <f t="shared" si="28"/>
        <v>0</v>
      </c>
      <c r="AB212" s="118">
        <f t="shared" si="29"/>
        <v>1</v>
      </c>
      <c r="AC212" s="118">
        <f t="shared" si="27"/>
        <v>45615</v>
      </c>
      <c r="AD212" s="118">
        <f t="shared" si="30"/>
        <v>-45614</v>
      </c>
      <c r="AE212" s="117">
        <f t="shared" si="31"/>
        <v>0</v>
      </c>
    </row>
    <row r="213" spans="2:31" ht="15.75" customHeight="1" thickBot="1" x14ac:dyDescent="0.25">
      <c r="B213" s="189"/>
      <c r="C213" s="190"/>
      <c r="D213" s="190"/>
      <c r="E213" s="190"/>
      <c r="F213" s="190"/>
      <c r="G213" s="191"/>
      <c r="H213" s="428" t="s">
        <v>179</v>
      </c>
      <c r="I213" s="429"/>
      <c r="J213" s="429"/>
      <c r="K213" s="430"/>
      <c r="L213" s="431">
        <f>$J$10</f>
        <v>0</v>
      </c>
      <c r="M213" s="432"/>
      <c r="N213" s="433"/>
      <c r="O213" s="125"/>
      <c r="P213" s="82" t="s">
        <v>202</v>
      </c>
      <c r="R213" s="131">
        <v>4132783282</v>
      </c>
      <c r="T213" s="113">
        <f>T212+1</f>
        <v>37</v>
      </c>
      <c r="U213" s="113" t="s">
        <v>190</v>
      </c>
      <c r="V213" s="114"/>
      <c r="W213" s="114">
        <f>W212</f>
        <v>0</v>
      </c>
      <c r="X213" s="114"/>
      <c r="Y213" s="115">
        <v>0</v>
      </c>
      <c r="Z213" s="116">
        <v>1</v>
      </c>
      <c r="AA213" s="117">
        <f t="shared" si="28"/>
        <v>0</v>
      </c>
      <c r="AB213" s="118">
        <f t="shared" si="29"/>
        <v>1</v>
      </c>
      <c r="AC213" s="118">
        <f t="shared" si="27"/>
        <v>45615</v>
      </c>
      <c r="AD213" s="118">
        <f t="shared" si="30"/>
        <v>-45614</v>
      </c>
      <c r="AE213" s="117">
        <f t="shared" si="31"/>
        <v>0</v>
      </c>
    </row>
    <row r="214" spans="2:31" ht="15.75" customHeight="1" thickBot="1" x14ac:dyDescent="0.25">
      <c r="B214" s="192"/>
      <c r="C214" s="193"/>
      <c r="D214" s="193"/>
      <c r="E214" s="193"/>
      <c r="F214" s="193"/>
      <c r="G214" s="194"/>
      <c r="H214" s="411" t="s">
        <v>181</v>
      </c>
      <c r="I214" s="412"/>
      <c r="J214" s="412"/>
      <c r="K214" s="413"/>
      <c r="L214" s="420">
        <f>IFERROR(ROUND(L212/L213,2),0)</f>
        <v>0</v>
      </c>
      <c r="M214" s="421"/>
      <c r="N214" s="422"/>
      <c r="O214" s="125"/>
      <c r="P214" s="82" t="s">
        <v>203</v>
      </c>
      <c r="R214" s="131">
        <v>9125008249</v>
      </c>
      <c r="T214" s="113">
        <f>T213+1</f>
        <v>38</v>
      </c>
      <c r="U214" s="113" t="s">
        <v>191</v>
      </c>
      <c r="V214" s="114"/>
      <c r="W214" s="114">
        <f>W213</f>
        <v>0</v>
      </c>
      <c r="X214" s="114"/>
      <c r="Y214" s="115">
        <v>0</v>
      </c>
      <c r="Z214" s="116">
        <v>1</v>
      </c>
      <c r="AA214" s="117">
        <f t="shared" si="28"/>
        <v>0</v>
      </c>
      <c r="AB214" s="118">
        <f t="shared" si="29"/>
        <v>1</v>
      </c>
      <c r="AC214" s="118">
        <f t="shared" si="27"/>
        <v>45615</v>
      </c>
      <c r="AD214" s="118">
        <f t="shared" si="30"/>
        <v>-45614</v>
      </c>
      <c r="AE214" s="117">
        <f t="shared" si="31"/>
        <v>0</v>
      </c>
    </row>
    <row r="215" spans="2:31" ht="15.75" customHeight="1" thickBot="1" x14ac:dyDescent="0.25">
      <c r="B215" s="411" t="s">
        <v>183</v>
      </c>
      <c r="C215" s="412"/>
      <c r="D215" s="412"/>
      <c r="E215" s="412"/>
      <c r="F215" s="412"/>
      <c r="G215" s="412"/>
      <c r="H215" s="412"/>
      <c r="I215" s="412"/>
      <c r="J215" s="412"/>
      <c r="K215" s="413"/>
      <c r="L215" s="414">
        <f>IF(L214&gt;P194,R194,IF(L214&gt;P193,R193,IF(L214&gt;P192,R192,IF(L214&gt;P191,R191,R190))))</f>
        <v>20</v>
      </c>
      <c r="M215" s="415"/>
      <c r="N215" s="416"/>
      <c r="O215" s="125"/>
      <c r="P215" s="82" t="s">
        <v>204</v>
      </c>
      <c r="R215" s="131">
        <v>4685421355</v>
      </c>
      <c r="T215" s="113">
        <f t="shared" si="32"/>
        <v>39</v>
      </c>
      <c r="U215" s="113" t="s">
        <v>192</v>
      </c>
      <c r="V215" s="114"/>
      <c r="W215" s="114">
        <f t="shared" si="33"/>
        <v>0</v>
      </c>
      <c r="X215" s="114"/>
      <c r="Y215" s="115">
        <v>0</v>
      </c>
      <c r="Z215" s="116">
        <v>1</v>
      </c>
      <c r="AA215" s="117">
        <f t="shared" si="28"/>
        <v>0</v>
      </c>
      <c r="AB215" s="118">
        <f t="shared" si="29"/>
        <v>1</v>
      </c>
      <c r="AC215" s="118">
        <f t="shared" si="27"/>
        <v>45615</v>
      </c>
      <c r="AD215" s="118">
        <f t="shared" si="30"/>
        <v>-45614</v>
      </c>
      <c r="AE215" s="117">
        <f t="shared" si="31"/>
        <v>0</v>
      </c>
    </row>
    <row r="216" spans="2:31" ht="15.75" customHeight="1" thickBot="1" x14ac:dyDescent="0.3">
      <c r="B216" s="183" t="s">
        <v>185</v>
      </c>
      <c r="C216" s="184"/>
      <c r="D216" s="184"/>
      <c r="E216" s="184"/>
      <c r="F216" s="184"/>
      <c r="G216" s="184"/>
      <c r="H216" s="184"/>
      <c r="I216" s="184"/>
      <c r="J216" s="184"/>
      <c r="K216" s="184"/>
      <c r="L216" s="184"/>
      <c r="M216" s="184"/>
      <c r="N216" s="185"/>
      <c r="P216" s="82" t="s">
        <v>205</v>
      </c>
      <c r="R216" s="131">
        <v>7832191370</v>
      </c>
      <c r="T216" s="113">
        <f t="shared" si="32"/>
        <v>40</v>
      </c>
      <c r="U216" s="113" t="s">
        <v>193</v>
      </c>
      <c r="V216" s="114"/>
      <c r="W216" s="114">
        <f t="shared" si="33"/>
        <v>0</v>
      </c>
      <c r="X216" s="114"/>
      <c r="Y216" s="115">
        <v>0</v>
      </c>
      <c r="Z216" s="116">
        <v>1</v>
      </c>
      <c r="AA216" s="117">
        <f t="shared" si="28"/>
        <v>0</v>
      </c>
      <c r="AB216" s="118">
        <f t="shared" si="29"/>
        <v>1</v>
      </c>
      <c r="AC216" s="118">
        <f t="shared" si="27"/>
        <v>45615</v>
      </c>
      <c r="AD216" s="118">
        <f t="shared" si="30"/>
        <v>-45614</v>
      </c>
      <c r="AE216" s="117">
        <f t="shared" si="31"/>
        <v>0</v>
      </c>
    </row>
    <row r="217" spans="2:31" ht="15.75" customHeight="1" thickBot="1" x14ac:dyDescent="0.3">
      <c r="B217" s="423" t="s">
        <v>94</v>
      </c>
      <c r="C217" s="424"/>
      <c r="D217" s="424"/>
      <c r="E217" s="424"/>
      <c r="F217" s="424"/>
      <c r="G217" s="424"/>
      <c r="H217" s="424"/>
      <c r="I217" s="424"/>
      <c r="J217" s="424"/>
      <c r="K217" s="424"/>
      <c r="L217" s="425"/>
      <c r="M217" s="426">
        <f>$K$10</f>
        <v>0</v>
      </c>
      <c r="N217" s="427"/>
      <c r="P217" s="82" t="s">
        <v>206</v>
      </c>
      <c r="R217" s="131">
        <v>6568014622</v>
      </c>
      <c r="T217" s="113">
        <f t="shared" si="32"/>
        <v>41</v>
      </c>
      <c r="U217" s="113" t="s">
        <v>194</v>
      </c>
      <c r="V217" s="114"/>
      <c r="W217" s="114">
        <f t="shared" si="33"/>
        <v>0</v>
      </c>
      <c r="X217" s="114"/>
      <c r="Y217" s="115">
        <v>0</v>
      </c>
      <c r="Z217" s="116">
        <v>1</v>
      </c>
      <c r="AA217" s="117">
        <f t="shared" si="28"/>
        <v>0</v>
      </c>
      <c r="AB217" s="118">
        <f t="shared" si="29"/>
        <v>1</v>
      </c>
      <c r="AC217" s="118">
        <f t="shared" si="27"/>
        <v>45615</v>
      </c>
      <c r="AD217" s="118">
        <f t="shared" si="30"/>
        <v>-45614</v>
      </c>
      <c r="AE217" s="117">
        <f t="shared" si="31"/>
        <v>0</v>
      </c>
    </row>
    <row r="218" spans="2:31" ht="15.75" customHeight="1" thickBot="1" x14ac:dyDescent="0.25">
      <c r="B218" s="411" t="s">
        <v>188</v>
      </c>
      <c r="C218" s="412"/>
      <c r="D218" s="412"/>
      <c r="E218" s="412"/>
      <c r="F218" s="412"/>
      <c r="G218" s="412"/>
      <c r="H218" s="412"/>
      <c r="I218" s="412"/>
      <c r="J218" s="412"/>
      <c r="K218" s="413"/>
      <c r="L218" s="414">
        <f>IF(M217&gt;P199,R199,IF(M217&gt;P198,R198,IF(M217&gt;P197,R197,R196)))</f>
        <v>0</v>
      </c>
      <c r="M218" s="415"/>
      <c r="N218" s="416"/>
      <c r="T218" s="113">
        <f t="shared" si="32"/>
        <v>42</v>
      </c>
      <c r="U218" s="113" t="s">
        <v>195</v>
      </c>
      <c r="V218" s="114"/>
      <c r="W218" s="114">
        <f t="shared" si="33"/>
        <v>0</v>
      </c>
      <c r="X218" s="114"/>
      <c r="Y218" s="115">
        <v>0</v>
      </c>
      <c r="Z218" s="116">
        <v>1</v>
      </c>
      <c r="AA218" s="117">
        <f t="shared" si="28"/>
        <v>0</v>
      </c>
      <c r="AB218" s="118">
        <f t="shared" si="29"/>
        <v>1</v>
      </c>
      <c r="AC218" s="118">
        <f t="shared" si="27"/>
        <v>45615</v>
      </c>
      <c r="AD218" s="118">
        <f t="shared" si="30"/>
        <v>-45614</v>
      </c>
      <c r="AE218" s="117">
        <f t="shared" si="31"/>
        <v>0</v>
      </c>
    </row>
    <row r="219" spans="2:31" ht="13.5" thickBot="1" x14ac:dyDescent="0.3">
      <c r="R219" s="130" t="s">
        <v>200</v>
      </c>
      <c r="T219" s="113">
        <f t="shared" si="32"/>
        <v>43</v>
      </c>
      <c r="U219" s="113" t="s">
        <v>198</v>
      </c>
      <c r="V219" s="114"/>
      <c r="W219" s="114">
        <f t="shared" si="33"/>
        <v>0</v>
      </c>
      <c r="X219" s="114"/>
      <c r="Y219" s="115">
        <v>0</v>
      </c>
      <c r="Z219" s="116">
        <v>1</v>
      </c>
      <c r="AA219" s="117">
        <f t="shared" si="28"/>
        <v>0</v>
      </c>
      <c r="AB219" s="118">
        <f t="shared" si="29"/>
        <v>1</v>
      </c>
      <c r="AC219" s="118">
        <f t="shared" si="27"/>
        <v>45615</v>
      </c>
      <c r="AD219" s="118">
        <f t="shared" si="30"/>
        <v>-45614</v>
      </c>
      <c r="AE219" s="117">
        <f t="shared" si="31"/>
        <v>0</v>
      </c>
    </row>
    <row r="220" spans="2:31" ht="15.75" customHeight="1" thickBot="1" x14ac:dyDescent="0.25">
      <c r="B220" s="411" t="str">
        <f>"CAPACIDAD DE CONTRATACIÓN "&amp;$F$124</f>
        <v xml:space="preserve">CAPACIDAD DE CONTRATACIÓN </v>
      </c>
      <c r="C220" s="412"/>
      <c r="D220" s="412"/>
      <c r="E220" s="412"/>
      <c r="F220" s="412"/>
      <c r="G220" s="412"/>
      <c r="H220" s="412"/>
      <c r="I220" s="412"/>
      <c r="J220" s="412"/>
      <c r="K220" s="413"/>
      <c r="L220" s="168">
        <f>I183*((L210+L215+L218)/100)</f>
        <v>426630400</v>
      </c>
      <c r="M220" s="169"/>
      <c r="N220" s="170"/>
      <c r="P220" s="82" t="s">
        <v>201</v>
      </c>
      <c r="R220" s="83">
        <v>16</v>
      </c>
      <c r="Z220" s="417" t="s">
        <v>199</v>
      </c>
      <c r="AA220" s="418"/>
      <c r="AB220" s="418"/>
      <c r="AC220" s="418"/>
      <c r="AD220" s="419"/>
      <c r="AE220" s="126">
        <f>SUM(AE177:AE219)</f>
        <v>25000000</v>
      </c>
    </row>
    <row r="221" spans="2:31" ht="15.75" customHeight="1" x14ac:dyDescent="0.2">
      <c r="B221" s="411" t="str">
        <f>"SALDO DE LOS CONTRATOS EN EJECUCIÓN "&amp;$F$124</f>
        <v xml:space="preserve">SALDO DE LOS CONTRATOS EN EJECUCIÓN </v>
      </c>
      <c r="C221" s="412"/>
      <c r="D221" s="412"/>
      <c r="E221" s="412"/>
      <c r="F221" s="412"/>
      <c r="G221" s="412"/>
      <c r="H221" s="412"/>
      <c r="I221" s="412"/>
      <c r="J221" s="412"/>
      <c r="K221" s="413"/>
      <c r="L221" s="168">
        <f>$M$10</f>
        <v>0</v>
      </c>
      <c r="M221" s="169"/>
      <c r="N221" s="170"/>
      <c r="P221" s="82"/>
      <c r="R221" s="83"/>
      <c r="Z221" s="132"/>
      <c r="AA221" s="132"/>
      <c r="AB221" s="132"/>
      <c r="AC221" s="132"/>
      <c r="AD221" s="132"/>
      <c r="AE221" s="133"/>
    </row>
    <row r="222" spans="2:31" ht="15.75" customHeight="1" x14ac:dyDescent="0.2">
      <c r="B222" s="411" t="str">
        <f>"CAPACIDAD RESIDUAL DE CONTRATACIÓN "&amp;$F$124</f>
        <v xml:space="preserve">CAPACIDAD RESIDUAL DE CONTRATACIÓN </v>
      </c>
      <c r="C222" s="412"/>
      <c r="D222" s="412"/>
      <c r="E222" s="412"/>
      <c r="F222" s="412"/>
      <c r="G222" s="412"/>
      <c r="H222" s="412"/>
      <c r="I222" s="412"/>
      <c r="J222" s="412"/>
      <c r="K222" s="413"/>
      <c r="L222" s="168">
        <f>L220-L221</f>
        <v>426630400</v>
      </c>
      <c r="M222" s="169"/>
      <c r="N222" s="170"/>
      <c r="P222" s="82" t="s">
        <v>202</v>
      </c>
      <c r="R222" s="83">
        <v>15</v>
      </c>
    </row>
    <row r="223" spans="2:31" ht="15.75" customHeight="1" x14ac:dyDescent="0.2">
      <c r="B223" s="127"/>
      <c r="C223" s="127"/>
      <c r="D223" s="127"/>
      <c r="E223" s="127"/>
      <c r="F223" s="127"/>
      <c r="G223" s="127"/>
      <c r="H223" s="127"/>
      <c r="I223" s="127"/>
      <c r="J223" s="127"/>
      <c r="K223" s="127"/>
      <c r="L223" s="128"/>
      <c r="M223" s="128"/>
      <c r="N223" s="128"/>
      <c r="P223" s="82"/>
      <c r="R223" s="83"/>
    </row>
    <row r="224" spans="2:31" ht="15.75" customHeight="1" x14ac:dyDescent="0.25">
      <c r="B224" s="213" t="str">
        <f>"INTEGRANTE 1: "&amp;$C$7&amp;" PRESENTA ESTADOS FINANCIEROS DICTAMINADOS"</f>
        <v>INTEGRANTE 1: Juan Pablo Dorado Martínez PRESENTA ESTADOS FINANCIEROS DICTAMINADOS</v>
      </c>
      <c r="C224" s="214"/>
      <c r="D224" s="214"/>
      <c r="E224" s="214"/>
      <c r="F224" s="214"/>
      <c r="G224" s="214"/>
      <c r="H224" s="214"/>
      <c r="I224" s="214"/>
      <c r="J224" s="214"/>
      <c r="K224" s="407"/>
      <c r="L224" s="215" t="str">
        <f>IF(L225="","",IF(L226="","",IF(AND(L225="si",L226="si")=TRUE,"CUMPLE","NO CUMPLE")))</f>
        <v/>
      </c>
      <c r="M224" s="215"/>
      <c r="N224" s="215"/>
      <c r="P224" s="82"/>
      <c r="R224" s="83"/>
    </row>
    <row r="225" spans="2:18" ht="54.75" customHeight="1" x14ac:dyDescent="0.25">
      <c r="B225" s="163" t="s">
        <v>196</v>
      </c>
      <c r="C225" s="163"/>
      <c r="D225" s="163"/>
      <c r="E225" s="163"/>
      <c r="F225" s="163"/>
      <c r="G225" s="163"/>
      <c r="H225" s="163"/>
      <c r="I225" s="163"/>
      <c r="J225" s="163"/>
      <c r="K225" s="163"/>
      <c r="L225" s="164"/>
      <c r="M225" s="164"/>
      <c r="N225" s="164"/>
      <c r="P225" s="82"/>
      <c r="R225" s="83"/>
    </row>
    <row r="226" spans="2:18" ht="30" customHeight="1" x14ac:dyDescent="0.25">
      <c r="B226" s="163" t="s">
        <v>197</v>
      </c>
      <c r="C226" s="163"/>
      <c r="D226" s="163"/>
      <c r="E226" s="163"/>
      <c r="F226" s="163"/>
      <c r="G226" s="163"/>
      <c r="H226" s="163"/>
      <c r="I226" s="163"/>
      <c r="J226" s="163"/>
      <c r="K226" s="163"/>
      <c r="L226" s="164"/>
      <c r="M226" s="164"/>
      <c r="N226" s="164"/>
      <c r="P226" s="82"/>
      <c r="R226" s="83"/>
    </row>
    <row r="227" spans="2:18" ht="12.75" x14ac:dyDescent="0.25">
      <c r="B227" s="213" t="str">
        <f>"INTEGRANTE 2: "&amp;$C$8&amp;" PRESENTA ESTADOS FINANCIEROS DICTAMINADOS"</f>
        <v>INTEGRANTE 2: Dorado Asociados SAS PRESENTA ESTADOS FINANCIEROS DICTAMINADOS</v>
      </c>
      <c r="C227" s="214"/>
      <c r="D227" s="214"/>
      <c r="E227" s="214"/>
      <c r="F227" s="214"/>
      <c r="G227" s="214"/>
      <c r="H227" s="214"/>
      <c r="I227" s="214"/>
      <c r="J227" s="214"/>
      <c r="K227" s="407"/>
      <c r="L227" s="215" t="str">
        <f>IF(L228="","",IF(L229="","",IF(AND(L228="si",L229="si")=TRUE,"CUMPLE","NO CUMPLE")))</f>
        <v/>
      </c>
      <c r="M227" s="215"/>
      <c r="N227" s="215"/>
      <c r="P227" s="82" t="s">
        <v>204</v>
      </c>
      <c r="R227" s="83">
        <v>17</v>
      </c>
    </row>
    <row r="228" spans="2:18" ht="54.75" customHeight="1" x14ac:dyDescent="0.25">
      <c r="B228" s="163" t="s">
        <v>196</v>
      </c>
      <c r="C228" s="163"/>
      <c r="D228" s="163"/>
      <c r="E228" s="163"/>
      <c r="F228" s="163"/>
      <c r="G228" s="163"/>
      <c r="H228" s="163"/>
      <c r="I228" s="163"/>
      <c r="J228" s="163"/>
      <c r="K228" s="163"/>
      <c r="L228" s="164"/>
      <c r="M228" s="164"/>
      <c r="N228" s="164"/>
      <c r="P228" s="82"/>
      <c r="R228" s="83"/>
    </row>
    <row r="229" spans="2:18" ht="30" customHeight="1" x14ac:dyDescent="0.25">
      <c r="B229" s="163" t="s">
        <v>197</v>
      </c>
      <c r="C229" s="163"/>
      <c r="D229" s="163"/>
      <c r="E229" s="163"/>
      <c r="F229" s="163"/>
      <c r="G229" s="163"/>
      <c r="H229" s="163"/>
      <c r="I229" s="163"/>
      <c r="J229" s="163"/>
      <c r="K229" s="163"/>
      <c r="L229" s="215" t="str">
        <f>IF(L230="","",IF(L231="","",IF(AND(L230="si",L231="si")=TRUE,"CUMPLE","NO CUMPLE")))</f>
        <v/>
      </c>
      <c r="M229" s="215"/>
      <c r="N229" s="215"/>
      <c r="P229" s="82"/>
      <c r="R229" s="83"/>
    </row>
    <row r="230" spans="2:18" ht="15.75" customHeight="1" x14ac:dyDescent="0.25">
      <c r="B230" s="213" t="str">
        <f>"INTEGRANTE 3: "&amp;$C$9&amp;" PRESENTA ESTADOS FINANCIEROS DICTAMINADOS"</f>
        <v>INTEGRANTE 3: 0 PRESENTA ESTADOS FINANCIEROS DICTAMINADOS</v>
      </c>
      <c r="C230" s="214"/>
      <c r="D230" s="214"/>
      <c r="E230" s="214"/>
      <c r="F230" s="214"/>
      <c r="G230" s="214"/>
      <c r="H230" s="214"/>
      <c r="I230" s="214"/>
      <c r="J230" s="214"/>
      <c r="K230" s="407"/>
      <c r="L230" s="204"/>
      <c r="M230" s="437"/>
      <c r="N230" s="205"/>
      <c r="P230" s="82" t="s">
        <v>205</v>
      </c>
      <c r="R230" s="83">
        <v>19</v>
      </c>
    </row>
    <row r="231" spans="2:18" ht="54.75" customHeight="1" x14ac:dyDescent="0.25">
      <c r="B231" s="163" t="s">
        <v>196</v>
      </c>
      <c r="C231" s="163"/>
      <c r="D231" s="163"/>
      <c r="E231" s="163"/>
      <c r="F231" s="163"/>
      <c r="G231" s="163"/>
      <c r="H231" s="163"/>
      <c r="I231" s="163"/>
      <c r="J231" s="163"/>
      <c r="K231" s="163"/>
      <c r="L231" s="164"/>
      <c r="M231" s="164"/>
      <c r="N231" s="164"/>
      <c r="P231" s="82"/>
      <c r="R231" s="83"/>
    </row>
    <row r="232" spans="2:18" ht="30" customHeight="1" x14ac:dyDescent="0.25">
      <c r="B232" s="163" t="s">
        <v>197</v>
      </c>
      <c r="C232" s="163"/>
      <c r="D232" s="163"/>
      <c r="E232" s="163"/>
      <c r="F232" s="163"/>
      <c r="G232" s="163"/>
      <c r="H232" s="163"/>
      <c r="I232" s="163"/>
      <c r="J232" s="163"/>
      <c r="K232" s="163"/>
      <c r="L232" s="164"/>
      <c r="M232" s="164"/>
      <c r="N232" s="164"/>
      <c r="P232" s="82"/>
      <c r="R232" s="83"/>
    </row>
    <row r="233" spans="2:18" ht="12.75" x14ac:dyDescent="0.25">
      <c r="B233" s="213" t="str">
        <f>"INTEGRANTE 4: "&amp;$C$10&amp;" PRESENTA ESTADOS FINANCIEROS DICTAMINADOS"</f>
        <v>INTEGRANTE 4: 0 PRESENTA ESTADOS FINANCIEROS DICTAMINADOS</v>
      </c>
      <c r="C233" s="214"/>
      <c r="D233" s="214"/>
      <c r="E233" s="214"/>
      <c r="F233" s="214"/>
      <c r="G233" s="214"/>
      <c r="H233" s="214"/>
      <c r="I233" s="214"/>
      <c r="J233" s="214"/>
      <c r="K233" s="407"/>
      <c r="L233" s="215" t="str">
        <f>IF(L234="","",IF(L235="","",IF(AND(L234="si",L235="si")=TRUE,"CUMPLE","NO CUMPLE")))</f>
        <v/>
      </c>
      <c r="M233" s="215"/>
      <c r="N233" s="215"/>
      <c r="P233" s="82" t="s">
        <v>206</v>
      </c>
      <c r="R233" s="83">
        <v>19</v>
      </c>
    </row>
    <row r="234" spans="2:18" ht="54.75" customHeight="1" x14ac:dyDescent="0.25">
      <c r="B234" s="163" t="s">
        <v>196</v>
      </c>
      <c r="C234" s="163"/>
      <c r="D234" s="163"/>
      <c r="E234" s="163"/>
      <c r="F234" s="163"/>
      <c r="G234" s="163"/>
      <c r="H234" s="163"/>
      <c r="I234" s="163"/>
      <c r="J234" s="163"/>
      <c r="K234" s="163"/>
      <c r="L234" s="164"/>
      <c r="M234" s="164"/>
      <c r="N234" s="164"/>
      <c r="P234" s="84"/>
      <c r="R234" s="85"/>
    </row>
    <row r="235" spans="2:18" ht="30" customHeight="1" x14ac:dyDescent="0.25">
      <c r="B235" s="163" t="s">
        <v>197</v>
      </c>
      <c r="C235" s="163"/>
      <c r="D235" s="163"/>
      <c r="E235" s="163"/>
      <c r="F235" s="163"/>
      <c r="G235" s="163"/>
      <c r="H235" s="163"/>
      <c r="I235" s="163"/>
      <c r="J235" s="163"/>
      <c r="K235" s="163"/>
      <c r="L235" s="164"/>
      <c r="M235" s="164"/>
      <c r="N235" s="164"/>
      <c r="P235" s="84"/>
      <c r="R235" s="85"/>
    </row>
    <row r="236" spans="2:18" ht="12.75" x14ac:dyDescent="0.25">
      <c r="P236" s="84"/>
      <c r="R236" s="85"/>
    </row>
    <row r="237" spans="2:18" ht="15.75" customHeight="1" x14ac:dyDescent="0.25">
      <c r="B237" s="408" t="s">
        <v>50</v>
      </c>
      <c r="C237" s="409"/>
      <c r="D237" s="409"/>
      <c r="E237" s="409"/>
      <c r="F237" s="409"/>
      <c r="G237" s="409"/>
      <c r="H237" s="409"/>
      <c r="I237" s="409"/>
      <c r="J237" s="409"/>
      <c r="K237" s="409"/>
      <c r="L237" s="409"/>
      <c r="M237" s="409"/>
      <c r="N237" s="410"/>
    </row>
    <row r="238" spans="2:18" ht="66.75" customHeight="1" x14ac:dyDescent="0.25">
      <c r="B238" s="242"/>
      <c r="C238" s="243"/>
      <c r="D238" s="243"/>
      <c r="E238" s="243"/>
      <c r="F238" s="243"/>
      <c r="G238" s="243"/>
      <c r="H238" s="243"/>
      <c r="I238" s="243"/>
      <c r="J238" s="243"/>
      <c r="K238" s="243"/>
      <c r="L238" s="243"/>
      <c r="M238" s="243"/>
      <c r="N238" s="244"/>
    </row>
    <row r="239" spans="2:18" ht="12.75" x14ac:dyDescent="0.25"/>
    <row r="242" ht="180" customHeight="1" x14ac:dyDescent="0.25"/>
  </sheetData>
  <sheetProtection selectLockedCells="1"/>
  <mergeCells count="316">
    <mergeCell ref="C7:F7"/>
    <mergeCell ref="K7:L7"/>
    <mergeCell ref="M7:N7"/>
    <mergeCell ref="C8:F8"/>
    <mergeCell ref="K8:L8"/>
    <mergeCell ref="M8:N8"/>
    <mergeCell ref="B2:N2"/>
    <mergeCell ref="B4:E4"/>
    <mergeCell ref="F4:N4"/>
    <mergeCell ref="B5:N5"/>
    <mergeCell ref="B6:F6"/>
    <mergeCell ref="K6:L6"/>
    <mergeCell ref="M6:N6"/>
    <mergeCell ref="B14:K14"/>
    <mergeCell ref="L14:N14"/>
    <mergeCell ref="B16:K16"/>
    <mergeCell ref="L16:N16"/>
    <mergeCell ref="B17:K17"/>
    <mergeCell ref="L17:N17"/>
    <mergeCell ref="C9:F9"/>
    <mergeCell ref="K9:L9"/>
    <mergeCell ref="M9:N9"/>
    <mergeCell ref="B12:K12"/>
    <mergeCell ref="L12:N12"/>
    <mergeCell ref="B13:K13"/>
    <mergeCell ref="L13:N13"/>
    <mergeCell ref="B22:H22"/>
    <mergeCell ref="I22:N22"/>
    <mergeCell ref="T21:U21"/>
    <mergeCell ref="V21:AA21"/>
    <mergeCell ref="B19:N19"/>
    <mergeCell ref="B20:E20"/>
    <mergeCell ref="F20:G20"/>
    <mergeCell ref="I20:N20"/>
    <mergeCell ref="B21:E21"/>
    <mergeCell ref="F21:G21"/>
    <mergeCell ref="I21:N21"/>
    <mergeCell ref="AE24:AE25"/>
    <mergeCell ref="B27:G30"/>
    <mergeCell ref="H27:M27"/>
    <mergeCell ref="H28:M28"/>
    <mergeCell ref="H29:M29"/>
    <mergeCell ref="H30:M30"/>
    <mergeCell ref="V24:V25"/>
    <mergeCell ref="W24:W25"/>
    <mergeCell ref="X24:X25"/>
    <mergeCell ref="Y24:Y25"/>
    <mergeCell ref="Z24:Z25"/>
    <mergeCell ref="AA24:AA25"/>
    <mergeCell ref="B25:H25"/>
    <mergeCell ref="I25:N25"/>
    <mergeCell ref="B26:G26"/>
    <mergeCell ref="H26:M26"/>
    <mergeCell ref="T24:T25"/>
    <mergeCell ref="U24:U25"/>
    <mergeCell ref="B31:N31"/>
    <mergeCell ref="B32:H32"/>
    <mergeCell ref="I32:N32"/>
    <mergeCell ref="B33:H33"/>
    <mergeCell ref="I33:N33"/>
    <mergeCell ref="B34:N34"/>
    <mergeCell ref="AB24:AB25"/>
    <mergeCell ref="AC24:AC25"/>
    <mergeCell ref="AD24:AD25"/>
    <mergeCell ref="B58:I58"/>
    <mergeCell ref="J58:N58"/>
    <mergeCell ref="B59:I59"/>
    <mergeCell ref="J59:N59"/>
    <mergeCell ref="N36:N57"/>
    <mergeCell ref="P44:Q44"/>
    <mergeCell ref="B35:N35"/>
    <mergeCell ref="P33:Q33"/>
    <mergeCell ref="P38:Q38"/>
    <mergeCell ref="B65:K65"/>
    <mergeCell ref="L65:N65"/>
    <mergeCell ref="B66:N66"/>
    <mergeCell ref="B67:L67"/>
    <mergeCell ref="M67:N67"/>
    <mergeCell ref="B68:K68"/>
    <mergeCell ref="L68:N68"/>
    <mergeCell ref="B60:K60"/>
    <mergeCell ref="L60:N60"/>
    <mergeCell ref="B61:N61"/>
    <mergeCell ref="B62:G64"/>
    <mergeCell ref="H62:K62"/>
    <mergeCell ref="L62:N62"/>
    <mergeCell ref="H63:K63"/>
    <mergeCell ref="L63:N63"/>
    <mergeCell ref="H64:K64"/>
    <mergeCell ref="L64:N64"/>
    <mergeCell ref="T72:U72"/>
    <mergeCell ref="V72:AA72"/>
    <mergeCell ref="B75:H75"/>
    <mergeCell ref="I75:N75"/>
    <mergeCell ref="B70:K70"/>
    <mergeCell ref="L70:N70"/>
    <mergeCell ref="B71:K71"/>
    <mergeCell ref="L71:N71"/>
    <mergeCell ref="Z69:AD69"/>
    <mergeCell ref="B72:K72"/>
    <mergeCell ref="L72:N72"/>
    <mergeCell ref="AE75:AE76"/>
    <mergeCell ref="H78:M78"/>
    <mergeCell ref="H79:M79"/>
    <mergeCell ref="V75:V76"/>
    <mergeCell ref="W75:W76"/>
    <mergeCell ref="X75:X76"/>
    <mergeCell ref="Y75:Y76"/>
    <mergeCell ref="Z75:Z76"/>
    <mergeCell ref="AA75:AA76"/>
    <mergeCell ref="H76:M76"/>
    <mergeCell ref="H77:M77"/>
    <mergeCell ref="T75:T76"/>
    <mergeCell ref="U75:U76"/>
    <mergeCell ref="B81:N81"/>
    <mergeCell ref="B82:H82"/>
    <mergeCell ref="I82:N82"/>
    <mergeCell ref="B83:H83"/>
    <mergeCell ref="I83:N83"/>
    <mergeCell ref="B84:N84"/>
    <mergeCell ref="AB75:AB76"/>
    <mergeCell ref="AC75:AC76"/>
    <mergeCell ref="AD75:AD76"/>
    <mergeCell ref="B76:G76"/>
    <mergeCell ref="B77:G80"/>
    <mergeCell ref="H80:M80"/>
    <mergeCell ref="B108:I108"/>
    <mergeCell ref="J108:N108"/>
    <mergeCell ref="B109:I109"/>
    <mergeCell ref="J109:N109"/>
    <mergeCell ref="N86:N107"/>
    <mergeCell ref="P95:Q95"/>
    <mergeCell ref="B85:N85"/>
    <mergeCell ref="P84:Q84"/>
    <mergeCell ref="P89:Q89"/>
    <mergeCell ref="B115:K115"/>
    <mergeCell ref="L115:N115"/>
    <mergeCell ref="B116:N116"/>
    <mergeCell ref="B117:L117"/>
    <mergeCell ref="M117:N117"/>
    <mergeCell ref="B118:K118"/>
    <mergeCell ref="L118:N118"/>
    <mergeCell ref="B110:K110"/>
    <mergeCell ref="L110:N110"/>
    <mergeCell ref="B111:N111"/>
    <mergeCell ref="B112:G114"/>
    <mergeCell ref="H112:K112"/>
    <mergeCell ref="L112:N112"/>
    <mergeCell ref="H113:K113"/>
    <mergeCell ref="L113:N113"/>
    <mergeCell ref="H114:K114"/>
    <mergeCell ref="L114:N114"/>
    <mergeCell ref="Z120:AD120"/>
    <mergeCell ref="T122:U122"/>
    <mergeCell ref="V122:AA122"/>
    <mergeCell ref="B125:H125"/>
    <mergeCell ref="I125:N125"/>
    <mergeCell ref="B120:K120"/>
    <mergeCell ref="L120:N120"/>
    <mergeCell ref="B121:K121"/>
    <mergeCell ref="L121:N121"/>
    <mergeCell ref="B122:K122"/>
    <mergeCell ref="L122:N122"/>
    <mergeCell ref="AB125:AB126"/>
    <mergeCell ref="AC125:AC126"/>
    <mergeCell ref="AD125:AD126"/>
    <mergeCell ref="B126:G126"/>
    <mergeCell ref="B127:G130"/>
    <mergeCell ref="H130:M130"/>
    <mergeCell ref="AE125:AE126"/>
    <mergeCell ref="H128:M128"/>
    <mergeCell ref="H129:M129"/>
    <mergeCell ref="V125:V126"/>
    <mergeCell ref="W125:W126"/>
    <mergeCell ref="X125:X126"/>
    <mergeCell ref="Y125:Y126"/>
    <mergeCell ref="Z125:Z126"/>
    <mergeCell ref="AA125:AA126"/>
    <mergeCell ref="H126:M126"/>
    <mergeCell ref="H127:M127"/>
    <mergeCell ref="T125:T126"/>
    <mergeCell ref="U125:U126"/>
    <mergeCell ref="B135:N135"/>
    <mergeCell ref="P134:Q134"/>
    <mergeCell ref="P139:Q139"/>
    <mergeCell ref="B131:N131"/>
    <mergeCell ref="B132:H132"/>
    <mergeCell ref="I132:N132"/>
    <mergeCell ref="B133:H133"/>
    <mergeCell ref="I133:N133"/>
    <mergeCell ref="B134:N134"/>
    <mergeCell ref="L163:N163"/>
    <mergeCell ref="H164:K164"/>
    <mergeCell ref="L164:N164"/>
    <mergeCell ref="B158:I158"/>
    <mergeCell ref="J158:N158"/>
    <mergeCell ref="B159:I159"/>
    <mergeCell ref="J159:N159"/>
    <mergeCell ref="N136:N157"/>
    <mergeCell ref="P145:Q145"/>
    <mergeCell ref="Z170:AD170"/>
    <mergeCell ref="B224:K224"/>
    <mergeCell ref="L224:N224"/>
    <mergeCell ref="B227:K227"/>
    <mergeCell ref="L227:N227"/>
    <mergeCell ref="B230:K230"/>
    <mergeCell ref="L230:N230"/>
    <mergeCell ref="B174:N174"/>
    <mergeCell ref="B175:H175"/>
    <mergeCell ref="I175:N175"/>
    <mergeCell ref="B170:K170"/>
    <mergeCell ref="L170:N170"/>
    <mergeCell ref="B171:K171"/>
    <mergeCell ref="L171:N171"/>
    <mergeCell ref="B172:K172"/>
    <mergeCell ref="L172:N172"/>
    <mergeCell ref="Z175:Z176"/>
    <mergeCell ref="AA175:AA176"/>
    <mergeCell ref="AB175:AB176"/>
    <mergeCell ref="AC175:AC176"/>
    <mergeCell ref="AD175:AD176"/>
    <mergeCell ref="B183:H183"/>
    <mergeCell ref="I183:N183"/>
    <mergeCell ref="B184:N184"/>
    <mergeCell ref="B237:N237"/>
    <mergeCell ref="B238:N238"/>
    <mergeCell ref="C10:F10"/>
    <mergeCell ref="K10:L10"/>
    <mergeCell ref="M10:N10"/>
    <mergeCell ref="B15:K15"/>
    <mergeCell ref="L15:N15"/>
    <mergeCell ref="B24:N24"/>
    <mergeCell ref="B74:N74"/>
    <mergeCell ref="B124:N124"/>
    <mergeCell ref="B165:K165"/>
    <mergeCell ref="L165:N165"/>
    <mergeCell ref="B166:N166"/>
    <mergeCell ref="B167:L167"/>
    <mergeCell ref="M167:N167"/>
    <mergeCell ref="B168:K168"/>
    <mergeCell ref="L168:N168"/>
    <mergeCell ref="B160:K160"/>
    <mergeCell ref="L160:N160"/>
    <mergeCell ref="B161:N161"/>
    <mergeCell ref="B162:G164"/>
    <mergeCell ref="H162:K162"/>
    <mergeCell ref="L162:N162"/>
    <mergeCell ref="H163:K163"/>
    <mergeCell ref="B208:I208"/>
    <mergeCell ref="J208:N208"/>
    <mergeCell ref="N186:N207"/>
    <mergeCell ref="P195:Q195"/>
    <mergeCell ref="P189:Q189"/>
    <mergeCell ref="P184:Q184"/>
    <mergeCell ref="B185:N185"/>
    <mergeCell ref="AE175:AE176"/>
    <mergeCell ref="T175:T176"/>
    <mergeCell ref="U175:U176"/>
    <mergeCell ref="V175:V176"/>
    <mergeCell ref="W175:W176"/>
    <mergeCell ref="X175:X176"/>
    <mergeCell ref="Y175:Y176"/>
    <mergeCell ref="B181:N181"/>
    <mergeCell ref="B182:H182"/>
    <mergeCell ref="I182:N182"/>
    <mergeCell ref="B176:G176"/>
    <mergeCell ref="H176:M176"/>
    <mergeCell ref="B177:G180"/>
    <mergeCell ref="H177:M177"/>
    <mergeCell ref="H178:M178"/>
    <mergeCell ref="H179:M179"/>
    <mergeCell ref="H180:M180"/>
    <mergeCell ref="H214:K214"/>
    <mergeCell ref="L214:N214"/>
    <mergeCell ref="B215:K215"/>
    <mergeCell ref="L215:N215"/>
    <mergeCell ref="B216:N216"/>
    <mergeCell ref="B217:L217"/>
    <mergeCell ref="M217:N217"/>
    <mergeCell ref="B209:I209"/>
    <mergeCell ref="J209:N209"/>
    <mergeCell ref="B210:K210"/>
    <mergeCell ref="L210:N210"/>
    <mergeCell ref="B211:N211"/>
    <mergeCell ref="B212:G214"/>
    <mergeCell ref="H212:K212"/>
    <mergeCell ref="L212:N212"/>
    <mergeCell ref="H213:K213"/>
    <mergeCell ref="L213:N213"/>
    <mergeCell ref="Z220:AD220"/>
    <mergeCell ref="B221:K221"/>
    <mergeCell ref="L221:N221"/>
    <mergeCell ref="B225:K225"/>
    <mergeCell ref="L225:N225"/>
    <mergeCell ref="B226:K226"/>
    <mergeCell ref="L226:N226"/>
    <mergeCell ref="B228:K228"/>
    <mergeCell ref="L228:N228"/>
    <mergeCell ref="B234:K234"/>
    <mergeCell ref="L234:N234"/>
    <mergeCell ref="B235:K235"/>
    <mergeCell ref="L235:N235"/>
    <mergeCell ref="B222:K222"/>
    <mergeCell ref="L222:N222"/>
    <mergeCell ref="B233:K233"/>
    <mergeCell ref="L233:N233"/>
    <mergeCell ref="B218:K218"/>
    <mergeCell ref="L218:N218"/>
    <mergeCell ref="B220:K220"/>
    <mergeCell ref="L220:N220"/>
    <mergeCell ref="B229:K229"/>
    <mergeCell ref="L229:N229"/>
    <mergeCell ref="B231:K231"/>
    <mergeCell ref="L231:N231"/>
    <mergeCell ref="B232:K232"/>
    <mergeCell ref="L232:N232"/>
  </mergeCells>
  <conditionalFormatting sqref="G7:G10">
    <cfRule type="expression" dxfId="7" priority="1">
      <formula>SUM($G$7:$G$10)=0</formula>
    </cfRule>
    <cfRule type="expression" dxfId="6" priority="2">
      <formula>SUM($G$7:$G$10)&lt;100%</formula>
    </cfRule>
  </conditionalFormatting>
  <conditionalFormatting sqref="L17 X18:Y18">
    <cfRule type="cellIs" dxfId="5" priority="5" stopIfTrue="1" operator="equal">
      <formula>$Q$27</formula>
    </cfRule>
    <cfRule type="cellIs" dxfId="4" priority="6" stopIfTrue="1" operator="equal">
      <formula>$Q$28</formula>
    </cfRule>
  </conditionalFormatting>
  <dataValidations count="2">
    <dataValidation type="list" allowBlank="1" showInputMessage="1" showErrorMessage="1" sqref="L230:N230" xr:uid="{00000000-0002-0000-0400-000000000000}">
      <formula1>$A$1:$A$2</formula1>
    </dataValidation>
    <dataValidation type="list" allowBlank="1" showInputMessage="1" showErrorMessage="1" sqref="L225:N226 L234:N235 L231:N232 L228:N228" xr:uid="{15C6DC71-341E-4584-A409-71A661A17419}">
      <formula1>$O$1:$O$2</formula1>
    </dataValidation>
  </dataValidations>
  <printOptions horizontalCentered="1"/>
  <pageMargins left="0.70866141732283472" right="0.70866141732283472" top="0.74803149606299213" bottom="0.74803149606299213" header="0.31496062992125984" footer="0.31496062992125984"/>
  <pageSetup paperSize="9" scale="54" orientation="portrait" horizontalDpi="300" verticalDpi="300" r:id="rId1"/>
  <rowBreaks count="2" manualBreakCount="2">
    <brk id="73" max="13" man="1"/>
    <brk id="160" max="13" man="1"/>
  </rowBreaks>
  <drawing r:id="rId2"/>
  <legacyDrawing r:id="rId3"/>
  <oleObjects>
    <mc:AlternateContent xmlns:mc="http://schemas.openxmlformats.org/markup-compatibility/2006">
      <mc:Choice Requires="x14">
        <oleObject progId="Equation.3" shapeId="9217" r:id="rId4">
          <objectPr defaultSize="0" autoPict="0" r:id="rId5">
            <anchor moveWithCells="1">
              <from>
                <xdr:col>1</xdr:col>
                <xdr:colOff>323850</xdr:colOff>
                <xdr:row>26</xdr:row>
                <xdr:rowOff>171450</xdr:rowOff>
              </from>
              <to>
                <xdr:col>6</xdr:col>
                <xdr:colOff>361950</xdr:colOff>
                <xdr:row>28</xdr:row>
                <xdr:rowOff>180975</xdr:rowOff>
              </to>
            </anchor>
          </objectPr>
        </oleObject>
      </mc:Choice>
      <mc:Fallback>
        <oleObject progId="Equation.3" shapeId="9217" r:id="rId4"/>
      </mc:Fallback>
    </mc:AlternateContent>
    <mc:AlternateContent xmlns:mc="http://schemas.openxmlformats.org/markup-compatibility/2006">
      <mc:Choice Requires="x14">
        <oleObject progId="Equation.3" shapeId="9218" r:id="rId6">
          <objectPr defaultSize="0" autoPict="0" r:id="rId7">
            <anchor moveWithCells="1">
              <from>
                <xdr:col>2</xdr:col>
                <xdr:colOff>9525</xdr:colOff>
                <xdr:row>61</xdr:row>
                <xdr:rowOff>85725</xdr:rowOff>
              </from>
              <to>
                <xdr:col>6</xdr:col>
                <xdr:colOff>228600</xdr:colOff>
                <xdr:row>63</xdr:row>
                <xdr:rowOff>123825</xdr:rowOff>
              </to>
            </anchor>
          </objectPr>
        </oleObject>
      </mc:Choice>
      <mc:Fallback>
        <oleObject progId="Equation.3" shapeId="9218" r:id="rId6"/>
      </mc:Fallback>
    </mc:AlternateContent>
    <mc:AlternateContent xmlns:mc="http://schemas.openxmlformats.org/markup-compatibility/2006">
      <mc:Choice Requires="x14">
        <oleObject progId="Equation.3" shapeId="9219" r:id="rId8">
          <objectPr defaultSize="0" autoPict="0" r:id="rId5">
            <anchor moveWithCells="1">
              <from>
                <xdr:col>2</xdr:col>
                <xdr:colOff>19050</xdr:colOff>
                <xdr:row>77</xdr:row>
                <xdr:rowOff>9525</xdr:rowOff>
              </from>
              <to>
                <xdr:col>6</xdr:col>
                <xdr:colOff>447675</xdr:colOff>
                <xdr:row>78</xdr:row>
                <xdr:rowOff>190500</xdr:rowOff>
              </to>
            </anchor>
          </objectPr>
        </oleObject>
      </mc:Choice>
      <mc:Fallback>
        <oleObject progId="Equation.3" shapeId="9219" r:id="rId8"/>
      </mc:Fallback>
    </mc:AlternateContent>
    <mc:AlternateContent xmlns:mc="http://schemas.openxmlformats.org/markup-compatibility/2006">
      <mc:Choice Requires="x14">
        <oleObject progId="Equation.3" shapeId="9220" r:id="rId9">
          <objectPr defaultSize="0" autoPict="0" r:id="rId7">
            <anchor moveWithCells="1">
              <from>
                <xdr:col>1</xdr:col>
                <xdr:colOff>85725</xdr:colOff>
                <xdr:row>111</xdr:row>
                <xdr:rowOff>85725</xdr:rowOff>
              </from>
              <to>
                <xdr:col>5</xdr:col>
                <xdr:colOff>371475</xdr:colOff>
                <xdr:row>113</xdr:row>
                <xdr:rowOff>123825</xdr:rowOff>
              </to>
            </anchor>
          </objectPr>
        </oleObject>
      </mc:Choice>
      <mc:Fallback>
        <oleObject progId="Equation.3" shapeId="9220" r:id="rId9"/>
      </mc:Fallback>
    </mc:AlternateContent>
    <mc:AlternateContent xmlns:mc="http://schemas.openxmlformats.org/markup-compatibility/2006">
      <mc:Choice Requires="x14">
        <oleObject progId="Equation.3" shapeId="9221" r:id="rId10">
          <objectPr defaultSize="0" autoPict="0" r:id="rId5">
            <anchor moveWithCells="1">
              <from>
                <xdr:col>2</xdr:col>
                <xdr:colOff>19050</xdr:colOff>
                <xdr:row>127</xdr:row>
                <xdr:rowOff>9525</xdr:rowOff>
              </from>
              <to>
                <xdr:col>6</xdr:col>
                <xdr:colOff>447675</xdr:colOff>
                <xdr:row>128</xdr:row>
                <xdr:rowOff>190500</xdr:rowOff>
              </to>
            </anchor>
          </objectPr>
        </oleObject>
      </mc:Choice>
      <mc:Fallback>
        <oleObject progId="Equation.3" shapeId="9221" r:id="rId10"/>
      </mc:Fallback>
    </mc:AlternateContent>
    <mc:AlternateContent xmlns:mc="http://schemas.openxmlformats.org/markup-compatibility/2006">
      <mc:Choice Requires="x14">
        <oleObject progId="Equation.3" shapeId="9222" r:id="rId11">
          <objectPr defaultSize="0" autoPict="0" r:id="rId7">
            <anchor moveWithCells="1">
              <from>
                <xdr:col>1</xdr:col>
                <xdr:colOff>85725</xdr:colOff>
                <xdr:row>161</xdr:row>
                <xdr:rowOff>85725</xdr:rowOff>
              </from>
              <to>
                <xdr:col>5</xdr:col>
                <xdr:colOff>371475</xdr:colOff>
                <xdr:row>163</xdr:row>
                <xdr:rowOff>123825</xdr:rowOff>
              </to>
            </anchor>
          </objectPr>
        </oleObject>
      </mc:Choice>
      <mc:Fallback>
        <oleObject progId="Equation.3" shapeId="9222" r:id="rId11"/>
      </mc:Fallback>
    </mc:AlternateContent>
    <mc:AlternateContent xmlns:mc="http://schemas.openxmlformats.org/markup-compatibility/2006">
      <mc:Choice Requires="x14">
        <oleObject progId="Equation.3" shapeId="9227" r:id="rId12">
          <objectPr defaultSize="0" autoPict="0" r:id="rId5">
            <anchor moveWithCells="1">
              <from>
                <xdr:col>2</xdr:col>
                <xdr:colOff>19050</xdr:colOff>
                <xdr:row>177</xdr:row>
                <xdr:rowOff>9525</xdr:rowOff>
              </from>
              <to>
                <xdr:col>6</xdr:col>
                <xdr:colOff>447675</xdr:colOff>
                <xdr:row>178</xdr:row>
                <xdr:rowOff>190500</xdr:rowOff>
              </to>
            </anchor>
          </objectPr>
        </oleObject>
      </mc:Choice>
      <mc:Fallback>
        <oleObject progId="Equation.3" shapeId="9227" r:id="rId12"/>
      </mc:Fallback>
    </mc:AlternateContent>
    <mc:AlternateContent xmlns:mc="http://schemas.openxmlformats.org/markup-compatibility/2006">
      <mc:Choice Requires="x14">
        <oleObject progId="Equation.3" shapeId="9228" r:id="rId13">
          <objectPr defaultSize="0" autoPict="0" r:id="rId7">
            <anchor moveWithCells="1">
              <from>
                <xdr:col>1</xdr:col>
                <xdr:colOff>85725</xdr:colOff>
                <xdr:row>211</xdr:row>
                <xdr:rowOff>85725</xdr:rowOff>
              </from>
              <to>
                <xdr:col>5</xdr:col>
                <xdr:colOff>371475</xdr:colOff>
                <xdr:row>213</xdr:row>
                <xdr:rowOff>123825</xdr:rowOff>
              </to>
            </anchor>
          </objectPr>
        </oleObject>
      </mc:Choice>
      <mc:Fallback>
        <oleObject progId="Equation.3" shapeId="9228" r:id="rId13"/>
      </mc:Fallback>
    </mc:AlternateContent>
  </oleObjec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G296"/>
  <sheetViews>
    <sheetView showGridLines="0" view="pageBreakPreview" zoomScaleNormal="100" zoomScaleSheetLayoutView="100" workbookViewId="0">
      <selection activeCell="M7" sqref="M7:N7"/>
    </sheetView>
  </sheetViews>
  <sheetFormatPr baseColWidth="10" defaultColWidth="5.85546875" defaultRowHeight="15.75" customHeight="1" x14ac:dyDescent="0.25"/>
  <cols>
    <col min="1" max="1" width="5" style="81" customWidth="1"/>
    <col min="2" max="4" width="5.85546875" style="81"/>
    <col min="5" max="5" width="16" style="81" customWidth="1"/>
    <col min="6" max="6" width="6.85546875" style="81" customWidth="1"/>
    <col min="7" max="7" width="14" style="81" customWidth="1"/>
    <col min="8" max="8" width="19.5703125" style="81" customWidth="1"/>
    <col min="9" max="9" width="18.42578125" style="81" customWidth="1"/>
    <col min="10" max="10" width="16.42578125" style="81" customWidth="1"/>
    <col min="11" max="11" width="9" style="81" customWidth="1"/>
    <col min="12" max="12" width="11.7109375" style="81" customWidth="1"/>
    <col min="13" max="13" width="10.7109375" style="81" customWidth="1"/>
    <col min="14" max="14" width="9.28515625" style="81" customWidth="1"/>
    <col min="15" max="15" width="4.7109375" style="81" hidden="1" customWidth="1"/>
    <col min="16" max="16" width="14.85546875" style="81" hidden="1" customWidth="1"/>
    <col min="17" max="17" width="10.7109375" style="81" hidden="1" customWidth="1"/>
    <col min="18" max="18" width="17.5703125" style="81" hidden="1" customWidth="1"/>
    <col min="19" max="19" width="5.85546875" style="81" hidden="1" customWidth="1"/>
    <col min="20" max="20" width="10" style="81" hidden="1" customWidth="1"/>
    <col min="21" max="21" width="13.28515625" style="81" hidden="1" customWidth="1"/>
    <col min="22" max="27" width="20.7109375" style="81" hidden="1" customWidth="1"/>
    <col min="28" max="28" width="18.28515625" style="81" hidden="1" customWidth="1"/>
    <col min="29" max="29" width="14.5703125" style="81" hidden="1" customWidth="1"/>
    <col min="30" max="30" width="15" style="81" hidden="1" customWidth="1"/>
    <col min="31" max="31" width="20.7109375" style="81" hidden="1" customWidth="1"/>
    <col min="32" max="43" width="20.7109375" style="81" customWidth="1"/>
    <col min="44" max="16384" width="5.85546875" style="81"/>
  </cols>
  <sheetData>
    <row r="1" spans="1:32" ht="15.75" customHeight="1" x14ac:dyDescent="0.25">
      <c r="A1" s="88" t="s">
        <v>0</v>
      </c>
      <c r="O1" s="88" t="s">
        <v>2</v>
      </c>
    </row>
    <row r="2" spans="1:32" ht="33" customHeight="1" x14ac:dyDescent="0.25">
      <c r="A2" s="88" t="s">
        <v>3</v>
      </c>
      <c r="B2" s="245" t="s">
        <v>217</v>
      </c>
      <c r="C2" s="246"/>
      <c r="D2" s="246"/>
      <c r="E2" s="246"/>
      <c r="F2" s="246"/>
      <c r="G2" s="246"/>
      <c r="H2" s="246"/>
      <c r="I2" s="246"/>
      <c r="J2" s="246"/>
      <c r="K2" s="246"/>
      <c r="L2" s="246"/>
      <c r="M2" s="246"/>
      <c r="N2" s="247"/>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12.75" x14ac:dyDescent="0.25">
      <c r="A4" s="88"/>
      <c r="B4" s="212" t="s">
        <v>207</v>
      </c>
      <c r="C4" s="212"/>
      <c r="D4" s="212"/>
      <c r="E4" s="212"/>
      <c r="F4" s="249" t="str">
        <f>'EVALUACIÓN EXPERIENCIA'!$G$3</f>
        <v>CONSORCIO MANTENIMIENTOS</v>
      </c>
      <c r="G4" s="249"/>
      <c r="H4" s="249"/>
      <c r="I4" s="249"/>
      <c r="J4" s="249"/>
      <c r="K4" s="249"/>
      <c r="L4" s="249"/>
      <c r="M4" s="249"/>
      <c r="N4" s="249"/>
      <c r="U4" s="89"/>
      <c r="Y4" s="89"/>
      <c r="Z4" s="89"/>
      <c r="AA4" s="89"/>
    </row>
    <row r="5" spans="1:32" ht="12.75" x14ac:dyDescent="0.25">
      <c r="A5" s="88"/>
      <c r="B5" s="165" t="s">
        <v>208</v>
      </c>
      <c r="C5" s="165"/>
      <c r="D5" s="165"/>
      <c r="E5" s="165"/>
      <c r="F5" s="165"/>
      <c r="G5" s="165"/>
      <c r="H5" s="165"/>
      <c r="I5" s="165"/>
      <c r="J5" s="165"/>
      <c r="K5" s="165"/>
      <c r="L5" s="165"/>
      <c r="M5" s="165"/>
      <c r="N5" s="165"/>
      <c r="U5" s="89"/>
      <c r="Y5" s="89"/>
      <c r="Z5" s="89"/>
      <c r="AA5" s="89"/>
    </row>
    <row r="6" spans="1:32" ht="54.75" customHeight="1" x14ac:dyDescent="0.25">
      <c r="A6" s="88"/>
      <c r="B6" s="199" t="s">
        <v>209</v>
      </c>
      <c r="C6" s="199"/>
      <c r="D6" s="199"/>
      <c r="E6" s="199"/>
      <c r="F6" s="199"/>
      <c r="G6" s="87" t="s">
        <v>90</v>
      </c>
      <c r="H6" s="87" t="s">
        <v>91</v>
      </c>
      <c r="I6" s="87" t="s">
        <v>92</v>
      </c>
      <c r="J6" s="87" t="s">
        <v>93</v>
      </c>
      <c r="K6" s="200" t="s">
        <v>94</v>
      </c>
      <c r="L6" s="200"/>
      <c r="M6" s="200" t="s">
        <v>95</v>
      </c>
      <c r="N6" s="200"/>
      <c r="U6" s="89"/>
      <c r="Y6" s="89"/>
      <c r="Z6" s="89"/>
      <c r="AA6" s="89"/>
    </row>
    <row r="7" spans="1:32" ht="12.75" x14ac:dyDescent="0.25">
      <c r="A7" s="88"/>
      <c r="B7" s="92">
        <v>1</v>
      </c>
      <c r="C7" s="201" t="str">
        <f>'EVALUACIÓN EXPERIENCIA'!$A$29</f>
        <v>Juan Pablo Dorado Martínez</v>
      </c>
      <c r="D7" s="202"/>
      <c r="E7" s="202"/>
      <c r="F7" s="203"/>
      <c r="G7" s="93">
        <f>'EVALUACIÓN EXPERIENCIA'!$H$29</f>
        <v>0.2</v>
      </c>
      <c r="H7" s="94"/>
      <c r="I7" s="94"/>
      <c r="J7" s="94"/>
      <c r="K7" s="204"/>
      <c r="L7" s="205"/>
      <c r="M7" s="206"/>
      <c r="N7" s="207"/>
      <c r="U7" s="89"/>
      <c r="Y7" s="89"/>
      <c r="Z7" s="89"/>
      <c r="AA7" s="89"/>
    </row>
    <row r="8" spans="1:32" ht="12.75" x14ac:dyDescent="0.25">
      <c r="A8" s="88"/>
      <c r="B8" s="92">
        <v>2</v>
      </c>
      <c r="C8" s="201" t="str">
        <f>'EVALUACIÓN EXPERIENCIA'!$A$30</f>
        <v>Dorado Asociados SAS</v>
      </c>
      <c r="D8" s="202"/>
      <c r="E8" s="202"/>
      <c r="F8" s="203"/>
      <c r="G8" s="93">
        <f>'EVALUACIÓN EXPERIENCIA'!$H$30</f>
        <v>0.8</v>
      </c>
      <c r="H8" s="94"/>
      <c r="I8" s="94"/>
      <c r="J8" s="94"/>
      <c r="K8" s="208"/>
      <c r="L8" s="209"/>
      <c r="M8" s="206"/>
      <c r="N8" s="207"/>
      <c r="U8" s="89"/>
      <c r="Y8" s="89"/>
      <c r="Z8" s="89"/>
      <c r="AA8" s="89"/>
    </row>
    <row r="9" spans="1:32" ht="12.75" x14ac:dyDescent="0.25">
      <c r="A9" s="88"/>
      <c r="B9" s="92">
        <v>3</v>
      </c>
      <c r="C9" s="201">
        <f>'EVALUACIÓN EXPERIENCIA'!$A$31</f>
        <v>0</v>
      </c>
      <c r="D9" s="202"/>
      <c r="E9" s="202"/>
      <c r="F9" s="203"/>
      <c r="G9" s="93">
        <f>'EVALUACIÓN EXPERIENCIA'!$H$31</f>
        <v>0</v>
      </c>
      <c r="H9" s="94"/>
      <c r="I9" s="94"/>
      <c r="J9" s="94"/>
      <c r="K9" s="208"/>
      <c r="L9" s="209"/>
      <c r="M9" s="206"/>
      <c r="N9" s="207"/>
      <c r="U9" s="89"/>
      <c r="Y9" s="89"/>
      <c r="Z9" s="89"/>
      <c r="AA9" s="89"/>
    </row>
    <row r="10" spans="1:32" ht="15.75" customHeight="1" x14ac:dyDescent="0.25">
      <c r="A10" s="88"/>
      <c r="B10" s="92">
        <v>4</v>
      </c>
      <c r="C10" s="201">
        <f>'EVALUACIÓN EXPERIENCIA'!$A$32</f>
        <v>0</v>
      </c>
      <c r="D10" s="202"/>
      <c r="E10" s="202"/>
      <c r="F10" s="203"/>
      <c r="G10" s="93">
        <f>'EVALUACIÓN EXPERIENCIA'!$H$32</f>
        <v>0</v>
      </c>
      <c r="H10" s="94"/>
      <c r="I10" s="94"/>
      <c r="J10" s="94"/>
      <c r="K10" s="208"/>
      <c r="L10" s="209"/>
      <c r="M10" s="206"/>
      <c r="N10" s="207"/>
      <c r="U10" s="89"/>
      <c r="Y10" s="89"/>
      <c r="Z10" s="89"/>
      <c r="AA10" s="89"/>
    </row>
    <row r="11" spans="1:32" ht="12.75" x14ac:dyDescent="0.25">
      <c r="A11" s="88"/>
      <c r="B11" s="92">
        <v>5</v>
      </c>
      <c r="C11" s="201">
        <f>'EVALUACIÓN EXPERIENCIA'!$A$33</f>
        <v>0</v>
      </c>
      <c r="D11" s="202"/>
      <c r="E11" s="202"/>
      <c r="F11" s="203"/>
      <c r="G11" s="93">
        <f>'EVALUACIÓN EXPERIENCIA'!$H$33</f>
        <v>0</v>
      </c>
      <c r="H11" s="94"/>
      <c r="I11" s="94"/>
      <c r="J11" s="94"/>
      <c r="K11" s="208"/>
      <c r="L11" s="209"/>
      <c r="M11" s="206"/>
      <c r="N11" s="207"/>
      <c r="U11" s="89"/>
      <c r="Y11" s="89"/>
      <c r="Z11" s="89"/>
      <c r="AA11" s="89"/>
    </row>
    <row r="12" spans="1:32" ht="15.75" customHeight="1" x14ac:dyDescent="0.25">
      <c r="A12" s="88"/>
      <c r="B12" s="90"/>
      <c r="C12" s="90"/>
      <c r="D12" s="90"/>
      <c r="E12" s="90"/>
      <c r="F12" s="90"/>
      <c r="G12" s="90"/>
      <c r="H12" s="90"/>
      <c r="I12" s="90"/>
      <c r="J12" s="90"/>
      <c r="K12" s="90"/>
      <c r="L12" s="90"/>
      <c r="M12" s="90"/>
      <c r="N12" s="90"/>
    </row>
    <row r="13" spans="1:32" ht="12.75" x14ac:dyDescent="0.25">
      <c r="A13" s="88"/>
      <c r="B13" s="165" t="str">
        <f>"CRP INTEGRANTE 1: "&amp;$C$7</f>
        <v>CRP INTEGRANTE 1: Juan Pablo Dorado Martínez</v>
      </c>
      <c r="C13" s="165"/>
      <c r="D13" s="165"/>
      <c r="E13" s="165"/>
      <c r="F13" s="165"/>
      <c r="G13" s="165"/>
      <c r="H13" s="165"/>
      <c r="I13" s="165"/>
      <c r="J13" s="165"/>
      <c r="K13" s="165"/>
      <c r="L13" s="166">
        <f>L74</f>
        <v>426630400</v>
      </c>
      <c r="M13" s="165"/>
      <c r="N13" s="165"/>
      <c r="P13" s="95"/>
      <c r="Q13" s="95"/>
      <c r="R13" s="95"/>
      <c r="S13" s="95"/>
      <c r="T13" s="95"/>
      <c r="U13" s="95"/>
      <c r="V13" s="95"/>
      <c r="W13" s="95"/>
      <c r="X13" s="95"/>
      <c r="Y13" s="95"/>
      <c r="Z13" s="89"/>
      <c r="AA13" s="89"/>
    </row>
    <row r="14" spans="1:32" ht="15.75" customHeight="1" x14ac:dyDescent="0.2">
      <c r="A14" s="88"/>
      <c r="B14" s="165" t="str">
        <f>"CRP INTEGRANTE 2: "&amp;$C$8</f>
        <v>CRP INTEGRANTE 2: Dorado Asociados SAS</v>
      </c>
      <c r="C14" s="165"/>
      <c r="D14" s="165"/>
      <c r="E14" s="165"/>
      <c r="F14" s="165"/>
      <c r="G14" s="165"/>
      <c r="H14" s="165"/>
      <c r="I14" s="165"/>
      <c r="J14" s="165"/>
      <c r="K14" s="165"/>
      <c r="L14" s="166">
        <f>L124</f>
        <v>426630400</v>
      </c>
      <c r="M14" s="165"/>
      <c r="N14" s="165"/>
      <c r="P14" s="64"/>
      <c r="Q14" s="64"/>
      <c r="R14" s="64"/>
      <c r="S14" s="64"/>
      <c r="T14" s="64"/>
      <c r="Z14" s="64"/>
      <c r="AA14" s="64"/>
      <c r="AB14" s="64"/>
      <c r="AC14" s="64"/>
      <c r="AD14" s="64"/>
      <c r="AE14" s="64"/>
      <c r="AF14" s="64"/>
    </row>
    <row r="15" spans="1:32" ht="15.75" customHeight="1" x14ac:dyDescent="0.2">
      <c r="A15" s="88"/>
      <c r="B15" s="165" t="str">
        <f>"CRP INTEGRANTE 3: "&amp;$C$9</f>
        <v>CRP INTEGRANTE 3: 0</v>
      </c>
      <c r="C15" s="165"/>
      <c r="D15" s="165"/>
      <c r="E15" s="165"/>
      <c r="F15" s="165"/>
      <c r="G15" s="165"/>
      <c r="H15" s="165"/>
      <c r="I15" s="165"/>
      <c r="J15" s="165"/>
      <c r="K15" s="165"/>
      <c r="L15" s="166">
        <f>L174</f>
        <v>426630400</v>
      </c>
      <c r="M15" s="165"/>
      <c r="N15" s="165"/>
      <c r="P15" s="97"/>
      <c r="Q15" s="97"/>
      <c r="R15" s="97"/>
      <c r="S15" s="97"/>
      <c r="T15" s="97"/>
      <c r="U15" s="97"/>
      <c r="V15" s="97"/>
      <c r="X15" s="98"/>
      <c r="Y15" s="98"/>
      <c r="Z15" s="64"/>
      <c r="AB15" s="64"/>
      <c r="AC15" s="64"/>
      <c r="AD15" s="64"/>
      <c r="AE15" s="64"/>
      <c r="AF15" s="64"/>
    </row>
    <row r="16" spans="1:32" ht="15.75" customHeight="1" x14ac:dyDescent="0.2">
      <c r="A16" s="88"/>
      <c r="B16" s="165" t="str">
        <f>"CRP INTEGRANTE 4: "&amp;$C$10</f>
        <v>CRP INTEGRANTE 4: 0</v>
      </c>
      <c r="C16" s="165"/>
      <c r="D16" s="165"/>
      <c r="E16" s="165"/>
      <c r="F16" s="165"/>
      <c r="G16" s="165"/>
      <c r="H16" s="165"/>
      <c r="I16" s="165"/>
      <c r="J16" s="165"/>
      <c r="K16" s="165"/>
      <c r="L16" s="166">
        <f>$L$224</f>
        <v>426630400</v>
      </c>
      <c r="M16" s="165"/>
      <c r="N16" s="165"/>
      <c r="P16" s="97"/>
      <c r="Q16" s="97"/>
      <c r="R16" s="97"/>
      <c r="S16" s="97"/>
      <c r="T16" s="97"/>
      <c r="U16" s="97"/>
      <c r="V16" s="97"/>
      <c r="X16" s="98"/>
      <c r="Y16" s="98"/>
      <c r="Z16" s="64"/>
      <c r="AB16" s="64"/>
      <c r="AC16" s="64"/>
      <c r="AD16" s="64"/>
      <c r="AE16" s="64"/>
      <c r="AF16" s="64"/>
    </row>
    <row r="17" spans="1:33" ht="15.75" customHeight="1" x14ac:dyDescent="0.2">
      <c r="A17" s="88"/>
      <c r="B17" s="165" t="str">
        <f>"CRP INTEGRANTE 5: "&amp;$C$11</f>
        <v>CRP INTEGRANTE 5: 0</v>
      </c>
      <c r="C17" s="165"/>
      <c r="D17" s="165"/>
      <c r="E17" s="165"/>
      <c r="F17" s="165"/>
      <c r="G17" s="165"/>
      <c r="H17" s="165"/>
      <c r="I17" s="165"/>
      <c r="J17" s="165"/>
      <c r="K17" s="165"/>
      <c r="L17" s="166">
        <f>$L$224</f>
        <v>426630400</v>
      </c>
      <c r="M17" s="165"/>
      <c r="N17" s="165"/>
      <c r="P17" s="96"/>
      <c r="Q17" s="96"/>
      <c r="R17" s="96"/>
      <c r="S17" s="96"/>
      <c r="T17" s="96"/>
      <c r="U17" s="96"/>
      <c r="V17" s="96"/>
      <c r="X17" s="98"/>
      <c r="Y17" s="98"/>
      <c r="Z17" s="64"/>
      <c r="AB17" s="64"/>
      <c r="AC17" s="64"/>
      <c r="AD17" s="64"/>
      <c r="AE17" s="64"/>
      <c r="AF17" s="64"/>
    </row>
    <row r="18" spans="1:33" ht="12.75" x14ac:dyDescent="0.2">
      <c r="B18" s="165" t="str">
        <f>"TOTAL CRP PROPONENTE: "&amp;$F$4</f>
        <v>TOTAL CRP PROPONENTE: CONSORCIO MANTENIMIENTOS</v>
      </c>
      <c r="C18" s="165"/>
      <c r="D18" s="165"/>
      <c r="E18" s="165"/>
      <c r="F18" s="165"/>
      <c r="G18" s="165"/>
      <c r="H18" s="165"/>
      <c r="I18" s="165"/>
      <c r="J18" s="165"/>
      <c r="K18" s="165"/>
      <c r="L18" s="167">
        <f>SUM(L13:N17)</f>
        <v>2133152000</v>
      </c>
      <c r="M18" s="167"/>
      <c r="N18" s="167"/>
      <c r="P18" s="96"/>
      <c r="Q18" s="96"/>
      <c r="R18" s="96"/>
      <c r="S18" s="96"/>
      <c r="T18" s="96"/>
      <c r="U18" s="96"/>
      <c r="V18" s="96"/>
      <c r="X18" s="64"/>
      <c r="Y18" s="64"/>
      <c r="Z18" s="64"/>
      <c r="AB18" s="64"/>
      <c r="AC18" s="64"/>
      <c r="AD18" s="64"/>
      <c r="AE18" s="64"/>
      <c r="AF18" s="64"/>
    </row>
    <row r="19" spans="1:33" ht="15.75" customHeight="1" x14ac:dyDescent="0.2">
      <c r="B19" s="183" t="str">
        <f>"CONDICIÓN DEL PROPONENTE: "&amp;$F$4</f>
        <v>CONDICIÓN DEL PROPONENTE: CONSORCIO MANTENIMIENTOS</v>
      </c>
      <c r="C19" s="184"/>
      <c r="D19" s="184"/>
      <c r="E19" s="184"/>
      <c r="F19" s="184"/>
      <c r="G19" s="184"/>
      <c r="H19" s="184"/>
      <c r="I19" s="184"/>
      <c r="J19" s="184"/>
      <c r="K19" s="185"/>
      <c r="L19" s="215" t="str">
        <f>IF(AND(IF(L277="CUMPLE",TRUE,FALSE),IF(L280="CUMPLE",TRUE,FALSE),IF(L283="CUMPLE",TRUE,FALSE),IF(L286="CUMPLE",TRUE,FALSE),IF(L289="CUMPLE",TRUE,FALSE),IF(IF(L18&lt;I24,Q28,Q27)="CUMPLE",TRUE,FALSE))=TRUE,"CUMPLE",IF(OR(L277="",L280="",L283="",L286="",L289="")=TRUE,"PENDIENTE REVISIÓN","NO CUMPLE"))</f>
        <v>PENDIENTE REVISIÓN</v>
      </c>
      <c r="M19" s="215"/>
      <c r="N19" s="215"/>
      <c r="O19" s="96"/>
      <c r="P19" s="64"/>
      <c r="Q19" s="64"/>
      <c r="R19" s="64"/>
      <c r="S19" s="64"/>
      <c r="T19" s="64"/>
      <c r="U19" s="64"/>
      <c r="V19" s="64"/>
      <c r="W19" s="64"/>
      <c r="X19" s="64"/>
      <c r="Y19" s="64"/>
      <c r="Z19" s="64"/>
      <c r="AA19" s="64"/>
      <c r="AB19" s="64"/>
      <c r="AC19" s="64"/>
      <c r="AD19" s="64"/>
      <c r="AE19" s="64"/>
      <c r="AF19" s="64"/>
    </row>
    <row r="20" spans="1:33" ht="15.75" customHeight="1" thickBot="1" x14ac:dyDescent="0.25">
      <c r="B20" s="64"/>
      <c r="C20" s="64"/>
      <c r="D20" s="64"/>
      <c r="E20" s="64"/>
      <c r="F20" s="64"/>
      <c r="G20" s="64"/>
      <c r="H20" s="64"/>
      <c r="I20" s="64"/>
      <c r="J20" s="64"/>
      <c r="K20" s="64"/>
      <c r="L20" s="64"/>
      <c r="M20" s="64"/>
      <c r="N20" s="64"/>
      <c r="O20" s="64"/>
      <c r="P20" s="64"/>
      <c r="Q20" s="64"/>
      <c r="R20" s="64"/>
      <c r="S20" s="64"/>
      <c r="T20" s="64"/>
      <c r="U20" s="64"/>
      <c r="V20" s="64"/>
      <c r="W20" s="64"/>
      <c r="X20" s="64"/>
      <c r="Y20" s="64"/>
      <c r="Z20" s="64"/>
      <c r="AA20" s="64"/>
      <c r="AB20" s="64"/>
      <c r="AC20" s="64"/>
      <c r="AD20" s="64"/>
      <c r="AE20" s="64"/>
      <c r="AF20" s="64"/>
    </row>
    <row r="21" spans="1:33" ht="15.75" customHeight="1" thickBot="1" x14ac:dyDescent="0.3">
      <c r="B21" s="212" t="s">
        <v>96</v>
      </c>
      <c r="C21" s="212"/>
      <c r="D21" s="212"/>
      <c r="E21" s="212"/>
      <c r="F21" s="212"/>
      <c r="G21" s="212"/>
      <c r="H21" s="212"/>
      <c r="I21" s="212"/>
      <c r="J21" s="212"/>
      <c r="K21" s="212"/>
      <c r="L21" s="212"/>
      <c r="M21" s="212"/>
      <c r="N21" s="212"/>
      <c r="T21" s="231" t="s">
        <v>108</v>
      </c>
      <c r="U21" s="231"/>
      <c r="V21" s="232" t="str">
        <f>B26</f>
        <v>INTEGRANTE 1: Juan Pablo Dorado Martínez</v>
      </c>
      <c r="W21" s="233"/>
      <c r="X21" s="233"/>
      <c r="Y21" s="233"/>
      <c r="Z21" s="233"/>
      <c r="AA21" s="234"/>
    </row>
    <row r="22" spans="1:33" ht="15.75" customHeight="1" thickBot="1" x14ac:dyDescent="0.3">
      <c r="B22" s="212" t="s">
        <v>97</v>
      </c>
      <c r="C22" s="212"/>
      <c r="D22" s="212"/>
      <c r="E22" s="212"/>
      <c r="F22" s="212" t="s">
        <v>98</v>
      </c>
      <c r="G22" s="212"/>
      <c r="H22" s="91" t="s">
        <v>99</v>
      </c>
      <c r="I22" s="216" t="s">
        <v>100</v>
      </c>
      <c r="J22" s="216"/>
      <c r="K22" s="216"/>
      <c r="L22" s="216"/>
      <c r="M22" s="216"/>
      <c r="N22" s="216"/>
      <c r="Q22" s="103" t="s">
        <v>210</v>
      </c>
      <c r="T22" s="104" t="s">
        <v>111</v>
      </c>
      <c r="U22" s="105">
        <v>45614</v>
      </c>
      <c r="AA22" s="106"/>
      <c r="AC22" s="107"/>
      <c r="AE22" s="107"/>
    </row>
    <row r="23" spans="1:33" ht="13.5" thickBot="1" x14ac:dyDescent="0.3">
      <c r="B23" s="224">
        <f>+'EVALUACIÓN EXPERIENCIA'!D5</f>
        <v>724761029</v>
      </c>
      <c r="C23" s="224"/>
      <c r="D23" s="224"/>
      <c r="E23" s="224"/>
      <c r="F23" s="224">
        <f>+B23*25%</f>
        <v>181190257.25</v>
      </c>
      <c r="G23" s="224"/>
      <c r="H23" s="100">
        <v>3</v>
      </c>
      <c r="I23" s="250">
        <f>IFERROR(ROUND(((B23-F23)/H23)*12,0),0)</f>
        <v>2174283087</v>
      </c>
      <c r="J23" s="250"/>
      <c r="K23" s="250"/>
      <c r="L23" s="250"/>
      <c r="M23" s="250"/>
      <c r="N23" s="250"/>
      <c r="Q23" s="108">
        <v>1423500</v>
      </c>
      <c r="T23" s="109"/>
      <c r="U23" s="110"/>
      <c r="Y23" s="106"/>
      <c r="AA23" s="107"/>
      <c r="AB23" s="111"/>
      <c r="AE23" s="107"/>
    </row>
    <row r="24" spans="1:33" ht="12.75" x14ac:dyDescent="0.25">
      <c r="B24" s="222" t="s">
        <v>101</v>
      </c>
      <c r="C24" s="222"/>
      <c r="D24" s="222"/>
      <c r="E24" s="222"/>
      <c r="F24" s="222"/>
      <c r="G24" s="222"/>
      <c r="H24" s="222"/>
      <c r="I24" s="167">
        <f>SUM(I23:N23)</f>
        <v>2174283087</v>
      </c>
      <c r="J24" s="167"/>
      <c r="K24" s="167"/>
      <c r="L24" s="167"/>
      <c r="M24" s="167"/>
      <c r="N24" s="167"/>
      <c r="Q24" s="112"/>
      <c r="T24" s="229" t="s">
        <v>113</v>
      </c>
      <c r="U24" s="225" t="s">
        <v>114</v>
      </c>
      <c r="V24" s="225" t="s">
        <v>115</v>
      </c>
      <c r="W24" s="225" t="s">
        <v>116</v>
      </c>
      <c r="X24" s="225" t="s">
        <v>117</v>
      </c>
      <c r="Y24" s="225" t="s">
        <v>118</v>
      </c>
      <c r="Z24" s="225" t="s">
        <v>119</v>
      </c>
      <c r="AA24" s="225" t="s">
        <v>120</v>
      </c>
      <c r="AB24" s="225" t="s">
        <v>121</v>
      </c>
      <c r="AC24" s="225" t="s">
        <v>122</v>
      </c>
      <c r="AD24" s="225" t="s">
        <v>123</v>
      </c>
      <c r="AE24" s="225" t="s">
        <v>124</v>
      </c>
    </row>
    <row r="25" spans="1:33" ht="13.5" thickBot="1" x14ac:dyDescent="0.3">
      <c r="B25" s="101"/>
      <c r="C25" s="101"/>
      <c r="D25" s="101"/>
      <c r="E25" s="101"/>
      <c r="F25" s="101"/>
      <c r="G25" s="101"/>
      <c r="H25" s="101"/>
      <c r="I25" s="102"/>
      <c r="J25" s="102"/>
      <c r="K25" s="102"/>
      <c r="L25" s="102"/>
      <c r="M25" s="102"/>
      <c r="N25" s="102"/>
      <c r="Q25" s="112"/>
      <c r="T25" s="230"/>
      <c r="U25" s="226"/>
      <c r="V25" s="226"/>
      <c r="W25" s="226"/>
      <c r="X25" s="226"/>
      <c r="Y25" s="226"/>
      <c r="Z25" s="226"/>
      <c r="AA25" s="226"/>
      <c r="AB25" s="226"/>
      <c r="AC25" s="226"/>
      <c r="AD25" s="226"/>
      <c r="AE25" s="226"/>
    </row>
    <row r="26" spans="1:33" ht="15.75" customHeight="1" thickBot="1" x14ac:dyDescent="0.3">
      <c r="B26" s="180" t="str">
        <f>"INTEGRANTE 1: "&amp;$C$7</f>
        <v>INTEGRANTE 1: Juan Pablo Dorado Martínez</v>
      </c>
      <c r="C26" s="181"/>
      <c r="D26" s="181"/>
      <c r="E26" s="181"/>
      <c r="F26" s="181"/>
      <c r="G26" s="181"/>
      <c r="H26" s="181"/>
      <c r="I26" s="181"/>
      <c r="J26" s="181"/>
      <c r="K26" s="181"/>
      <c r="L26" s="181"/>
      <c r="M26" s="181"/>
      <c r="N26" s="182"/>
      <c r="T26" s="113">
        <v>1</v>
      </c>
      <c r="U26" s="113" t="s">
        <v>128</v>
      </c>
      <c r="V26" s="114">
        <v>44995</v>
      </c>
      <c r="W26" s="114">
        <v>45545</v>
      </c>
      <c r="X26" s="114">
        <v>45475</v>
      </c>
      <c r="Y26" s="115">
        <f>2195389085</f>
        <v>2195389085</v>
      </c>
      <c r="Z26" s="116">
        <v>0.9</v>
      </c>
      <c r="AA26" s="117">
        <f>Y26*Z26</f>
        <v>1975850176.5</v>
      </c>
      <c r="AB26" s="118">
        <f>DAYS360(V26,W26)</f>
        <v>540</v>
      </c>
      <c r="AC26" s="118">
        <f>IF(X26&gt;$R$45,(X26-V26),($U$22-V26))</f>
        <v>480</v>
      </c>
      <c r="AD26" s="118">
        <f t="shared" ref="AD26:AD68" si="0">IF((AB26-AC26)&gt;$P$28,$P$28,(AB26-AC26))</f>
        <v>60</v>
      </c>
      <c r="AE26" s="117">
        <f>ROUND((AA26/AB26)*AD26,0)</f>
        <v>219538909</v>
      </c>
    </row>
    <row r="27" spans="1:33" ht="15.75" customHeight="1" thickBot="1" x14ac:dyDescent="0.3">
      <c r="B27" s="227" t="s">
        <v>102</v>
      </c>
      <c r="C27" s="227"/>
      <c r="D27" s="227"/>
      <c r="E27" s="227"/>
      <c r="F27" s="227"/>
      <c r="G27" s="227"/>
      <c r="H27" s="227"/>
      <c r="I27" s="228">
        <f>$G$7</f>
        <v>0.2</v>
      </c>
      <c r="J27" s="228"/>
      <c r="K27" s="228"/>
      <c r="L27" s="228"/>
      <c r="M27" s="228"/>
      <c r="N27" s="228"/>
      <c r="P27" s="99" t="s">
        <v>130</v>
      </c>
      <c r="Q27" s="99" t="s">
        <v>0</v>
      </c>
      <c r="R27" s="99" t="s">
        <v>131</v>
      </c>
      <c r="T27" s="113">
        <f>T26+1</f>
        <v>2</v>
      </c>
      <c r="U27" s="113" t="s">
        <v>132</v>
      </c>
      <c r="V27" s="114">
        <v>45229</v>
      </c>
      <c r="W27" s="114">
        <f>U22+81</f>
        <v>45695</v>
      </c>
      <c r="X27" s="114"/>
      <c r="Y27" s="115">
        <v>5625559703</v>
      </c>
      <c r="Z27" s="116">
        <v>1</v>
      </c>
      <c r="AA27" s="117">
        <f t="shared" ref="AA27:AA68" si="1">Y27*Z27</f>
        <v>5625559703</v>
      </c>
      <c r="AB27" s="118">
        <f>DAYS360(V27,W27)</f>
        <v>457</v>
      </c>
      <c r="AC27" s="118">
        <f>IF(X27&gt;$R$45,(X27-V27),($U$22-V27))</f>
        <v>385</v>
      </c>
      <c r="AD27" s="118">
        <f t="shared" si="0"/>
        <v>72</v>
      </c>
      <c r="AE27" s="120">
        <v>886496604</v>
      </c>
      <c r="AG27" s="111"/>
    </row>
    <row r="28" spans="1:33" ht="13.5" thickBot="1" x14ac:dyDescent="0.3">
      <c r="B28" s="212" t="s">
        <v>103</v>
      </c>
      <c r="C28" s="212"/>
      <c r="D28" s="212"/>
      <c r="E28" s="212"/>
      <c r="F28" s="212"/>
      <c r="G28" s="212"/>
      <c r="H28" s="212" t="s">
        <v>104</v>
      </c>
      <c r="I28" s="212"/>
      <c r="J28" s="212"/>
      <c r="K28" s="212"/>
      <c r="L28" s="212"/>
      <c r="M28" s="212"/>
      <c r="N28" s="91" t="s">
        <v>105</v>
      </c>
      <c r="P28" s="79">
        <v>360</v>
      </c>
      <c r="Q28" s="79" t="s">
        <v>3</v>
      </c>
      <c r="R28" s="79">
        <v>12</v>
      </c>
      <c r="T28" s="113">
        <f t="shared" ref="T28:T68" si="2">T27+1</f>
        <v>3</v>
      </c>
      <c r="U28" s="113" t="s">
        <v>134</v>
      </c>
      <c r="V28" s="114">
        <v>45245</v>
      </c>
      <c r="W28" s="114">
        <v>45762</v>
      </c>
      <c r="X28" s="114"/>
      <c r="Y28" s="115">
        <v>9378471365.0200005</v>
      </c>
      <c r="Z28" s="116">
        <v>0.7</v>
      </c>
      <c r="AA28" s="117">
        <f t="shared" si="1"/>
        <v>6564929955.5139999</v>
      </c>
      <c r="AB28" s="118">
        <f>DAYS360(V28,W28)</f>
        <v>510</v>
      </c>
      <c r="AC28" s="118">
        <f>IF(X28&gt;$R$45,(X28-V28),($U$22-V28))</f>
        <v>369</v>
      </c>
      <c r="AD28" s="118">
        <f t="shared" si="0"/>
        <v>141</v>
      </c>
      <c r="AE28" s="117">
        <f t="shared" ref="AE28:AE68" si="3">ROUND((AA28/AB28)*AD28,0)</f>
        <v>1815010047</v>
      </c>
      <c r="AG28" s="111"/>
    </row>
    <row r="29" spans="1:33" ht="15.75" customHeight="1" thickBot="1" x14ac:dyDescent="0.3">
      <c r="B29" s="186"/>
      <c r="C29" s="187"/>
      <c r="D29" s="187"/>
      <c r="E29" s="187"/>
      <c r="F29" s="187"/>
      <c r="G29" s="188"/>
      <c r="H29" s="217" t="s">
        <v>106</v>
      </c>
      <c r="I29" s="217"/>
      <c r="J29" s="217"/>
      <c r="K29" s="217"/>
      <c r="L29" s="217"/>
      <c r="M29" s="217"/>
      <c r="N29" s="79">
        <v>120</v>
      </c>
      <c r="T29" s="113">
        <f t="shared" si="2"/>
        <v>4</v>
      </c>
      <c r="U29" s="113" t="s">
        <v>138</v>
      </c>
      <c r="V29" s="114"/>
      <c r="W29" s="114">
        <f t="shared" ref="W29:W68" si="4">W28</f>
        <v>45762</v>
      </c>
      <c r="X29" s="114"/>
      <c r="Y29" s="115">
        <v>0</v>
      </c>
      <c r="Z29" s="116">
        <v>1</v>
      </c>
      <c r="AA29" s="117">
        <f t="shared" si="1"/>
        <v>0</v>
      </c>
      <c r="AB29" s="118">
        <f t="shared" ref="AB29:AB68" si="5">DAYS360(V29,W29)+1</f>
        <v>45106</v>
      </c>
      <c r="AC29" s="118">
        <f t="shared" ref="AC29:AC68" si="6">IF(X29&gt;$R$45,(X29-V29)+1,($U$22-V29)+1)</f>
        <v>45615</v>
      </c>
      <c r="AD29" s="118">
        <f t="shared" si="0"/>
        <v>-509</v>
      </c>
      <c r="AE29" s="117">
        <f t="shared" si="3"/>
        <v>0</v>
      </c>
    </row>
    <row r="30" spans="1:33" ht="15.75" customHeight="1" thickBot="1" x14ac:dyDescent="0.3">
      <c r="B30" s="189"/>
      <c r="C30" s="190"/>
      <c r="D30" s="190"/>
      <c r="E30" s="190"/>
      <c r="F30" s="190"/>
      <c r="G30" s="191"/>
      <c r="H30" s="217" t="s">
        <v>107</v>
      </c>
      <c r="I30" s="217"/>
      <c r="J30" s="217"/>
      <c r="K30" s="217"/>
      <c r="L30" s="217"/>
      <c r="M30" s="217"/>
      <c r="N30" s="79">
        <v>40</v>
      </c>
      <c r="P30" s="99" t="s">
        <v>139</v>
      </c>
      <c r="Q30" s="99" t="s">
        <v>140</v>
      </c>
      <c r="R30" s="99" t="s">
        <v>141</v>
      </c>
      <c r="T30" s="113">
        <f t="shared" si="2"/>
        <v>5</v>
      </c>
      <c r="U30" s="113" t="s">
        <v>142</v>
      </c>
      <c r="V30" s="114"/>
      <c r="W30" s="114">
        <f t="shared" si="4"/>
        <v>45762</v>
      </c>
      <c r="X30" s="114"/>
      <c r="Y30" s="115">
        <v>0</v>
      </c>
      <c r="Z30" s="116">
        <v>1</v>
      </c>
      <c r="AA30" s="117">
        <f t="shared" si="1"/>
        <v>0</v>
      </c>
      <c r="AB30" s="118">
        <f t="shared" si="5"/>
        <v>45106</v>
      </c>
      <c r="AC30" s="118">
        <f t="shared" si="6"/>
        <v>45615</v>
      </c>
      <c r="AD30" s="118">
        <f t="shared" si="0"/>
        <v>-509</v>
      </c>
      <c r="AE30" s="117">
        <f t="shared" si="3"/>
        <v>0</v>
      </c>
    </row>
    <row r="31" spans="1:33" ht="15.75" customHeight="1" thickBot="1" x14ac:dyDescent="0.3">
      <c r="B31" s="189"/>
      <c r="C31" s="190"/>
      <c r="D31" s="190"/>
      <c r="E31" s="190"/>
      <c r="F31" s="190"/>
      <c r="G31" s="191"/>
      <c r="H31" s="217" t="s">
        <v>109</v>
      </c>
      <c r="I31" s="217"/>
      <c r="J31" s="217"/>
      <c r="K31" s="217"/>
      <c r="L31" s="217"/>
      <c r="M31" s="217"/>
      <c r="N31" s="79">
        <v>40</v>
      </c>
      <c r="O31" s="119"/>
      <c r="P31" s="121">
        <v>125000</v>
      </c>
      <c r="Q31" s="108">
        <f>533287768/P31</f>
        <v>4266.3021440000002</v>
      </c>
      <c r="R31" s="108">
        <f>ROUNDUP(P31*Q31,-3)</f>
        <v>533288000</v>
      </c>
      <c r="T31" s="113">
        <f t="shared" si="2"/>
        <v>6</v>
      </c>
      <c r="U31" s="113" t="s">
        <v>143</v>
      </c>
      <c r="V31" s="114"/>
      <c r="W31" s="114">
        <f t="shared" si="4"/>
        <v>45762</v>
      </c>
      <c r="X31" s="114"/>
      <c r="Y31" s="115">
        <v>0</v>
      </c>
      <c r="Z31" s="116">
        <v>1</v>
      </c>
      <c r="AA31" s="117">
        <f t="shared" si="1"/>
        <v>0</v>
      </c>
      <c r="AB31" s="118">
        <f t="shared" si="5"/>
        <v>45106</v>
      </c>
      <c r="AC31" s="118">
        <f t="shared" si="6"/>
        <v>45615</v>
      </c>
      <c r="AD31" s="118">
        <f t="shared" si="0"/>
        <v>-509</v>
      </c>
      <c r="AE31" s="117">
        <f t="shared" si="3"/>
        <v>0</v>
      </c>
    </row>
    <row r="32" spans="1:33" ht="15.75" customHeight="1" thickBot="1" x14ac:dyDescent="0.3">
      <c r="B32" s="192"/>
      <c r="C32" s="193"/>
      <c r="D32" s="193"/>
      <c r="E32" s="193"/>
      <c r="F32" s="193"/>
      <c r="G32" s="194"/>
      <c r="H32" s="212" t="s">
        <v>44</v>
      </c>
      <c r="I32" s="212"/>
      <c r="J32" s="212"/>
      <c r="K32" s="212"/>
      <c r="L32" s="212"/>
      <c r="M32" s="212"/>
      <c r="N32" s="79">
        <f>SUM(N29:N31)</f>
        <v>200</v>
      </c>
      <c r="O32" s="119"/>
      <c r="Q32" s="81" t="s">
        <v>144</v>
      </c>
      <c r="T32" s="113">
        <f t="shared" si="2"/>
        <v>7</v>
      </c>
      <c r="U32" s="113" t="s">
        <v>145</v>
      </c>
      <c r="V32" s="114"/>
      <c r="W32" s="114">
        <f t="shared" si="4"/>
        <v>45762</v>
      </c>
      <c r="X32" s="114"/>
      <c r="Y32" s="115">
        <v>0</v>
      </c>
      <c r="Z32" s="116">
        <v>1</v>
      </c>
      <c r="AA32" s="117">
        <f t="shared" si="1"/>
        <v>0</v>
      </c>
      <c r="AB32" s="118">
        <f t="shared" si="5"/>
        <v>45106</v>
      </c>
      <c r="AC32" s="118">
        <f t="shared" si="6"/>
        <v>45615</v>
      </c>
      <c r="AD32" s="118">
        <f t="shared" si="0"/>
        <v>-509</v>
      </c>
      <c r="AE32" s="117">
        <f t="shared" si="3"/>
        <v>0</v>
      </c>
    </row>
    <row r="33" spans="2:31" ht="15.75" customHeight="1" thickBot="1" x14ac:dyDescent="0.3">
      <c r="B33" s="212" t="s">
        <v>112</v>
      </c>
      <c r="C33" s="212"/>
      <c r="D33" s="212"/>
      <c r="E33" s="212"/>
      <c r="F33" s="212"/>
      <c r="G33" s="212"/>
      <c r="H33" s="212"/>
      <c r="I33" s="212"/>
      <c r="J33" s="212"/>
      <c r="K33" s="212"/>
      <c r="L33" s="212"/>
      <c r="M33" s="212"/>
      <c r="N33" s="212"/>
      <c r="O33" s="119"/>
      <c r="P33" s="212" t="s">
        <v>146</v>
      </c>
      <c r="Q33" s="212"/>
      <c r="R33" s="99" t="s">
        <v>147</v>
      </c>
      <c r="T33" s="113">
        <f t="shared" si="2"/>
        <v>8</v>
      </c>
      <c r="U33" s="113" t="s">
        <v>148</v>
      </c>
      <c r="V33" s="114"/>
      <c r="W33" s="114">
        <f t="shared" si="4"/>
        <v>45762</v>
      </c>
      <c r="X33" s="114"/>
      <c r="Y33" s="115">
        <v>0</v>
      </c>
      <c r="Z33" s="116">
        <v>1</v>
      </c>
      <c r="AA33" s="117">
        <f t="shared" si="1"/>
        <v>0</v>
      </c>
      <c r="AB33" s="118">
        <f t="shared" si="5"/>
        <v>45106</v>
      </c>
      <c r="AC33" s="118">
        <f t="shared" si="6"/>
        <v>45615</v>
      </c>
      <c r="AD33" s="118">
        <f t="shared" si="0"/>
        <v>-509</v>
      </c>
      <c r="AE33" s="117">
        <f t="shared" si="3"/>
        <v>0</v>
      </c>
    </row>
    <row r="34" spans="2:31" ht="15.75" customHeight="1" thickBot="1" x14ac:dyDescent="0.3">
      <c r="B34" s="400" t="s">
        <v>125</v>
      </c>
      <c r="C34" s="401"/>
      <c r="D34" s="401"/>
      <c r="E34" s="401"/>
      <c r="F34" s="401"/>
      <c r="G34" s="401"/>
      <c r="H34" s="402"/>
      <c r="I34" s="183" t="s">
        <v>126</v>
      </c>
      <c r="J34" s="184"/>
      <c r="K34" s="184"/>
      <c r="L34" s="184"/>
      <c r="M34" s="184"/>
      <c r="N34" s="185"/>
      <c r="P34" s="79">
        <v>0</v>
      </c>
      <c r="Q34" s="79">
        <v>3</v>
      </c>
      <c r="R34" s="79">
        <v>60</v>
      </c>
      <c r="T34" s="113">
        <f t="shared" si="2"/>
        <v>9</v>
      </c>
      <c r="U34" s="113" t="s">
        <v>149</v>
      </c>
      <c r="V34" s="114"/>
      <c r="W34" s="114">
        <f t="shared" si="4"/>
        <v>45762</v>
      </c>
      <c r="X34" s="114"/>
      <c r="Y34" s="115">
        <v>0</v>
      </c>
      <c r="Z34" s="116">
        <v>1</v>
      </c>
      <c r="AA34" s="117">
        <f t="shared" si="1"/>
        <v>0</v>
      </c>
      <c r="AB34" s="118">
        <f t="shared" si="5"/>
        <v>45106</v>
      </c>
      <c r="AC34" s="118">
        <f t="shared" si="6"/>
        <v>45615</v>
      </c>
      <c r="AD34" s="118">
        <f t="shared" si="0"/>
        <v>-509</v>
      </c>
      <c r="AE34" s="117">
        <f t="shared" si="3"/>
        <v>0</v>
      </c>
    </row>
    <row r="35" spans="2:31" ht="15.75" customHeight="1" thickBot="1" x14ac:dyDescent="0.3">
      <c r="B35" s="399" t="s">
        <v>127</v>
      </c>
      <c r="C35" s="399"/>
      <c r="D35" s="399"/>
      <c r="E35" s="399"/>
      <c r="F35" s="399"/>
      <c r="G35" s="399"/>
      <c r="H35" s="399"/>
      <c r="I35" s="168">
        <f>IF($H$7&gt;$R$31,$H$7,$R$31)</f>
        <v>533288000</v>
      </c>
      <c r="J35" s="169"/>
      <c r="K35" s="169"/>
      <c r="L35" s="169"/>
      <c r="M35" s="169"/>
      <c r="N35" s="170"/>
      <c r="P35" s="79">
        <v>3</v>
      </c>
      <c r="Q35" s="79">
        <v>6</v>
      </c>
      <c r="R35" s="79">
        <v>80</v>
      </c>
      <c r="T35" s="113">
        <f t="shared" si="2"/>
        <v>10</v>
      </c>
      <c r="U35" s="113" t="s">
        <v>150</v>
      </c>
      <c r="V35" s="114"/>
      <c r="W35" s="114">
        <f t="shared" si="4"/>
        <v>45762</v>
      </c>
      <c r="X35" s="114"/>
      <c r="Y35" s="115">
        <v>0</v>
      </c>
      <c r="Z35" s="116">
        <v>1</v>
      </c>
      <c r="AA35" s="117">
        <f t="shared" si="1"/>
        <v>0</v>
      </c>
      <c r="AB35" s="118">
        <f t="shared" si="5"/>
        <v>45106</v>
      </c>
      <c r="AC35" s="118">
        <f t="shared" si="6"/>
        <v>45615</v>
      </c>
      <c r="AD35" s="118">
        <f t="shared" si="0"/>
        <v>-509</v>
      </c>
      <c r="AE35" s="117">
        <f t="shared" si="3"/>
        <v>0</v>
      </c>
    </row>
    <row r="36" spans="2:31" ht="15.75" customHeight="1" thickBot="1" x14ac:dyDescent="0.3">
      <c r="B36" s="212" t="s">
        <v>129</v>
      </c>
      <c r="C36" s="212"/>
      <c r="D36" s="212"/>
      <c r="E36" s="212"/>
      <c r="F36" s="212"/>
      <c r="G36" s="212"/>
      <c r="H36" s="212"/>
      <c r="I36" s="212"/>
      <c r="J36" s="212"/>
      <c r="K36" s="212"/>
      <c r="L36" s="212"/>
      <c r="M36" s="212"/>
      <c r="N36" s="212"/>
      <c r="P36" s="79">
        <v>6</v>
      </c>
      <c r="Q36" s="79">
        <v>10</v>
      </c>
      <c r="R36" s="79">
        <v>100</v>
      </c>
      <c r="T36" s="113">
        <f t="shared" si="2"/>
        <v>11</v>
      </c>
      <c r="U36" s="113" t="s">
        <v>151</v>
      </c>
      <c r="V36" s="114"/>
      <c r="W36" s="114">
        <f t="shared" si="4"/>
        <v>45762</v>
      </c>
      <c r="X36" s="114"/>
      <c r="Y36" s="115">
        <v>0</v>
      </c>
      <c r="Z36" s="116">
        <v>1</v>
      </c>
      <c r="AA36" s="117">
        <f t="shared" si="1"/>
        <v>0</v>
      </c>
      <c r="AB36" s="118">
        <f t="shared" si="5"/>
        <v>45106</v>
      </c>
      <c r="AC36" s="118">
        <f t="shared" si="6"/>
        <v>45615</v>
      </c>
      <c r="AD36" s="118">
        <f t="shared" si="0"/>
        <v>-509</v>
      </c>
      <c r="AE36" s="117">
        <f t="shared" si="3"/>
        <v>0</v>
      </c>
    </row>
    <row r="37" spans="2:31" ht="15.75" customHeight="1" thickBot="1" x14ac:dyDescent="0.3">
      <c r="B37" s="212" t="s">
        <v>133</v>
      </c>
      <c r="C37" s="212"/>
      <c r="D37" s="212"/>
      <c r="E37" s="212"/>
      <c r="F37" s="212"/>
      <c r="G37" s="212"/>
      <c r="H37" s="212"/>
      <c r="I37" s="212"/>
      <c r="J37" s="212"/>
      <c r="K37" s="212"/>
      <c r="L37" s="212"/>
      <c r="M37" s="212"/>
      <c r="N37" s="212"/>
      <c r="P37" s="79">
        <v>10</v>
      </c>
      <c r="Q37" s="79"/>
      <c r="R37" s="79">
        <v>120</v>
      </c>
      <c r="T37" s="113">
        <f t="shared" si="2"/>
        <v>12</v>
      </c>
      <c r="U37" s="113" t="s">
        <v>152</v>
      </c>
      <c r="V37" s="114"/>
      <c r="W37" s="114">
        <f t="shared" si="4"/>
        <v>45762</v>
      </c>
      <c r="X37" s="114"/>
      <c r="Y37" s="115">
        <v>0</v>
      </c>
      <c r="Z37" s="116">
        <v>1</v>
      </c>
      <c r="AA37" s="117">
        <f t="shared" si="1"/>
        <v>0</v>
      </c>
      <c r="AB37" s="118">
        <f t="shared" si="5"/>
        <v>45106</v>
      </c>
      <c r="AC37" s="118">
        <f t="shared" si="6"/>
        <v>45615</v>
      </c>
      <c r="AD37" s="118">
        <f t="shared" si="0"/>
        <v>-509</v>
      </c>
      <c r="AE37" s="117">
        <f t="shared" si="3"/>
        <v>0</v>
      </c>
    </row>
    <row r="38" spans="2:31" ht="15.75" customHeight="1" thickBot="1" x14ac:dyDescent="0.25">
      <c r="B38" s="122" t="s">
        <v>135</v>
      </c>
      <c r="C38" s="160" t="s">
        <v>136</v>
      </c>
      <c r="D38" s="122" t="s">
        <v>135</v>
      </c>
      <c r="E38" s="160" t="s">
        <v>136</v>
      </c>
      <c r="F38" s="122" t="s">
        <v>135</v>
      </c>
      <c r="G38" s="160" t="s">
        <v>136</v>
      </c>
      <c r="H38" s="122" t="s">
        <v>135</v>
      </c>
      <c r="I38" s="160" t="s">
        <v>136</v>
      </c>
      <c r="J38" s="122" t="s">
        <v>135</v>
      </c>
      <c r="K38" s="160" t="s">
        <v>136</v>
      </c>
      <c r="L38" s="122" t="s">
        <v>135</v>
      </c>
      <c r="M38" s="160" t="s">
        <v>136</v>
      </c>
      <c r="N38" s="195" t="s">
        <v>137</v>
      </c>
      <c r="P38" s="212" t="s">
        <v>153</v>
      </c>
      <c r="Q38" s="212"/>
      <c r="R38" s="99" t="s">
        <v>147</v>
      </c>
      <c r="T38" s="113">
        <f t="shared" si="2"/>
        <v>13</v>
      </c>
      <c r="U38" s="113" t="s">
        <v>154</v>
      </c>
      <c r="V38" s="114"/>
      <c r="W38" s="114">
        <f t="shared" si="4"/>
        <v>45762</v>
      </c>
      <c r="X38" s="114"/>
      <c r="Y38" s="115">
        <v>0</v>
      </c>
      <c r="Z38" s="116">
        <v>1</v>
      </c>
      <c r="AA38" s="117">
        <f t="shared" si="1"/>
        <v>0</v>
      </c>
      <c r="AB38" s="118">
        <f t="shared" si="5"/>
        <v>45106</v>
      </c>
      <c r="AC38" s="118">
        <f t="shared" si="6"/>
        <v>45615</v>
      </c>
      <c r="AD38" s="118">
        <f t="shared" si="0"/>
        <v>-509</v>
      </c>
      <c r="AE38" s="117">
        <f t="shared" si="3"/>
        <v>0</v>
      </c>
    </row>
    <row r="39" spans="2:31" ht="15.75" customHeight="1" thickBot="1" x14ac:dyDescent="0.25">
      <c r="B39" s="123">
        <v>1</v>
      </c>
      <c r="C39" s="159"/>
      <c r="D39" s="123">
        <v>22</v>
      </c>
      <c r="E39" s="159"/>
      <c r="F39" s="123">
        <v>43</v>
      </c>
      <c r="G39" s="158"/>
      <c r="H39" s="123">
        <v>64</v>
      </c>
      <c r="I39" s="158"/>
      <c r="J39" s="123">
        <v>85</v>
      </c>
      <c r="K39" s="158"/>
      <c r="L39" s="123">
        <v>106</v>
      </c>
      <c r="M39" s="158"/>
      <c r="N39" s="196"/>
      <c r="P39" s="124">
        <v>0</v>
      </c>
      <c r="Q39" s="124">
        <v>0.5</v>
      </c>
      <c r="R39" s="79">
        <v>20</v>
      </c>
      <c r="T39" s="113">
        <f t="shared" si="2"/>
        <v>14</v>
      </c>
      <c r="U39" s="113" t="s">
        <v>155</v>
      </c>
      <c r="V39" s="114"/>
      <c r="W39" s="114">
        <f t="shared" si="4"/>
        <v>45762</v>
      </c>
      <c r="X39" s="114"/>
      <c r="Y39" s="115">
        <v>0</v>
      </c>
      <c r="Z39" s="116">
        <v>1</v>
      </c>
      <c r="AA39" s="117">
        <f t="shared" si="1"/>
        <v>0</v>
      </c>
      <c r="AB39" s="118">
        <f t="shared" si="5"/>
        <v>45106</v>
      </c>
      <c r="AC39" s="118">
        <f t="shared" si="6"/>
        <v>45615</v>
      </c>
      <c r="AD39" s="118">
        <f t="shared" si="0"/>
        <v>-509</v>
      </c>
      <c r="AE39" s="117">
        <f t="shared" si="3"/>
        <v>0</v>
      </c>
    </row>
    <row r="40" spans="2:31" ht="15.75" customHeight="1" thickBot="1" x14ac:dyDescent="0.25">
      <c r="B40" s="123">
        <f>+B39+1</f>
        <v>2</v>
      </c>
      <c r="C40" s="159"/>
      <c r="D40" s="123">
        <f>+D39+1</f>
        <v>23</v>
      </c>
      <c r="E40" s="159"/>
      <c r="F40" s="123">
        <f>+F39+1</f>
        <v>44</v>
      </c>
      <c r="G40" s="158"/>
      <c r="H40" s="123">
        <f>+H39+1</f>
        <v>65</v>
      </c>
      <c r="I40" s="158"/>
      <c r="J40" s="123">
        <f>+J39+1</f>
        <v>86</v>
      </c>
      <c r="K40" s="158"/>
      <c r="L40" s="123">
        <f>+L39+1</f>
        <v>107</v>
      </c>
      <c r="M40" s="158"/>
      <c r="N40" s="196"/>
      <c r="P40" s="124">
        <v>0.5</v>
      </c>
      <c r="Q40" s="124">
        <v>0.75</v>
      </c>
      <c r="R40" s="79">
        <v>25</v>
      </c>
      <c r="T40" s="113">
        <f t="shared" si="2"/>
        <v>15</v>
      </c>
      <c r="U40" s="113" t="s">
        <v>156</v>
      </c>
      <c r="V40" s="114"/>
      <c r="W40" s="114">
        <f t="shared" si="4"/>
        <v>45762</v>
      </c>
      <c r="X40" s="114"/>
      <c r="Y40" s="115">
        <v>0</v>
      </c>
      <c r="Z40" s="116">
        <v>1</v>
      </c>
      <c r="AA40" s="117">
        <f t="shared" si="1"/>
        <v>0</v>
      </c>
      <c r="AB40" s="118">
        <f t="shared" si="5"/>
        <v>45106</v>
      </c>
      <c r="AC40" s="118">
        <f t="shared" si="6"/>
        <v>45615</v>
      </c>
      <c r="AD40" s="118">
        <f t="shared" si="0"/>
        <v>-509</v>
      </c>
      <c r="AE40" s="117">
        <f t="shared" si="3"/>
        <v>0</v>
      </c>
    </row>
    <row r="41" spans="2:31" ht="15.75" customHeight="1" thickBot="1" x14ac:dyDescent="0.25">
      <c r="B41" s="123">
        <f t="shared" ref="B41:B59" si="7">+B40+1</f>
        <v>3</v>
      </c>
      <c r="C41" s="159"/>
      <c r="D41" s="123">
        <f t="shared" ref="D41:L59" si="8">+D40+1</f>
        <v>24</v>
      </c>
      <c r="E41" s="159"/>
      <c r="F41" s="123">
        <f t="shared" si="8"/>
        <v>45</v>
      </c>
      <c r="G41" s="158"/>
      <c r="H41" s="123">
        <f t="shared" si="8"/>
        <v>66</v>
      </c>
      <c r="I41" s="158"/>
      <c r="J41" s="123">
        <f t="shared" si="8"/>
        <v>87</v>
      </c>
      <c r="K41" s="158"/>
      <c r="L41" s="123">
        <f t="shared" si="8"/>
        <v>108</v>
      </c>
      <c r="M41" s="158"/>
      <c r="N41" s="196"/>
      <c r="P41" s="124">
        <v>0.75</v>
      </c>
      <c r="Q41" s="124">
        <v>1</v>
      </c>
      <c r="R41" s="79">
        <v>30</v>
      </c>
      <c r="T41" s="113">
        <f t="shared" si="2"/>
        <v>16</v>
      </c>
      <c r="U41" s="113" t="s">
        <v>157</v>
      </c>
      <c r="V41" s="114"/>
      <c r="W41" s="114">
        <f t="shared" si="4"/>
        <v>45762</v>
      </c>
      <c r="X41" s="114"/>
      <c r="Y41" s="115">
        <v>0</v>
      </c>
      <c r="Z41" s="116">
        <v>1</v>
      </c>
      <c r="AA41" s="117">
        <f t="shared" si="1"/>
        <v>0</v>
      </c>
      <c r="AB41" s="118">
        <f t="shared" si="5"/>
        <v>45106</v>
      </c>
      <c r="AC41" s="118">
        <f t="shared" si="6"/>
        <v>45615</v>
      </c>
      <c r="AD41" s="118">
        <f t="shared" si="0"/>
        <v>-509</v>
      </c>
      <c r="AE41" s="117">
        <f t="shared" si="3"/>
        <v>0</v>
      </c>
    </row>
    <row r="42" spans="2:31" ht="15.75" customHeight="1" thickBot="1" x14ac:dyDescent="0.25">
      <c r="B42" s="123">
        <f t="shared" si="7"/>
        <v>4</v>
      </c>
      <c r="C42" s="159"/>
      <c r="D42" s="123">
        <f t="shared" si="8"/>
        <v>25</v>
      </c>
      <c r="E42" s="159"/>
      <c r="F42" s="123">
        <f t="shared" si="8"/>
        <v>46</v>
      </c>
      <c r="G42" s="158"/>
      <c r="H42" s="123">
        <f t="shared" si="8"/>
        <v>67</v>
      </c>
      <c r="I42" s="158"/>
      <c r="J42" s="123">
        <f t="shared" si="8"/>
        <v>88</v>
      </c>
      <c r="K42" s="158"/>
      <c r="L42" s="123">
        <f t="shared" si="8"/>
        <v>109</v>
      </c>
      <c r="M42" s="158"/>
      <c r="N42" s="196"/>
      <c r="P42" s="124">
        <v>1</v>
      </c>
      <c r="Q42" s="124">
        <v>1.5</v>
      </c>
      <c r="R42" s="79">
        <v>35</v>
      </c>
      <c r="T42" s="113">
        <f t="shared" si="2"/>
        <v>17</v>
      </c>
      <c r="U42" s="113" t="s">
        <v>158</v>
      </c>
      <c r="V42" s="114"/>
      <c r="W42" s="114">
        <f t="shared" si="4"/>
        <v>45762</v>
      </c>
      <c r="X42" s="114"/>
      <c r="Y42" s="115">
        <v>0</v>
      </c>
      <c r="Z42" s="116">
        <v>1</v>
      </c>
      <c r="AA42" s="117">
        <f t="shared" si="1"/>
        <v>0</v>
      </c>
      <c r="AB42" s="118">
        <f t="shared" si="5"/>
        <v>45106</v>
      </c>
      <c r="AC42" s="118">
        <f t="shared" si="6"/>
        <v>45615</v>
      </c>
      <c r="AD42" s="118">
        <f t="shared" si="0"/>
        <v>-509</v>
      </c>
      <c r="AE42" s="117">
        <f t="shared" si="3"/>
        <v>0</v>
      </c>
    </row>
    <row r="43" spans="2:31" ht="15.75" customHeight="1" thickBot="1" x14ac:dyDescent="0.25">
      <c r="B43" s="123">
        <f t="shared" si="7"/>
        <v>5</v>
      </c>
      <c r="C43" s="159"/>
      <c r="D43" s="123">
        <f t="shared" si="8"/>
        <v>26</v>
      </c>
      <c r="E43" s="159"/>
      <c r="F43" s="123">
        <f t="shared" si="8"/>
        <v>47</v>
      </c>
      <c r="G43" s="158"/>
      <c r="H43" s="123">
        <f t="shared" si="8"/>
        <v>68</v>
      </c>
      <c r="I43" s="158"/>
      <c r="J43" s="123">
        <f t="shared" si="8"/>
        <v>89</v>
      </c>
      <c r="K43" s="158"/>
      <c r="L43" s="123">
        <f t="shared" si="8"/>
        <v>110</v>
      </c>
      <c r="M43" s="158"/>
      <c r="N43" s="196"/>
      <c r="P43" s="124">
        <v>1.5</v>
      </c>
      <c r="Q43" s="124"/>
      <c r="R43" s="79">
        <v>40</v>
      </c>
      <c r="T43" s="113">
        <f t="shared" si="2"/>
        <v>18</v>
      </c>
      <c r="U43" s="113" t="s">
        <v>159</v>
      </c>
      <c r="V43" s="114"/>
      <c r="W43" s="114">
        <f t="shared" si="4"/>
        <v>45762</v>
      </c>
      <c r="X43" s="114"/>
      <c r="Y43" s="115">
        <v>0</v>
      </c>
      <c r="Z43" s="116">
        <v>1</v>
      </c>
      <c r="AA43" s="117">
        <f t="shared" si="1"/>
        <v>0</v>
      </c>
      <c r="AB43" s="118">
        <f t="shared" si="5"/>
        <v>45106</v>
      </c>
      <c r="AC43" s="118">
        <f t="shared" si="6"/>
        <v>45615</v>
      </c>
      <c r="AD43" s="118">
        <f t="shared" si="0"/>
        <v>-509</v>
      </c>
      <c r="AE43" s="117">
        <f t="shared" si="3"/>
        <v>0</v>
      </c>
    </row>
    <row r="44" spans="2:31" ht="15.75" customHeight="1" thickBot="1" x14ac:dyDescent="0.25">
      <c r="B44" s="123">
        <f t="shared" si="7"/>
        <v>6</v>
      </c>
      <c r="C44" s="159"/>
      <c r="D44" s="123">
        <f t="shared" si="8"/>
        <v>27</v>
      </c>
      <c r="E44" s="159"/>
      <c r="F44" s="123">
        <f t="shared" si="8"/>
        <v>48</v>
      </c>
      <c r="G44" s="158"/>
      <c r="H44" s="123">
        <f t="shared" si="8"/>
        <v>69</v>
      </c>
      <c r="I44" s="158"/>
      <c r="J44" s="123">
        <f t="shared" si="8"/>
        <v>90</v>
      </c>
      <c r="K44" s="158"/>
      <c r="L44" s="123">
        <f t="shared" si="8"/>
        <v>111</v>
      </c>
      <c r="M44" s="158"/>
      <c r="N44" s="196"/>
      <c r="P44" s="212" t="s">
        <v>160</v>
      </c>
      <c r="Q44" s="212"/>
      <c r="R44" s="99" t="s">
        <v>147</v>
      </c>
      <c r="T44" s="113">
        <f t="shared" si="2"/>
        <v>19</v>
      </c>
      <c r="U44" s="113" t="s">
        <v>161</v>
      </c>
      <c r="V44" s="114"/>
      <c r="W44" s="114">
        <f t="shared" si="4"/>
        <v>45762</v>
      </c>
      <c r="X44" s="114"/>
      <c r="Y44" s="115">
        <v>0</v>
      </c>
      <c r="Z44" s="116">
        <v>1</v>
      </c>
      <c r="AA44" s="117">
        <f t="shared" si="1"/>
        <v>0</v>
      </c>
      <c r="AB44" s="118">
        <f t="shared" si="5"/>
        <v>45106</v>
      </c>
      <c r="AC44" s="118">
        <f t="shared" si="6"/>
        <v>45615</v>
      </c>
      <c r="AD44" s="118">
        <f t="shared" si="0"/>
        <v>-509</v>
      </c>
      <c r="AE44" s="117">
        <f t="shared" si="3"/>
        <v>0</v>
      </c>
    </row>
    <row r="45" spans="2:31" ht="15.75" customHeight="1" thickBot="1" x14ac:dyDescent="0.25">
      <c r="B45" s="123">
        <f t="shared" si="7"/>
        <v>7</v>
      </c>
      <c r="C45" s="159"/>
      <c r="D45" s="123">
        <f t="shared" si="8"/>
        <v>28</v>
      </c>
      <c r="E45" s="159"/>
      <c r="F45" s="123">
        <f t="shared" si="8"/>
        <v>49</v>
      </c>
      <c r="G45" s="158"/>
      <c r="H45" s="123">
        <f t="shared" si="8"/>
        <v>70</v>
      </c>
      <c r="I45" s="158"/>
      <c r="J45" s="123">
        <f t="shared" si="8"/>
        <v>91</v>
      </c>
      <c r="K45" s="158"/>
      <c r="L45" s="123">
        <f t="shared" si="8"/>
        <v>112</v>
      </c>
      <c r="M45" s="158"/>
      <c r="N45" s="196"/>
      <c r="P45" s="79"/>
      <c r="Q45" s="79"/>
      <c r="R45" s="79">
        <v>0</v>
      </c>
      <c r="T45" s="113">
        <f t="shared" si="2"/>
        <v>20</v>
      </c>
      <c r="U45" s="113" t="s">
        <v>162</v>
      </c>
      <c r="V45" s="114"/>
      <c r="W45" s="114">
        <f t="shared" si="4"/>
        <v>45762</v>
      </c>
      <c r="X45" s="114"/>
      <c r="Y45" s="115">
        <v>0</v>
      </c>
      <c r="Z45" s="116">
        <v>1</v>
      </c>
      <c r="AA45" s="117">
        <f t="shared" si="1"/>
        <v>0</v>
      </c>
      <c r="AB45" s="118">
        <f t="shared" si="5"/>
        <v>45106</v>
      </c>
      <c r="AC45" s="118">
        <f t="shared" si="6"/>
        <v>45615</v>
      </c>
      <c r="AD45" s="118">
        <f t="shared" si="0"/>
        <v>-509</v>
      </c>
      <c r="AE45" s="117">
        <f t="shared" si="3"/>
        <v>0</v>
      </c>
    </row>
    <row r="46" spans="2:31" ht="15.75" customHeight="1" thickBot="1" x14ac:dyDescent="0.25">
      <c r="B46" s="123">
        <f t="shared" si="7"/>
        <v>8</v>
      </c>
      <c r="C46" s="159"/>
      <c r="D46" s="123">
        <f t="shared" si="8"/>
        <v>29</v>
      </c>
      <c r="E46" s="159"/>
      <c r="F46" s="123">
        <f t="shared" si="8"/>
        <v>50</v>
      </c>
      <c r="G46" s="158"/>
      <c r="H46" s="123">
        <f t="shared" si="8"/>
        <v>71</v>
      </c>
      <c r="I46" s="158"/>
      <c r="J46" s="123">
        <f t="shared" si="8"/>
        <v>92</v>
      </c>
      <c r="K46" s="158"/>
      <c r="L46" s="123">
        <f t="shared" si="8"/>
        <v>113</v>
      </c>
      <c r="M46" s="158"/>
      <c r="N46" s="196"/>
      <c r="P46" s="79">
        <v>0</v>
      </c>
      <c r="Q46" s="79">
        <v>5</v>
      </c>
      <c r="R46" s="79">
        <v>20</v>
      </c>
      <c r="T46" s="113">
        <f t="shared" si="2"/>
        <v>21</v>
      </c>
      <c r="U46" s="113" t="s">
        <v>163</v>
      </c>
      <c r="V46" s="114"/>
      <c r="W46" s="114">
        <f t="shared" si="4"/>
        <v>45762</v>
      </c>
      <c r="X46" s="114"/>
      <c r="Y46" s="115">
        <v>0</v>
      </c>
      <c r="Z46" s="116">
        <v>1</v>
      </c>
      <c r="AA46" s="117">
        <f t="shared" si="1"/>
        <v>0</v>
      </c>
      <c r="AB46" s="118">
        <f t="shared" si="5"/>
        <v>45106</v>
      </c>
      <c r="AC46" s="118">
        <f t="shared" si="6"/>
        <v>45615</v>
      </c>
      <c r="AD46" s="118">
        <f t="shared" si="0"/>
        <v>-509</v>
      </c>
      <c r="AE46" s="117">
        <f t="shared" si="3"/>
        <v>0</v>
      </c>
    </row>
    <row r="47" spans="2:31" ht="15.75" customHeight="1" thickBot="1" x14ac:dyDescent="0.25">
      <c r="B47" s="123">
        <f t="shared" si="7"/>
        <v>9</v>
      </c>
      <c r="C47" s="159"/>
      <c r="D47" s="123">
        <f t="shared" si="8"/>
        <v>30</v>
      </c>
      <c r="E47" s="159"/>
      <c r="F47" s="123">
        <f t="shared" si="8"/>
        <v>51</v>
      </c>
      <c r="G47" s="158"/>
      <c r="H47" s="123">
        <f t="shared" si="8"/>
        <v>72</v>
      </c>
      <c r="I47" s="158"/>
      <c r="J47" s="123">
        <f t="shared" si="8"/>
        <v>93</v>
      </c>
      <c r="K47" s="158"/>
      <c r="L47" s="123">
        <f t="shared" si="8"/>
        <v>114</v>
      </c>
      <c r="M47" s="158"/>
      <c r="N47" s="196"/>
      <c r="P47" s="79">
        <v>5</v>
      </c>
      <c r="Q47" s="79">
        <v>10</v>
      </c>
      <c r="R47" s="79">
        <v>30</v>
      </c>
      <c r="T47" s="113">
        <f t="shared" si="2"/>
        <v>22</v>
      </c>
      <c r="U47" s="113" t="s">
        <v>164</v>
      </c>
      <c r="V47" s="114"/>
      <c r="W47" s="114">
        <f t="shared" si="4"/>
        <v>45762</v>
      </c>
      <c r="X47" s="114"/>
      <c r="Y47" s="115">
        <v>0</v>
      </c>
      <c r="Z47" s="116">
        <v>1</v>
      </c>
      <c r="AA47" s="117">
        <f t="shared" si="1"/>
        <v>0</v>
      </c>
      <c r="AB47" s="118">
        <f t="shared" si="5"/>
        <v>45106</v>
      </c>
      <c r="AC47" s="118">
        <f t="shared" si="6"/>
        <v>45615</v>
      </c>
      <c r="AD47" s="118">
        <f t="shared" si="0"/>
        <v>-509</v>
      </c>
      <c r="AE47" s="117">
        <f t="shared" si="3"/>
        <v>0</v>
      </c>
    </row>
    <row r="48" spans="2:31" ht="15.75" customHeight="1" thickBot="1" x14ac:dyDescent="0.25">
      <c r="B48" s="123">
        <f t="shared" si="7"/>
        <v>10</v>
      </c>
      <c r="C48" s="159"/>
      <c r="D48" s="123">
        <f t="shared" si="8"/>
        <v>31</v>
      </c>
      <c r="E48" s="159"/>
      <c r="F48" s="123">
        <f t="shared" si="8"/>
        <v>52</v>
      </c>
      <c r="G48" s="158"/>
      <c r="H48" s="123">
        <f t="shared" si="8"/>
        <v>73</v>
      </c>
      <c r="I48" s="158"/>
      <c r="J48" s="123">
        <f t="shared" si="8"/>
        <v>94</v>
      </c>
      <c r="K48" s="158"/>
      <c r="L48" s="123">
        <f t="shared" si="8"/>
        <v>115</v>
      </c>
      <c r="M48" s="158"/>
      <c r="N48" s="196"/>
      <c r="P48" s="79">
        <v>10</v>
      </c>
      <c r="Q48" s="79"/>
      <c r="R48" s="79">
        <v>40</v>
      </c>
      <c r="T48" s="113">
        <f t="shared" si="2"/>
        <v>23</v>
      </c>
      <c r="U48" s="113" t="s">
        <v>165</v>
      </c>
      <c r="V48" s="114"/>
      <c r="W48" s="114">
        <f t="shared" si="4"/>
        <v>45762</v>
      </c>
      <c r="X48" s="114"/>
      <c r="Y48" s="115">
        <v>0</v>
      </c>
      <c r="Z48" s="116">
        <v>1</v>
      </c>
      <c r="AA48" s="117">
        <f t="shared" si="1"/>
        <v>0</v>
      </c>
      <c r="AB48" s="118">
        <f t="shared" si="5"/>
        <v>45106</v>
      </c>
      <c r="AC48" s="118">
        <f t="shared" si="6"/>
        <v>45615</v>
      </c>
      <c r="AD48" s="118">
        <f t="shared" si="0"/>
        <v>-509</v>
      </c>
      <c r="AE48" s="117">
        <f t="shared" si="3"/>
        <v>0</v>
      </c>
    </row>
    <row r="49" spans="2:31" ht="15.75" customHeight="1" thickBot="1" x14ac:dyDescent="0.25">
      <c r="B49" s="123">
        <f t="shared" si="7"/>
        <v>11</v>
      </c>
      <c r="C49" s="158"/>
      <c r="D49" s="123">
        <f t="shared" si="8"/>
        <v>32</v>
      </c>
      <c r="E49" s="158"/>
      <c r="F49" s="123">
        <f t="shared" si="8"/>
        <v>53</v>
      </c>
      <c r="G49" s="158"/>
      <c r="H49" s="123">
        <f t="shared" si="8"/>
        <v>74</v>
      </c>
      <c r="I49" s="158"/>
      <c r="J49" s="123">
        <f t="shared" si="8"/>
        <v>95</v>
      </c>
      <c r="K49" s="158"/>
      <c r="L49" s="123">
        <f t="shared" si="8"/>
        <v>116</v>
      </c>
      <c r="M49" s="158"/>
      <c r="N49" s="196"/>
      <c r="T49" s="113">
        <f t="shared" si="2"/>
        <v>24</v>
      </c>
      <c r="U49" s="113" t="s">
        <v>166</v>
      </c>
      <c r="V49" s="114"/>
      <c r="W49" s="114">
        <f t="shared" si="4"/>
        <v>45762</v>
      </c>
      <c r="X49" s="114"/>
      <c r="Y49" s="115">
        <v>0</v>
      </c>
      <c r="Z49" s="116">
        <v>1</v>
      </c>
      <c r="AA49" s="117">
        <f t="shared" si="1"/>
        <v>0</v>
      </c>
      <c r="AB49" s="118">
        <f t="shared" si="5"/>
        <v>45106</v>
      </c>
      <c r="AC49" s="118">
        <f t="shared" si="6"/>
        <v>45615</v>
      </c>
      <c r="AD49" s="118">
        <f t="shared" si="0"/>
        <v>-509</v>
      </c>
      <c r="AE49" s="117">
        <f t="shared" si="3"/>
        <v>0</v>
      </c>
    </row>
    <row r="50" spans="2:31" ht="15.75" customHeight="1" thickBot="1" x14ac:dyDescent="0.25">
      <c r="B50" s="123">
        <f t="shared" si="7"/>
        <v>12</v>
      </c>
      <c r="C50" s="158"/>
      <c r="D50" s="123">
        <f t="shared" si="8"/>
        <v>33</v>
      </c>
      <c r="E50" s="158"/>
      <c r="F50" s="123">
        <f t="shared" si="8"/>
        <v>54</v>
      </c>
      <c r="G50" s="158"/>
      <c r="H50" s="123">
        <f t="shared" si="8"/>
        <v>75</v>
      </c>
      <c r="I50" s="158"/>
      <c r="J50" s="123">
        <f t="shared" si="8"/>
        <v>96</v>
      </c>
      <c r="K50" s="158"/>
      <c r="L50" s="123">
        <f t="shared" si="8"/>
        <v>117</v>
      </c>
      <c r="M50" s="158"/>
      <c r="N50" s="196"/>
      <c r="T50" s="113">
        <f t="shared" si="2"/>
        <v>25</v>
      </c>
      <c r="U50" s="113" t="s">
        <v>168</v>
      </c>
      <c r="V50" s="114"/>
      <c r="W50" s="114">
        <f t="shared" si="4"/>
        <v>45762</v>
      </c>
      <c r="X50" s="114"/>
      <c r="Y50" s="115">
        <v>0</v>
      </c>
      <c r="Z50" s="116">
        <v>1</v>
      </c>
      <c r="AA50" s="117">
        <f t="shared" si="1"/>
        <v>0</v>
      </c>
      <c r="AB50" s="118">
        <f t="shared" si="5"/>
        <v>45106</v>
      </c>
      <c r="AC50" s="118">
        <f t="shared" si="6"/>
        <v>45615</v>
      </c>
      <c r="AD50" s="118">
        <f t="shared" si="0"/>
        <v>-509</v>
      </c>
      <c r="AE50" s="117">
        <f t="shared" si="3"/>
        <v>0</v>
      </c>
    </row>
    <row r="51" spans="2:31" ht="15.75" customHeight="1" thickBot="1" x14ac:dyDescent="0.25">
      <c r="B51" s="123">
        <f t="shared" si="7"/>
        <v>13</v>
      </c>
      <c r="C51" s="158"/>
      <c r="D51" s="123">
        <f t="shared" si="8"/>
        <v>34</v>
      </c>
      <c r="E51" s="158"/>
      <c r="F51" s="123">
        <f t="shared" si="8"/>
        <v>55</v>
      </c>
      <c r="G51" s="158"/>
      <c r="H51" s="123">
        <f t="shared" si="8"/>
        <v>76</v>
      </c>
      <c r="I51" s="158"/>
      <c r="J51" s="123">
        <f t="shared" si="8"/>
        <v>97</v>
      </c>
      <c r="K51" s="158"/>
      <c r="L51" s="123">
        <f t="shared" si="8"/>
        <v>118</v>
      </c>
      <c r="M51" s="158"/>
      <c r="N51" s="196"/>
      <c r="T51" s="113">
        <f t="shared" si="2"/>
        <v>26</v>
      </c>
      <c r="U51" s="113" t="s">
        <v>170</v>
      </c>
      <c r="V51" s="114"/>
      <c r="W51" s="114">
        <f t="shared" si="4"/>
        <v>45762</v>
      </c>
      <c r="X51" s="114"/>
      <c r="Y51" s="115">
        <v>0</v>
      </c>
      <c r="Z51" s="116">
        <v>1</v>
      </c>
      <c r="AA51" s="117">
        <f t="shared" si="1"/>
        <v>0</v>
      </c>
      <c r="AB51" s="118">
        <f t="shared" si="5"/>
        <v>45106</v>
      </c>
      <c r="AC51" s="118">
        <f t="shared" si="6"/>
        <v>45615</v>
      </c>
      <c r="AD51" s="118">
        <f t="shared" si="0"/>
        <v>-509</v>
      </c>
      <c r="AE51" s="117">
        <f t="shared" si="3"/>
        <v>0</v>
      </c>
    </row>
    <row r="52" spans="2:31" ht="15.75" customHeight="1" thickBot="1" x14ac:dyDescent="0.25">
      <c r="B52" s="123">
        <f t="shared" si="7"/>
        <v>14</v>
      </c>
      <c r="C52" s="158"/>
      <c r="D52" s="123">
        <f t="shared" si="8"/>
        <v>35</v>
      </c>
      <c r="E52" s="158"/>
      <c r="F52" s="123">
        <f t="shared" si="8"/>
        <v>56</v>
      </c>
      <c r="G52" s="158"/>
      <c r="H52" s="123">
        <f t="shared" si="8"/>
        <v>77</v>
      </c>
      <c r="I52" s="158"/>
      <c r="J52" s="123">
        <f t="shared" si="8"/>
        <v>98</v>
      </c>
      <c r="K52" s="158"/>
      <c r="L52" s="123">
        <f t="shared" si="8"/>
        <v>119</v>
      </c>
      <c r="M52" s="158"/>
      <c r="N52" s="196"/>
      <c r="T52" s="113">
        <f t="shared" si="2"/>
        <v>27</v>
      </c>
      <c r="U52" s="113" t="s">
        <v>172</v>
      </c>
      <c r="V52" s="114"/>
      <c r="W52" s="114">
        <f t="shared" si="4"/>
        <v>45762</v>
      </c>
      <c r="X52" s="114"/>
      <c r="Y52" s="115">
        <v>0</v>
      </c>
      <c r="Z52" s="116">
        <v>1</v>
      </c>
      <c r="AA52" s="117">
        <f t="shared" si="1"/>
        <v>0</v>
      </c>
      <c r="AB52" s="118">
        <f t="shared" si="5"/>
        <v>45106</v>
      </c>
      <c r="AC52" s="118">
        <f t="shared" si="6"/>
        <v>45615</v>
      </c>
      <c r="AD52" s="118">
        <f t="shared" si="0"/>
        <v>-509</v>
      </c>
      <c r="AE52" s="117">
        <f t="shared" si="3"/>
        <v>0</v>
      </c>
    </row>
    <row r="53" spans="2:31" ht="15.75" customHeight="1" thickBot="1" x14ac:dyDescent="0.25">
      <c r="B53" s="123">
        <f t="shared" si="7"/>
        <v>15</v>
      </c>
      <c r="C53" s="158"/>
      <c r="D53" s="123">
        <f t="shared" si="8"/>
        <v>36</v>
      </c>
      <c r="E53" s="158"/>
      <c r="F53" s="123">
        <f t="shared" si="8"/>
        <v>57</v>
      </c>
      <c r="G53" s="158"/>
      <c r="H53" s="123">
        <f t="shared" si="8"/>
        <v>78</v>
      </c>
      <c r="I53" s="158"/>
      <c r="J53" s="123">
        <f t="shared" si="8"/>
        <v>99</v>
      </c>
      <c r="K53" s="158"/>
      <c r="L53" s="123">
        <f t="shared" si="8"/>
        <v>120</v>
      </c>
      <c r="M53" s="158"/>
      <c r="N53" s="196"/>
      <c r="O53" s="125"/>
      <c r="T53" s="113">
        <f t="shared" si="2"/>
        <v>28</v>
      </c>
      <c r="U53" s="113" t="s">
        <v>174</v>
      </c>
      <c r="V53" s="114"/>
      <c r="W53" s="114">
        <f t="shared" si="4"/>
        <v>45762</v>
      </c>
      <c r="X53" s="114"/>
      <c r="Y53" s="115">
        <v>0</v>
      </c>
      <c r="Z53" s="116">
        <v>1</v>
      </c>
      <c r="AA53" s="117">
        <f t="shared" si="1"/>
        <v>0</v>
      </c>
      <c r="AB53" s="118">
        <f t="shared" si="5"/>
        <v>45106</v>
      </c>
      <c r="AC53" s="118">
        <f t="shared" si="6"/>
        <v>45615</v>
      </c>
      <c r="AD53" s="118">
        <f t="shared" si="0"/>
        <v>-509</v>
      </c>
      <c r="AE53" s="117">
        <f t="shared" si="3"/>
        <v>0</v>
      </c>
    </row>
    <row r="54" spans="2:31" ht="15.75" customHeight="1" thickBot="1" x14ac:dyDescent="0.25">
      <c r="B54" s="123">
        <f t="shared" si="7"/>
        <v>16</v>
      </c>
      <c r="C54" s="158"/>
      <c r="D54" s="123">
        <f t="shared" si="8"/>
        <v>37</v>
      </c>
      <c r="E54" s="158"/>
      <c r="F54" s="123">
        <f t="shared" si="8"/>
        <v>58</v>
      </c>
      <c r="G54" s="158"/>
      <c r="H54" s="123">
        <f t="shared" si="8"/>
        <v>79</v>
      </c>
      <c r="I54" s="158"/>
      <c r="J54" s="123">
        <f t="shared" si="8"/>
        <v>100</v>
      </c>
      <c r="K54" s="158"/>
      <c r="L54" s="123">
        <f t="shared" si="8"/>
        <v>121</v>
      </c>
      <c r="M54" s="158"/>
      <c r="N54" s="196"/>
      <c r="O54" s="125"/>
      <c r="T54" s="113">
        <f t="shared" si="2"/>
        <v>29</v>
      </c>
      <c r="U54" s="113" t="s">
        <v>176</v>
      </c>
      <c r="V54" s="114"/>
      <c r="W54" s="114">
        <f t="shared" si="4"/>
        <v>45762</v>
      </c>
      <c r="X54" s="114"/>
      <c r="Y54" s="115">
        <v>0</v>
      </c>
      <c r="Z54" s="116">
        <v>1</v>
      </c>
      <c r="AA54" s="117">
        <f t="shared" si="1"/>
        <v>0</v>
      </c>
      <c r="AB54" s="118">
        <f t="shared" si="5"/>
        <v>45106</v>
      </c>
      <c r="AC54" s="118">
        <f t="shared" si="6"/>
        <v>45615</v>
      </c>
      <c r="AD54" s="118">
        <f t="shared" si="0"/>
        <v>-509</v>
      </c>
      <c r="AE54" s="117">
        <f t="shared" si="3"/>
        <v>0</v>
      </c>
    </row>
    <row r="55" spans="2:31" ht="15.75" customHeight="1" thickBot="1" x14ac:dyDescent="0.25">
      <c r="B55" s="123">
        <f t="shared" si="7"/>
        <v>17</v>
      </c>
      <c r="C55" s="158"/>
      <c r="D55" s="123">
        <f t="shared" si="8"/>
        <v>38</v>
      </c>
      <c r="E55" s="158"/>
      <c r="F55" s="123">
        <f t="shared" si="8"/>
        <v>59</v>
      </c>
      <c r="G55" s="158"/>
      <c r="H55" s="123">
        <f t="shared" si="8"/>
        <v>80</v>
      </c>
      <c r="I55" s="158"/>
      <c r="J55" s="123">
        <f t="shared" si="8"/>
        <v>101</v>
      </c>
      <c r="K55" s="158"/>
      <c r="L55" s="123">
        <f t="shared" si="8"/>
        <v>122</v>
      </c>
      <c r="M55" s="158"/>
      <c r="N55" s="196"/>
      <c r="O55" s="125"/>
      <c r="T55" s="113">
        <f t="shared" si="2"/>
        <v>30</v>
      </c>
      <c r="U55" s="113" t="s">
        <v>178</v>
      </c>
      <c r="V55" s="114"/>
      <c r="W55" s="114">
        <f t="shared" si="4"/>
        <v>45762</v>
      </c>
      <c r="X55" s="114"/>
      <c r="Y55" s="115">
        <v>0</v>
      </c>
      <c r="Z55" s="116">
        <v>1</v>
      </c>
      <c r="AA55" s="117">
        <f t="shared" si="1"/>
        <v>0</v>
      </c>
      <c r="AB55" s="118">
        <f t="shared" si="5"/>
        <v>45106</v>
      </c>
      <c r="AC55" s="118">
        <f t="shared" si="6"/>
        <v>45615</v>
      </c>
      <c r="AD55" s="118">
        <f t="shared" si="0"/>
        <v>-509</v>
      </c>
      <c r="AE55" s="117">
        <f t="shared" si="3"/>
        <v>0</v>
      </c>
    </row>
    <row r="56" spans="2:31" ht="15.75" customHeight="1" thickBot="1" x14ac:dyDescent="0.25">
      <c r="B56" s="123">
        <f t="shared" si="7"/>
        <v>18</v>
      </c>
      <c r="C56" s="158"/>
      <c r="D56" s="123">
        <f t="shared" si="8"/>
        <v>39</v>
      </c>
      <c r="E56" s="158"/>
      <c r="F56" s="123">
        <f t="shared" si="8"/>
        <v>60</v>
      </c>
      <c r="G56" s="158"/>
      <c r="H56" s="123">
        <f t="shared" si="8"/>
        <v>81</v>
      </c>
      <c r="I56" s="158"/>
      <c r="J56" s="123">
        <f t="shared" si="8"/>
        <v>102</v>
      </c>
      <c r="K56" s="158"/>
      <c r="L56" s="123">
        <f t="shared" si="8"/>
        <v>123</v>
      </c>
      <c r="M56" s="158"/>
      <c r="N56" s="196"/>
      <c r="O56" s="125"/>
      <c r="T56" s="113">
        <f t="shared" si="2"/>
        <v>31</v>
      </c>
      <c r="U56" s="113" t="s">
        <v>180</v>
      </c>
      <c r="V56" s="114"/>
      <c r="W56" s="114">
        <f t="shared" si="4"/>
        <v>45762</v>
      </c>
      <c r="X56" s="114"/>
      <c r="Y56" s="115">
        <v>0</v>
      </c>
      <c r="Z56" s="116">
        <v>1</v>
      </c>
      <c r="AA56" s="117">
        <f t="shared" si="1"/>
        <v>0</v>
      </c>
      <c r="AB56" s="118">
        <f t="shared" si="5"/>
        <v>45106</v>
      </c>
      <c r="AC56" s="118">
        <f t="shared" si="6"/>
        <v>45615</v>
      </c>
      <c r="AD56" s="118">
        <f t="shared" si="0"/>
        <v>-509</v>
      </c>
      <c r="AE56" s="117">
        <f t="shared" si="3"/>
        <v>0</v>
      </c>
    </row>
    <row r="57" spans="2:31" ht="15.75" customHeight="1" thickBot="1" x14ac:dyDescent="0.25">
      <c r="B57" s="123">
        <f t="shared" si="7"/>
        <v>19</v>
      </c>
      <c r="C57" s="158"/>
      <c r="D57" s="123">
        <f t="shared" si="8"/>
        <v>40</v>
      </c>
      <c r="E57" s="158"/>
      <c r="F57" s="123">
        <f t="shared" si="8"/>
        <v>61</v>
      </c>
      <c r="G57" s="158"/>
      <c r="H57" s="123">
        <f t="shared" si="8"/>
        <v>82</v>
      </c>
      <c r="I57" s="158"/>
      <c r="J57" s="123">
        <f t="shared" si="8"/>
        <v>103</v>
      </c>
      <c r="K57" s="158"/>
      <c r="L57" s="123">
        <f t="shared" si="8"/>
        <v>124</v>
      </c>
      <c r="M57" s="158"/>
      <c r="N57" s="196"/>
      <c r="O57" s="125"/>
      <c r="T57" s="113">
        <f t="shared" si="2"/>
        <v>32</v>
      </c>
      <c r="U57" s="113" t="s">
        <v>182</v>
      </c>
      <c r="V57" s="114"/>
      <c r="W57" s="114">
        <f t="shared" si="4"/>
        <v>45762</v>
      </c>
      <c r="X57" s="114"/>
      <c r="Y57" s="115">
        <v>0</v>
      </c>
      <c r="Z57" s="116">
        <v>1</v>
      </c>
      <c r="AA57" s="117">
        <f t="shared" si="1"/>
        <v>0</v>
      </c>
      <c r="AB57" s="118">
        <f t="shared" si="5"/>
        <v>45106</v>
      </c>
      <c r="AC57" s="118">
        <f t="shared" si="6"/>
        <v>45615</v>
      </c>
      <c r="AD57" s="118">
        <f t="shared" si="0"/>
        <v>-509</v>
      </c>
      <c r="AE57" s="117">
        <f t="shared" si="3"/>
        <v>0</v>
      </c>
    </row>
    <row r="58" spans="2:31" ht="15.75" customHeight="1" thickBot="1" x14ac:dyDescent="0.25">
      <c r="B58" s="123">
        <f t="shared" si="7"/>
        <v>20</v>
      </c>
      <c r="C58" s="158"/>
      <c r="D58" s="123">
        <f t="shared" si="8"/>
        <v>41</v>
      </c>
      <c r="E58" s="158"/>
      <c r="F58" s="123">
        <f t="shared" si="8"/>
        <v>62</v>
      </c>
      <c r="G58" s="158"/>
      <c r="H58" s="123">
        <f t="shared" si="8"/>
        <v>83</v>
      </c>
      <c r="I58" s="158"/>
      <c r="J58" s="123">
        <f t="shared" si="8"/>
        <v>104</v>
      </c>
      <c r="K58" s="158"/>
      <c r="L58" s="123">
        <f t="shared" si="8"/>
        <v>125</v>
      </c>
      <c r="M58" s="158"/>
      <c r="N58" s="196"/>
      <c r="O58" s="125"/>
      <c r="T58" s="113">
        <f t="shared" si="2"/>
        <v>33</v>
      </c>
      <c r="U58" s="113" t="s">
        <v>184</v>
      </c>
      <c r="V58" s="114"/>
      <c r="W58" s="114">
        <f t="shared" si="4"/>
        <v>45762</v>
      </c>
      <c r="X58" s="114"/>
      <c r="Y58" s="115">
        <v>0</v>
      </c>
      <c r="Z58" s="116">
        <v>1</v>
      </c>
      <c r="AA58" s="117">
        <f t="shared" si="1"/>
        <v>0</v>
      </c>
      <c r="AB58" s="118">
        <f t="shared" si="5"/>
        <v>45106</v>
      </c>
      <c r="AC58" s="118">
        <f t="shared" si="6"/>
        <v>45615</v>
      </c>
      <c r="AD58" s="118">
        <f t="shared" si="0"/>
        <v>-509</v>
      </c>
      <c r="AE58" s="117">
        <f t="shared" si="3"/>
        <v>0</v>
      </c>
    </row>
    <row r="59" spans="2:31" ht="15.75" customHeight="1" thickBot="1" x14ac:dyDescent="0.25">
      <c r="B59" s="123">
        <f t="shared" si="7"/>
        <v>21</v>
      </c>
      <c r="C59" s="158"/>
      <c r="D59" s="123">
        <f t="shared" si="8"/>
        <v>42</v>
      </c>
      <c r="E59" s="158"/>
      <c r="F59" s="123">
        <f t="shared" si="8"/>
        <v>63</v>
      </c>
      <c r="G59" s="158"/>
      <c r="H59" s="123">
        <f t="shared" si="8"/>
        <v>84</v>
      </c>
      <c r="I59" s="158"/>
      <c r="J59" s="123">
        <f t="shared" si="8"/>
        <v>105</v>
      </c>
      <c r="K59" s="158"/>
      <c r="L59" s="123">
        <f t="shared" si="8"/>
        <v>126</v>
      </c>
      <c r="M59" s="158"/>
      <c r="N59" s="197"/>
      <c r="T59" s="113">
        <f t="shared" si="2"/>
        <v>34</v>
      </c>
      <c r="U59" s="113" t="s">
        <v>186</v>
      </c>
      <c r="V59" s="114"/>
      <c r="W59" s="114">
        <f t="shared" si="4"/>
        <v>45762</v>
      </c>
      <c r="X59" s="114"/>
      <c r="Y59" s="115">
        <v>0</v>
      </c>
      <c r="Z59" s="116">
        <v>1</v>
      </c>
      <c r="AA59" s="117">
        <f t="shared" si="1"/>
        <v>0</v>
      </c>
      <c r="AB59" s="118">
        <f t="shared" si="5"/>
        <v>45106</v>
      </c>
      <c r="AC59" s="118">
        <f t="shared" si="6"/>
        <v>45615</v>
      </c>
      <c r="AD59" s="118">
        <f t="shared" si="0"/>
        <v>-509</v>
      </c>
      <c r="AE59" s="117">
        <f t="shared" si="3"/>
        <v>0</v>
      </c>
    </row>
    <row r="60" spans="2:31" ht="15.75" customHeight="1" thickBot="1" x14ac:dyDescent="0.25">
      <c r="B60" s="161" t="s">
        <v>167</v>
      </c>
      <c r="C60" s="161"/>
      <c r="D60" s="161"/>
      <c r="E60" s="161"/>
      <c r="F60" s="161"/>
      <c r="G60" s="161"/>
      <c r="H60" s="161"/>
      <c r="I60" s="161"/>
      <c r="J60" s="198">
        <f>SUM(C39:C59,G39:G59,K39:K59,E39:E59,I39:I59,K39:K59,M39:M59)</f>
        <v>0</v>
      </c>
      <c r="K60" s="198"/>
      <c r="L60" s="198"/>
      <c r="M60" s="198"/>
      <c r="N60" s="198"/>
      <c r="T60" s="113">
        <f t="shared" si="2"/>
        <v>35</v>
      </c>
      <c r="U60" s="113" t="s">
        <v>187</v>
      </c>
      <c r="V60" s="114"/>
      <c r="W60" s="114">
        <f t="shared" si="4"/>
        <v>45762</v>
      </c>
      <c r="X60" s="114"/>
      <c r="Y60" s="115">
        <v>0</v>
      </c>
      <c r="Z60" s="116">
        <v>1</v>
      </c>
      <c r="AA60" s="117">
        <f t="shared" si="1"/>
        <v>0</v>
      </c>
      <c r="AB60" s="118">
        <f t="shared" si="5"/>
        <v>45106</v>
      </c>
      <c r="AC60" s="118">
        <f t="shared" si="6"/>
        <v>45615</v>
      </c>
      <c r="AD60" s="118">
        <f t="shared" si="0"/>
        <v>-509</v>
      </c>
      <c r="AE60" s="117">
        <f t="shared" si="3"/>
        <v>0</v>
      </c>
    </row>
    <row r="61" spans="2:31" ht="15.75" customHeight="1" thickBot="1" x14ac:dyDescent="0.25">
      <c r="B61" s="161" t="s">
        <v>171</v>
      </c>
      <c r="C61" s="161"/>
      <c r="D61" s="161"/>
      <c r="E61" s="161"/>
      <c r="F61" s="161"/>
      <c r="G61" s="161"/>
      <c r="H61" s="161"/>
      <c r="I61" s="161"/>
      <c r="J61" s="212">
        <f>IFERROR($J$60/(($B$23)*I27),0)</f>
        <v>0</v>
      </c>
      <c r="K61" s="212"/>
      <c r="L61" s="212"/>
      <c r="M61" s="212"/>
      <c r="N61" s="212"/>
      <c r="T61" s="113">
        <f t="shared" si="2"/>
        <v>36</v>
      </c>
      <c r="U61" s="113" t="s">
        <v>189</v>
      </c>
      <c r="V61" s="114"/>
      <c r="W61" s="114">
        <f t="shared" si="4"/>
        <v>45762</v>
      </c>
      <c r="X61" s="114"/>
      <c r="Y61" s="115">
        <v>0</v>
      </c>
      <c r="Z61" s="116">
        <v>1</v>
      </c>
      <c r="AA61" s="117">
        <f t="shared" si="1"/>
        <v>0</v>
      </c>
      <c r="AB61" s="118">
        <f t="shared" si="5"/>
        <v>45106</v>
      </c>
      <c r="AC61" s="118">
        <f t="shared" si="6"/>
        <v>45615</v>
      </c>
      <c r="AD61" s="118">
        <f t="shared" si="0"/>
        <v>-509</v>
      </c>
      <c r="AE61" s="117">
        <f t="shared" si="3"/>
        <v>0</v>
      </c>
    </row>
    <row r="62" spans="2:31" ht="15.75" customHeight="1" thickBot="1" x14ac:dyDescent="0.25">
      <c r="B62" s="161" t="s">
        <v>173</v>
      </c>
      <c r="C62" s="161"/>
      <c r="D62" s="161"/>
      <c r="E62" s="161"/>
      <c r="F62" s="161"/>
      <c r="G62" s="161"/>
      <c r="H62" s="161"/>
      <c r="I62" s="161"/>
      <c r="J62" s="161"/>
      <c r="K62" s="161"/>
      <c r="L62" s="211">
        <f>IF(J61&gt;P37,R37,IF(J61&gt;P36,R36,IF(J61&gt;P35,R35,R34)))</f>
        <v>60</v>
      </c>
      <c r="M62" s="211"/>
      <c r="N62" s="211"/>
      <c r="O62" s="125"/>
      <c r="T62" s="113">
        <f t="shared" si="2"/>
        <v>37</v>
      </c>
      <c r="U62" s="113" t="s">
        <v>190</v>
      </c>
      <c r="V62" s="114"/>
      <c r="W62" s="114">
        <f t="shared" si="4"/>
        <v>45762</v>
      </c>
      <c r="X62" s="114"/>
      <c r="Y62" s="115">
        <v>0</v>
      </c>
      <c r="Z62" s="116">
        <v>1</v>
      </c>
      <c r="AA62" s="117">
        <f t="shared" si="1"/>
        <v>0</v>
      </c>
      <c r="AB62" s="118">
        <f t="shared" si="5"/>
        <v>45106</v>
      </c>
      <c r="AC62" s="118">
        <f t="shared" si="6"/>
        <v>45615</v>
      </c>
      <c r="AD62" s="118">
        <f t="shared" si="0"/>
        <v>-509</v>
      </c>
      <c r="AE62" s="117">
        <f t="shared" si="3"/>
        <v>0</v>
      </c>
    </row>
    <row r="63" spans="2:31" ht="15.75" customHeight="1" thickBot="1" x14ac:dyDescent="0.3">
      <c r="B63" s="212" t="s">
        <v>175</v>
      </c>
      <c r="C63" s="212"/>
      <c r="D63" s="212"/>
      <c r="E63" s="212"/>
      <c r="F63" s="212"/>
      <c r="G63" s="212"/>
      <c r="H63" s="212"/>
      <c r="I63" s="212"/>
      <c r="J63" s="212"/>
      <c r="K63" s="212"/>
      <c r="L63" s="212"/>
      <c r="M63" s="212"/>
      <c r="N63" s="212"/>
      <c r="O63" s="125"/>
      <c r="T63" s="113">
        <f t="shared" si="2"/>
        <v>38</v>
      </c>
      <c r="U63" s="113" t="s">
        <v>191</v>
      </c>
      <c r="V63" s="114"/>
      <c r="W63" s="114">
        <f t="shared" si="4"/>
        <v>45762</v>
      </c>
      <c r="X63" s="114"/>
      <c r="Y63" s="115">
        <v>0</v>
      </c>
      <c r="Z63" s="116">
        <v>1</v>
      </c>
      <c r="AA63" s="117">
        <f t="shared" si="1"/>
        <v>0</v>
      </c>
      <c r="AB63" s="118">
        <f t="shared" si="5"/>
        <v>45106</v>
      </c>
      <c r="AC63" s="118">
        <f t="shared" si="6"/>
        <v>45615</v>
      </c>
      <c r="AD63" s="118">
        <f t="shared" si="0"/>
        <v>-509</v>
      </c>
      <c r="AE63" s="117">
        <f t="shared" si="3"/>
        <v>0</v>
      </c>
    </row>
    <row r="64" spans="2:31" ht="15.75" customHeight="1" thickBot="1" x14ac:dyDescent="0.25">
      <c r="B64" s="186"/>
      <c r="C64" s="187"/>
      <c r="D64" s="187"/>
      <c r="E64" s="187"/>
      <c r="F64" s="187"/>
      <c r="G64" s="188"/>
      <c r="H64" s="223" t="s">
        <v>177</v>
      </c>
      <c r="I64" s="223"/>
      <c r="J64" s="223"/>
      <c r="K64" s="223"/>
      <c r="L64" s="224">
        <f>$I$7</f>
        <v>0</v>
      </c>
      <c r="M64" s="224"/>
      <c r="N64" s="224"/>
      <c r="O64" s="125"/>
      <c r="T64" s="113">
        <f t="shared" si="2"/>
        <v>39</v>
      </c>
      <c r="U64" s="113" t="s">
        <v>192</v>
      </c>
      <c r="V64" s="114"/>
      <c r="W64" s="114">
        <f t="shared" si="4"/>
        <v>45762</v>
      </c>
      <c r="X64" s="114"/>
      <c r="Y64" s="115">
        <v>0</v>
      </c>
      <c r="Z64" s="116">
        <v>1</v>
      </c>
      <c r="AA64" s="117">
        <f t="shared" si="1"/>
        <v>0</v>
      </c>
      <c r="AB64" s="118">
        <f t="shared" si="5"/>
        <v>45106</v>
      </c>
      <c r="AC64" s="118">
        <f t="shared" si="6"/>
        <v>45615</v>
      </c>
      <c r="AD64" s="118">
        <f t="shared" si="0"/>
        <v>-509</v>
      </c>
      <c r="AE64" s="117">
        <f t="shared" si="3"/>
        <v>0</v>
      </c>
    </row>
    <row r="65" spans="2:31" ht="15.75" customHeight="1" thickBot="1" x14ac:dyDescent="0.25">
      <c r="B65" s="189"/>
      <c r="C65" s="190"/>
      <c r="D65" s="190"/>
      <c r="E65" s="190"/>
      <c r="F65" s="190"/>
      <c r="G65" s="191"/>
      <c r="H65" s="223" t="s">
        <v>179</v>
      </c>
      <c r="I65" s="223"/>
      <c r="J65" s="223"/>
      <c r="K65" s="223"/>
      <c r="L65" s="224">
        <f>$J$7</f>
        <v>0</v>
      </c>
      <c r="M65" s="224"/>
      <c r="N65" s="224"/>
      <c r="O65" s="125"/>
      <c r="T65" s="113">
        <f t="shared" si="2"/>
        <v>40</v>
      </c>
      <c r="U65" s="113" t="s">
        <v>193</v>
      </c>
      <c r="V65" s="114"/>
      <c r="W65" s="114">
        <f t="shared" si="4"/>
        <v>45762</v>
      </c>
      <c r="X65" s="114"/>
      <c r="Y65" s="115">
        <v>0</v>
      </c>
      <c r="Z65" s="116">
        <v>1</v>
      </c>
      <c r="AA65" s="117">
        <f t="shared" si="1"/>
        <v>0</v>
      </c>
      <c r="AB65" s="118">
        <f t="shared" si="5"/>
        <v>45106</v>
      </c>
      <c r="AC65" s="118">
        <f t="shared" si="6"/>
        <v>45615</v>
      </c>
      <c r="AD65" s="118">
        <f t="shared" si="0"/>
        <v>-509</v>
      </c>
      <c r="AE65" s="117">
        <f t="shared" si="3"/>
        <v>0</v>
      </c>
    </row>
    <row r="66" spans="2:31" ht="15.75" customHeight="1" thickBot="1" x14ac:dyDescent="0.25">
      <c r="B66" s="192"/>
      <c r="C66" s="193"/>
      <c r="D66" s="193"/>
      <c r="E66" s="193"/>
      <c r="F66" s="193"/>
      <c r="G66" s="194"/>
      <c r="H66" s="161" t="s">
        <v>181</v>
      </c>
      <c r="I66" s="161"/>
      <c r="J66" s="161"/>
      <c r="K66" s="161"/>
      <c r="L66" s="210">
        <f>IFERROR(ROUND(L64/L65,2),0)</f>
        <v>0</v>
      </c>
      <c r="M66" s="210"/>
      <c r="N66" s="210"/>
      <c r="O66" s="125"/>
      <c r="T66" s="113">
        <f t="shared" si="2"/>
        <v>41</v>
      </c>
      <c r="U66" s="113" t="s">
        <v>194</v>
      </c>
      <c r="V66" s="114"/>
      <c r="W66" s="114">
        <f t="shared" si="4"/>
        <v>45762</v>
      </c>
      <c r="X66" s="114"/>
      <c r="Y66" s="115">
        <v>0</v>
      </c>
      <c r="Z66" s="116">
        <v>1</v>
      </c>
      <c r="AA66" s="117">
        <f t="shared" si="1"/>
        <v>0</v>
      </c>
      <c r="AB66" s="118">
        <f t="shared" si="5"/>
        <v>45106</v>
      </c>
      <c r="AC66" s="118">
        <f t="shared" si="6"/>
        <v>45615</v>
      </c>
      <c r="AD66" s="118">
        <f t="shared" si="0"/>
        <v>-509</v>
      </c>
      <c r="AE66" s="117">
        <f t="shared" si="3"/>
        <v>0</v>
      </c>
    </row>
    <row r="67" spans="2:31" ht="15.75" customHeight="1" thickBot="1" x14ac:dyDescent="0.25">
      <c r="B67" s="161" t="s">
        <v>183</v>
      </c>
      <c r="C67" s="161"/>
      <c r="D67" s="161"/>
      <c r="E67" s="161"/>
      <c r="F67" s="161"/>
      <c r="G67" s="161"/>
      <c r="H67" s="161"/>
      <c r="I67" s="161"/>
      <c r="J67" s="161"/>
      <c r="K67" s="161"/>
      <c r="L67" s="211">
        <f>IF(L66&gt;P43,R43,IF(L66&gt;P42,R42,IF(L66&gt;P41,R41,IF(L66&gt;P40,R40,R39))))</f>
        <v>20</v>
      </c>
      <c r="M67" s="211"/>
      <c r="N67" s="211"/>
      <c r="O67" s="125"/>
      <c r="T67" s="113">
        <f t="shared" si="2"/>
        <v>42</v>
      </c>
      <c r="U67" s="113" t="s">
        <v>195</v>
      </c>
      <c r="V67" s="114"/>
      <c r="W67" s="114">
        <f t="shared" si="4"/>
        <v>45762</v>
      </c>
      <c r="X67" s="114"/>
      <c r="Y67" s="115">
        <v>0</v>
      </c>
      <c r="Z67" s="116">
        <v>1</v>
      </c>
      <c r="AA67" s="117">
        <f t="shared" si="1"/>
        <v>0</v>
      </c>
      <c r="AB67" s="118">
        <f t="shared" si="5"/>
        <v>45106</v>
      </c>
      <c r="AC67" s="118">
        <f t="shared" si="6"/>
        <v>45615</v>
      </c>
      <c r="AD67" s="118">
        <f t="shared" si="0"/>
        <v>-509</v>
      </c>
      <c r="AE67" s="117">
        <f t="shared" si="3"/>
        <v>0</v>
      </c>
    </row>
    <row r="68" spans="2:31" ht="15.75" customHeight="1" thickBot="1" x14ac:dyDescent="0.3">
      <c r="B68" s="212" t="s">
        <v>185</v>
      </c>
      <c r="C68" s="212"/>
      <c r="D68" s="212"/>
      <c r="E68" s="212"/>
      <c r="F68" s="212"/>
      <c r="G68" s="212"/>
      <c r="H68" s="212"/>
      <c r="I68" s="212"/>
      <c r="J68" s="212"/>
      <c r="K68" s="212"/>
      <c r="L68" s="212"/>
      <c r="M68" s="212"/>
      <c r="N68" s="212"/>
      <c r="T68" s="113">
        <f t="shared" si="2"/>
        <v>43</v>
      </c>
      <c r="U68" s="113" t="s">
        <v>198</v>
      </c>
      <c r="V68" s="114"/>
      <c r="W68" s="114">
        <f t="shared" si="4"/>
        <v>45762</v>
      </c>
      <c r="X68" s="114"/>
      <c r="Y68" s="115">
        <v>0</v>
      </c>
      <c r="Z68" s="116">
        <v>1</v>
      </c>
      <c r="AA68" s="117">
        <f t="shared" si="1"/>
        <v>0</v>
      </c>
      <c r="AB68" s="118">
        <f t="shared" si="5"/>
        <v>45106</v>
      </c>
      <c r="AC68" s="118">
        <f t="shared" si="6"/>
        <v>45615</v>
      </c>
      <c r="AD68" s="118">
        <f t="shared" si="0"/>
        <v>-509</v>
      </c>
      <c r="AE68" s="117">
        <f t="shared" si="3"/>
        <v>0</v>
      </c>
    </row>
    <row r="69" spans="2:31" ht="15.75" customHeight="1" thickBot="1" x14ac:dyDescent="0.3">
      <c r="B69" s="220" t="s">
        <v>94</v>
      </c>
      <c r="C69" s="220"/>
      <c r="D69" s="220"/>
      <c r="E69" s="220"/>
      <c r="F69" s="220"/>
      <c r="G69" s="220"/>
      <c r="H69" s="220"/>
      <c r="I69" s="220"/>
      <c r="J69" s="220"/>
      <c r="K69" s="220"/>
      <c r="L69" s="220"/>
      <c r="M69" s="221">
        <f>$K$7</f>
        <v>0</v>
      </c>
      <c r="N69" s="221"/>
      <c r="Z69" s="235" t="s">
        <v>199</v>
      </c>
      <c r="AA69" s="235"/>
      <c r="AB69" s="235"/>
      <c r="AC69" s="235"/>
      <c r="AD69" s="235"/>
      <c r="AE69" s="126">
        <f>SUM(AE26:AE68)</f>
        <v>2921045560</v>
      </c>
    </row>
    <row r="70" spans="2:31" ht="15.75" customHeight="1" x14ac:dyDescent="0.2">
      <c r="B70" s="161" t="s">
        <v>188</v>
      </c>
      <c r="C70" s="161"/>
      <c r="D70" s="161"/>
      <c r="E70" s="161"/>
      <c r="F70" s="161"/>
      <c r="G70" s="161"/>
      <c r="H70" s="161"/>
      <c r="I70" s="161"/>
      <c r="J70" s="161"/>
      <c r="K70" s="161"/>
      <c r="L70" s="211">
        <f>IF(M69&gt;P48,R48,IF(M69&gt;P47,R47,IF(M69&gt;P46,R46,R45)))</f>
        <v>0</v>
      </c>
      <c r="M70" s="211"/>
      <c r="N70" s="211"/>
    </row>
    <row r="71" spans="2:31" ht="15.75" customHeight="1" thickBot="1" x14ac:dyDescent="0.25">
      <c r="P71" s="64"/>
    </row>
    <row r="72" spans="2:31" ht="15.75" customHeight="1" thickBot="1" x14ac:dyDescent="0.25">
      <c r="B72" s="161" t="str">
        <f>"CAPACIDAD DE CONTRATACIÓN INTEGRANTE 1: "&amp;$F$26</f>
        <v xml:space="preserve">CAPACIDAD DE CONTRATACIÓN INTEGRANTE 1: </v>
      </c>
      <c r="C72" s="161"/>
      <c r="D72" s="161"/>
      <c r="E72" s="161"/>
      <c r="F72" s="161"/>
      <c r="G72" s="161"/>
      <c r="H72" s="161"/>
      <c r="I72" s="161"/>
      <c r="J72" s="161"/>
      <c r="K72" s="161"/>
      <c r="L72" s="167">
        <f>I35*((L62+L67+L70)/100)</f>
        <v>426630400</v>
      </c>
      <c r="M72" s="167"/>
      <c r="N72" s="167"/>
      <c r="T72" s="231" t="s">
        <v>108</v>
      </c>
      <c r="U72" s="231"/>
      <c r="V72" s="232" t="str">
        <f>B76</f>
        <v>INTEGRANTE 2: Dorado Asociados SAS</v>
      </c>
      <c r="W72" s="233"/>
      <c r="X72" s="233"/>
      <c r="Y72" s="233"/>
      <c r="Z72" s="233"/>
      <c r="AA72" s="234"/>
    </row>
    <row r="73" spans="2:31" ht="15.75" customHeight="1" thickBot="1" x14ac:dyDescent="0.25">
      <c r="B73" s="161" t="str">
        <f>"SALDO DE LOS CONTRATOS EN EJECUCIÓN INTEGRANTE 1: "&amp;$F$26</f>
        <v xml:space="preserve">SALDO DE LOS CONTRATOS EN EJECUCIÓN INTEGRANTE 1: </v>
      </c>
      <c r="C73" s="161"/>
      <c r="D73" s="161"/>
      <c r="E73" s="161"/>
      <c r="F73" s="161"/>
      <c r="G73" s="161"/>
      <c r="H73" s="161"/>
      <c r="I73" s="161"/>
      <c r="J73" s="161"/>
      <c r="K73" s="161"/>
      <c r="L73" s="167">
        <f>$M$7</f>
        <v>0</v>
      </c>
      <c r="M73" s="167"/>
      <c r="N73" s="167"/>
      <c r="T73" s="104" t="s">
        <v>111</v>
      </c>
      <c r="U73" s="129">
        <f>U22</f>
        <v>45614</v>
      </c>
    </row>
    <row r="74" spans="2:31" ht="15.75" customHeight="1" thickBot="1" x14ac:dyDescent="0.25">
      <c r="B74" s="161" t="str">
        <f>"CAPACIDAD RESIDUAL DE CONTRATACIÓN INTEGRANTE 1: "&amp;$F$26</f>
        <v xml:space="preserve">CAPACIDAD RESIDUAL DE CONTRATACIÓN INTEGRANTE 1: </v>
      </c>
      <c r="C74" s="161"/>
      <c r="D74" s="161"/>
      <c r="E74" s="161"/>
      <c r="F74" s="161"/>
      <c r="G74" s="161"/>
      <c r="H74" s="161"/>
      <c r="I74" s="161"/>
      <c r="J74" s="161"/>
      <c r="K74" s="161"/>
      <c r="L74" s="167">
        <f>L72-L73</f>
        <v>426630400</v>
      </c>
      <c r="M74" s="167"/>
      <c r="N74" s="167"/>
      <c r="T74" s="109"/>
      <c r="U74" s="110"/>
    </row>
    <row r="75" spans="2:31" ht="18.75" customHeight="1" x14ac:dyDescent="0.2">
      <c r="B75" s="127"/>
      <c r="C75" s="127"/>
      <c r="D75" s="127"/>
      <c r="E75" s="127"/>
      <c r="F75" s="127"/>
      <c r="G75" s="127"/>
      <c r="H75" s="127"/>
      <c r="I75" s="127"/>
      <c r="J75" s="127"/>
      <c r="K75" s="127"/>
      <c r="L75" s="128"/>
      <c r="M75" s="128"/>
      <c r="N75" s="128"/>
      <c r="Q75" s="103" t="s">
        <v>210</v>
      </c>
      <c r="T75" s="229" t="s">
        <v>113</v>
      </c>
      <c r="U75" s="225" t="s">
        <v>114</v>
      </c>
      <c r="V75" s="225" t="s">
        <v>115</v>
      </c>
      <c r="W75" s="225" t="s">
        <v>116</v>
      </c>
      <c r="X75" s="225" t="s">
        <v>117</v>
      </c>
      <c r="Y75" s="225" t="s">
        <v>118</v>
      </c>
      <c r="Z75" s="225" t="s">
        <v>119</v>
      </c>
      <c r="AA75" s="225" t="s">
        <v>120</v>
      </c>
      <c r="AB75" s="225" t="s">
        <v>121</v>
      </c>
      <c r="AC75" s="225" t="s">
        <v>122</v>
      </c>
      <c r="AD75" s="225" t="s">
        <v>123</v>
      </c>
      <c r="AE75" s="225" t="s">
        <v>124</v>
      </c>
    </row>
    <row r="76" spans="2:31" ht="15.75" customHeight="1" thickBot="1" x14ac:dyDescent="0.3">
      <c r="B76" s="180" t="str">
        <f>"INTEGRANTE 2: "&amp;$C$8</f>
        <v>INTEGRANTE 2: Dorado Asociados SAS</v>
      </c>
      <c r="C76" s="181"/>
      <c r="D76" s="181"/>
      <c r="E76" s="181"/>
      <c r="F76" s="181"/>
      <c r="G76" s="181"/>
      <c r="H76" s="181"/>
      <c r="I76" s="181"/>
      <c r="J76" s="181"/>
      <c r="K76" s="181"/>
      <c r="L76" s="181"/>
      <c r="M76" s="181"/>
      <c r="N76" s="182"/>
      <c r="Q76" s="108">
        <v>1423500</v>
      </c>
      <c r="T76" s="230"/>
      <c r="U76" s="226"/>
      <c r="V76" s="226"/>
      <c r="W76" s="226"/>
      <c r="X76" s="226"/>
      <c r="Y76" s="226"/>
      <c r="Z76" s="226"/>
      <c r="AA76" s="226"/>
      <c r="AB76" s="226"/>
      <c r="AC76" s="226"/>
      <c r="AD76" s="226"/>
      <c r="AE76" s="226"/>
    </row>
    <row r="77" spans="2:31" ht="15.75" customHeight="1" thickBot="1" x14ac:dyDescent="0.3">
      <c r="B77" s="167" t="s">
        <v>102</v>
      </c>
      <c r="C77" s="167"/>
      <c r="D77" s="167"/>
      <c r="E77" s="167"/>
      <c r="F77" s="167"/>
      <c r="G77" s="167"/>
      <c r="H77" s="167"/>
      <c r="I77" s="228">
        <f>$G$8</f>
        <v>0.8</v>
      </c>
      <c r="J77" s="228"/>
      <c r="K77" s="228"/>
      <c r="L77" s="228"/>
      <c r="M77" s="228"/>
      <c r="N77" s="228"/>
      <c r="T77" s="113">
        <v>1</v>
      </c>
      <c r="U77" s="113" t="s">
        <v>128</v>
      </c>
      <c r="V77" s="114">
        <v>42095</v>
      </c>
      <c r="W77" s="114">
        <v>42124</v>
      </c>
      <c r="X77" s="114">
        <v>42099</v>
      </c>
      <c r="Y77" s="115">
        <v>30000000</v>
      </c>
      <c r="Z77" s="116">
        <v>1</v>
      </c>
      <c r="AA77" s="117">
        <f>Y77*Z77</f>
        <v>30000000</v>
      </c>
      <c r="AB77" s="118">
        <f>DAYS360(V77,W77)+1</f>
        <v>30</v>
      </c>
      <c r="AC77" s="118">
        <f t="shared" ref="AC77:AC119" si="9">IF(X77&gt;$R$45,(X77-V77)+1,($U$22-V77)+1)</f>
        <v>5</v>
      </c>
      <c r="AD77" s="118">
        <f>IF((AB77-AC77)&gt;$P$28,$P$28,(AB77-AC77))</f>
        <v>25</v>
      </c>
      <c r="AE77" s="117">
        <f>ROUND((AA77/AB77)*AD77,0)</f>
        <v>25000000</v>
      </c>
    </row>
    <row r="78" spans="2:31" ht="15.75" customHeight="1" thickBot="1" x14ac:dyDescent="0.3">
      <c r="B78" s="212" t="s">
        <v>103</v>
      </c>
      <c r="C78" s="212"/>
      <c r="D78" s="212"/>
      <c r="E78" s="212"/>
      <c r="F78" s="212"/>
      <c r="G78" s="212"/>
      <c r="H78" s="212" t="s">
        <v>104</v>
      </c>
      <c r="I78" s="212"/>
      <c r="J78" s="212"/>
      <c r="K78" s="212"/>
      <c r="L78" s="212"/>
      <c r="M78" s="212"/>
      <c r="N78" s="91" t="s">
        <v>105</v>
      </c>
      <c r="P78" s="99" t="s">
        <v>130</v>
      </c>
      <c r="Q78" s="99" t="s">
        <v>0</v>
      </c>
      <c r="R78" s="99" t="s">
        <v>131</v>
      </c>
      <c r="T78" s="113">
        <f>T77+1</f>
        <v>2</v>
      </c>
      <c r="U78" s="113" t="s">
        <v>132</v>
      </c>
      <c r="V78" s="114"/>
      <c r="W78" s="114">
        <f>U73</f>
        <v>45614</v>
      </c>
      <c r="X78" s="114"/>
      <c r="Y78" s="115">
        <v>0</v>
      </c>
      <c r="Z78" s="116">
        <v>1</v>
      </c>
      <c r="AA78" s="117">
        <f t="shared" ref="AA78:AA119" si="10">Y78*Z78</f>
        <v>0</v>
      </c>
      <c r="AB78" s="118">
        <f t="shared" ref="AB78:AB119" si="11">DAYS360(V78,W78)+1</f>
        <v>44959</v>
      </c>
      <c r="AC78" s="118">
        <f t="shared" si="9"/>
        <v>45615</v>
      </c>
      <c r="AD78" s="118">
        <f t="shared" ref="AD78:AD119" si="12">IF((AB78-AC78)&gt;$P$28,$P$28,(AB78-AC78))</f>
        <v>-656</v>
      </c>
      <c r="AE78" s="117">
        <f t="shared" ref="AE78:AE119" si="13">ROUND((AA78/AB78)*AD78,0)</f>
        <v>0</v>
      </c>
    </row>
    <row r="79" spans="2:31" ht="15.75" customHeight="1" thickBot="1" x14ac:dyDescent="0.3">
      <c r="B79" s="186"/>
      <c r="C79" s="187"/>
      <c r="D79" s="187"/>
      <c r="E79" s="187"/>
      <c r="F79" s="187"/>
      <c r="G79" s="188"/>
      <c r="H79" s="217" t="s">
        <v>106</v>
      </c>
      <c r="I79" s="217"/>
      <c r="J79" s="217"/>
      <c r="K79" s="217"/>
      <c r="L79" s="217"/>
      <c r="M79" s="217"/>
      <c r="N79" s="79">
        <v>120</v>
      </c>
      <c r="P79" s="79">
        <v>360</v>
      </c>
      <c r="Q79" s="79" t="s">
        <v>3</v>
      </c>
      <c r="R79" s="79">
        <v>12</v>
      </c>
      <c r="T79" s="113">
        <f t="shared" ref="T79:T119" si="14">T78+1</f>
        <v>3</v>
      </c>
      <c r="U79" s="113" t="s">
        <v>134</v>
      </c>
      <c r="V79" s="114"/>
      <c r="W79" s="114">
        <f t="shared" ref="W79:W119" si="15">W78</f>
        <v>45614</v>
      </c>
      <c r="X79" s="114"/>
      <c r="Y79" s="115">
        <v>0</v>
      </c>
      <c r="Z79" s="116">
        <v>1</v>
      </c>
      <c r="AA79" s="117">
        <f t="shared" si="10"/>
        <v>0</v>
      </c>
      <c r="AB79" s="118">
        <f t="shared" si="11"/>
        <v>44959</v>
      </c>
      <c r="AC79" s="118">
        <f t="shared" si="9"/>
        <v>45615</v>
      </c>
      <c r="AD79" s="118">
        <f t="shared" si="12"/>
        <v>-656</v>
      </c>
      <c r="AE79" s="117">
        <f t="shared" si="13"/>
        <v>0</v>
      </c>
    </row>
    <row r="80" spans="2:31" ht="15.75" customHeight="1" thickBot="1" x14ac:dyDescent="0.3">
      <c r="B80" s="189"/>
      <c r="C80" s="190"/>
      <c r="D80" s="190"/>
      <c r="E80" s="190"/>
      <c r="F80" s="190"/>
      <c r="G80" s="191"/>
      <c r="H80" s="217" t="s">
        <v>107</v>
      </c>
      <c r="I80" s="217"/>
      <c r="J80" s="217"/>
      <c r="K80" s="217"/>
      <c r="L80" s="217"/>
      <c r="M80" s="217"/>
      <c r="N80" s="79">
        <v>40</v>
      </c>
      <c r="T80" s="113">
        <f t="shared" si="14"/>
        <v>4</v>
      </c>
      <c r="U80" s="113" t="s">
        <v>138</v>
      </c>
      <c r="V80" s="114"/>
      <c r="W80" s="114">
        <f t="shared" si="15"/>
        <v>45614</v>
      </c>
      <c r="X80" s="114"/>
      <c r="Y80" s="115">
        <v>0</v>
      </c>
      <c r="Z80" s="116">
        <v>1</v>
      </c>
      <c r="AA80" s="117">
        <f t="shared" si="10"/>
        <v>0</v>
      </c>
      <c r="AB80" s="118">
        <f t="shared" si="11"/>
        <v>44959</v>
      </c>
      <c r="AC80" s="118">
        <f t="shared" si="9"/>
        <v>45615</v>
      </c>
      <c r="AD80" s="118">
        <f t="shared" si="12"/>
        <v>-656</v>
      </c>
      <c r="AE80" s="117">
        <f t="shared" si="13"/>
        <v>0</v>
      </c>
    </row>
    <row r="81" spans="2:31" ht="15.75" customHeight="1" thickBot="1" x14ac:dyDescent="0.3">
      <c r="B81" s="189"/>
      <c r="C81" s="190"/>
      <c r="D81" s="190"/>
      <c r="E81" s="190"/>
      <c r="F81" s="190"/>
      <c r="G81" s="191"/>
      <c r="H81" s="217" t="s">
        <v>109</v>
      </c>
      <c r="I81" s="217"/>
      <c r="J81" s="217"/>
      <c r="K81" s="217"/>
      <c r="L81" s="217"/>
      <c r="M81" s="217"/>
      <c r="N81" s="79">
        <v>40</v>
      </c>
      <c r="O81" s="119"/>
      <c r="P81" s="99" t="s">
        <v>139</v>
      </c>
      <c r="Q81" s="99" t="s">
        <v>140</v>
      </c>
      <c r="R81" s="99" t="s">
        <v>141</v>
      </c>
      <c r="T81" s="113">
        <f t="shared" si="14"/>
        <v>5</v>
      </c>
      <c r="U81" s="113" t="s">
        <v>142</v>
      </c>
      <c r="V81" s="114"/>
      <c r="W81" s="114">
        <f t="shared" si="15"/>
        <v>45614</v>
      </c>
      <c r="X81" s="114"/>
      <c r="Y81" s="115">
        <v>0</v>
      </c>
      <c r="Z81" s="116">
        <v>1</v>
      </c>
      <c r="AA81" s="117">
        <f t="shared" si="10"/>
        <v>0</v>
      </c>
      <c r="AB81" s="118">
        <f t="shared" si="11"/>
        <v>44959</v>
      </c>
      <c r="AC81" s="118">
        <f t="shared" si="9"/>
        <v>45615</v>
      </c>
      <c r="AD81" s="118">
        <f t="shared" si="12"/>
        <v>-656</v>
      </c>
      <c r="AE81" s="117">
        <f t="shared" si="13"/>
        <v>0</v>
      </c>
    </row>
    <row r="82" spans="2:31" ht="15.75" customHeight="1" thickBot="1" x14ac:dyDescent="0.3">
      <c r="B82" s="192"/>
      <c r="C82" s="193"/>
      <c r="D82" s="193"/>
      <c r="E82" s="193"/>
      <c r="F82" s="193"/>
      <c r="G82" s="194"/>
      <c r="H82" s="212" t="s">
        <v>44</v>
      </c>
      <c r="I82" s="212"/>
      <c r="J82" s="212"/>
      <c r="K82" s="212"/>
      <c r="L82" s="212"/>
      <c r="M82" s="212"/>
      <c r="N82" s="79">
        <f>SUM(N79:N81)</f>
        <v>200</v>
      </c>
      <c r="O82" s="119"/>
      <c r="P82" s="121">
        <v>125000</v>
      </c>
      <c r="Q82" s="108">
        <f>533287768/P82</f>
        <v>4266.3021440000002</v>
      </c>
      <c r="R82" s="108">
        <f>ROUNDUP(P82*Q82,-3)</f>
        <v>533288000</v>
      </c>
      <c r="T82" s="113">
        <f t="shared" si="14"/>
        <v>6</v>
      </c>
      <c r="U82" s="113" t="s">
        <v>143</v>
      </c>
      <c r="V82" s="114"/>
      <c r="W82" s="114">
        <f t="shared" si="15"/>
        <v>45614</v>
      </c>
      <c r="X82" s="114"/>
      <c r="Y82" s="115">
        <v>0</v>
      </c>
      <c r="Z82" s="116">
        <v>1</v>
      </c>
      <c r="AA82" s="117">
        <f t="shared" si="10"/>
        <v>0</v>
      </c>
      <c r="AB82" s="118">
        <f t="shared" si="11"/>
        <v>44959</v>
      </c>
      <c r="AC82" s="118">
        <f t="shared" si="9"/>
        <v>45615</v>
      </c>
      <c r="AD82" s="118">
        <f t="shared" si="12"/>
        <v>-656</v>
      </c>
      <c r="AE82" s="117">
        <f t="shared" si="13"/>
        <v>0</v>
      </c>
    </row>
    <row r="83" spans="2:31" ht="15.75" customHeight="1" thickBot="1" x14ac:dyDescent="0.3">
      <c r="B83" s="212" t="s">
        <v>211</v>
      </c>
      <c r="C83" s="212"/>
      <c r="D83" s="212"/>
      <c r="E83" s="212"/>
      <c r="F83" s="212"/>
      <c r="G83" s="212"/>
      <c r="H83" s="212"/>
      <c r="I83" s="212"/>
      <c r="J83" s="212"/>
      <c r="K83" s="212"/>
      <c r="L83" s="212"/>
      <c r="M83" s="212"/>
      <c r="N83" s="212"/>
      <c r="O83" s="119"/>
      <c r="Q83" s="81" t="s">
        <v>144</v>
      </c>
      <c r="T83" s="113">
        <f t="shared" si="14"/>
        <v>7</v>
      </c>
      <c r="U83" s="113" t="s">
        <v>145</v>
      </c>
      <c r="V83" s="114"/>
      <c r="W83" s="114">
        <f t="shared" si="15"/>
        <v>45614</v>
      </c>
      <c r="X83" s="114"/>
      <c r="Y83" s="115">
        <v>0</v>
      </c>
      <c r="Z83" s="116">
        <v>1</v>
      </c>
      <c r="AA83" s="117">
        <f t="shared" si="10"/>
        <v>0</v>
      </c>
      <c r="AB83" s="118">
        <f t="shared" si="11"/>
        <v>44959</v>
      </c>
      <c r="AC83" s="118">
        <f t="shared" si="9"/>
        <v>45615</v>
      </c>
      <c r="AD83" s="118">
        <f t="shared" si="12"/>
        <v>-656</v>
      </c>
      <c r="AE83" s="117">
        <f t="shared" si="13"/>
        <v>0</v>
      </c>
    </row>
    <row r="84" spans="2:31" ht="15.75" customHeight="1" thickBot="1" x14ac:dyDescent="0.3">
      <c r="B84" s="239" t="s">
        <v>125</v>
      </c>
      <c r="C84" s="240"/>
      <c r="D84" s="240"/>
      <c r="E84" s="240"/>
      <c r="F84" s="240"/>
      <c r="G84" s="240"/>
      <c r="H84" s="241"/>
      <c r="I84" s="183" t="s">
        <v>126</v>
      </c>
      <c r="J84" s="184"/>
      <c r="K84" s="184"/>
      <c r="L84" s="184"/>
      <c r="M84" s="184"/>
      <c r="N84" s="185"/>
      <c r="P84" s="212" t="s">
        <v>146</v>
      </c>
      <c r="Q84" s="212"/>
      <c r="R84" s="99" t="s">
        <v>147</v>
      </c>
      <c r="T84" s="113">
        <f t="shared" si="14"/>
        <v>8</v>
      </c>
      <c r="U84" s="113" t="s">
        <v>148</v>
      </c>
      <c r="V84" s="114"/>
      <c r="W84" s="114">
        <f t="shared" si="15"/>
        <v>45614</v>
      </c>
      <c r="X84" s="114"/>
      <c r="Y84" s="115">
        <v>0</v>
      </c>
      <c r="Z84" s="116">
        <v>1</v>
      </c>
      <c r="AA84" s="117">
        <f t="shared" si="10"/>
        <v>0</v>
      </c>
      <c r="AB84" s="118">
        <f t="shared" si="11"/>
        <v>44959</v>
      </c>
      <c r="AC84" s="118">
        <f t="shared" si="9"/>
        <v>45615</v>
      </c>
      <c r="AD84" s="118">
        <f t="shared" si="12"/>
        <v>-656</v>
      </c>
      <c r="AE84" s="117">
        <f t="shared" si="13"/>
        <v>0</v>
      </c>
    </row>
    <row r="85" spans="2:31" ht="15.75" customHeight="1" thickBot="1" x14ac:dyDescent="0.3">
      <c r="B85" s="236" t="s">
        <v>127</v>
      </c>
      <c r="C85" s="237"/>
      <c r="D85" s="237"/>
      <c r="E85" s="237"/>
      <c r="F85" s="237"/>
      <c r="G85" s="237"/>
      <c r="H85" s="238"/>
      <c r="I85" s="168">
        <f>IF($H$8&gt;$R$31,$H$8,$R$31)</f>
        <v>533288000</v>
      </c>
      <c r="J85" s="169"/>
      <c r="K85" s="169"/>
      <c r="L85" s="169"/>
      <c r="M85" s="169"/>
      <c r="N85" s="170"/>
      <c r="P85" s="79">
        <v>0</v>
      </c>
      <c r="Q85" s="79">
        <v>3</v>
      </c>
      <c r="R85" s="79">
        <v>60</v>
      </c>
      <c r="T85" s="113">
        <f t="shared" si="14"/>
        <v>9</v>
      </c>
      <c r="U85" s="113" t="s">
        <v>149</v>
      </c>
      <c r="V85" s="114"/>
      <c r="W85" s="114">
        <f t="shared" si="15"/>
        <v>45614</v>
      </c>
      <c r="X85" s="114"/>
      <c r="Y85" s="115">
        <v>0</v>
      </c>
      <c r="Z85" s="116">
        <v>1</v>
      </c>
      <c r="AA85" s="117">
        <f t="shared" si="10"/>
        <v>0</v>
      </c>
      <c r="AB85" s="118">
        <f t="shared" si="11"/>
        <v>44959</v>
      </c>
      <c r="AC85" s="118">
        <f t="shared" si="9"/>
        <v>45615</v>
      </c>
      <c r="AD85" s="118">
        <f t="shared" si="12"/>
        <v>-656</v>
      </c>
      <c r="AE85" s="117">
        <f t="shared" si="13"/>
        <v>0</v>
      </c>
    </row>
    <row r="86" spans="2:31" ht="15.75" customHeight="1" thickBot="1" x14ac:dyDescent="0.3">
      <c r="B86" s="212" t="s">
        <v>212</v>
      </c>
      <c r="C86" s="212"/>
      <c r="D86" s="212"/>
      <c r="E86" s="212"/>
      <c r="F86" s="212"/>
      <c r="G86" s="212"/>
      <c r="H86" s="212"/>
      <c r="I86" s="212"/>
      <c r="J86" s="212"/>
      <c r="K86" s="212"/>
      <c r="L86" s="212"/>
      <c r="M86" s="212"/>
      <c r="N86" s="212"/>
      <c r="P86" s="79">
        <v>3</v>
      </c>
      <c r="Q86" s="79">
        <v>6</v>
      </c>
      <c r="R86" s="79">
        <v>80</v>
      </c>
      <c r="T86" s="113">
        <f t="shared" si="14"/>
        <v>10</v>
      </c>
      <c r="U86" s="113" t="s">
        <v>150</v>
      </c>
      <c r="V86" s="114"/>
      <c r="W86" s="114">
        <f t="shared" si="15"/>
        <v>45614</v>
      </c>
      <c r="X86" s="114"/>
      <c r="Y86" s="115">
        <v>0</v>
      </c>
      <c r="Z86" s="116">
        <v>1</v>
      </c>
      <c r="AA86" s="117">
        <f t="shared" si="10"/>
        <v>0</v>
      </c>
      <c r="AB86" s="118">
        <f t="shared" si="11"/>
        <v>44959</v>
      </c>
      <c r="AC86" s="118">
        <f t="shared" si="9"/>
        <v>45615</v>
      </c>
      <c r="AD86" s="118">
        <f t="shared" si="12"/>
        <v>-656</v>
      </c>
      <c r="AE86" s="117">
        <f t="shared" si="13"/>
        <v>0</v>
      </c>
    </row>
    <row r="87" spans="2:31" ht="15.75" customHeight="1" thickBot="1" x14ac:dyDescent="0.3">
      <c r="B87" s="212" t="s">
        <v>133</v>
      </c>
      <c r="C87" s="212"/>
      <c r="D87" s="212"/>
      <c r="E87" s="212"/>
      <c r="F87" s="212"/>
      <c r="G87" s="212"/>
      <c r="H87" s="212"/>
      <c r="I87" s="212"/>
      <c r="J87" s="212"/>
      <c r="K87" s="212"/>
      <c r="L87" s="212"/>
      <c r="M87" s="212"/>
      <c r="N87" s="212"/>
      <c r="P87" s="79">
        <v>6</v>
      </c>
      <c r="Q87" s="79">
        <v>10</v>
      </c>
      <c r="R87" s="79">
        <v>100</v>
      </c>
      <c r="T87" s="113">
        <f t="shared" si="14"/>
        <v>11</v>
      </c>
      <c r="U87" s="113" t="s">
        <v>151</v>
      </c>
      <c r="V87" s="114"/>
      <c r="W87" s="114">
        <f t="shared" si="15"/>
        <v>45614</v>
      </c>
      <c r="X87" s="114"/>
      <c r="Y87" s="115">
        <v>0</v>
      </c>
      <c r="Z87" s="116">
        <v>1</v>
      </c>
      <c r="AA87" s="117">
        <f t="shared" si="10"/>
        <v>0</v>
      </c>
      <c r="AB87" s="118">
        <f t="shared" si="11"/>
        <v>44959</v>
      </c>
      <c r="AC87" s="118">
        <f t="shared" si="9"/>
        <v>45615</v>
      </c>
      <c r="AD87" s="118">
        <f t="shared" si="12"/>
        <v>-656</v>
      </c>
      <c r="AE87" s="117">
        <f t="shared" si="13"/>
        <v>0</v>
      </c>
    </row>
    <row r="88" spans="2:31" ht="15.75" customHeight="1" thickBot="1" x14ac:dyDescent="0.25">
      <c r="B88" s="122" t="s">
        <v>135</v>
      </c>
      <c r="C88" s="160" t="s">
        <v>136</v>
      </c>
      <c r="D88" s="122" t="s">
        <v>135</v>
      </c>
      <c r="E88" s="160" t="s">
        <v>136</v>
      </c>
      <c r="F88" s="122" t="s">
        <v>135</v>
      </c>
      <c r="G88" s="160" t="s">
        <v>136</v>
      </c>
      <c r="H88" s="122" t="s">
        <v>135</v>
      </c>
      <c r="I88" s="160" t="s">
        <v>136</v>
      </c>
      <c r="J88" s="122" t="s">
        <v>135</v>
      </c>
      <c r="K88" s="160" t="s">
        <v>136</v>
      </c>
      <c r="L88" s="122" t="s">
        <v>135</v>
      </c>
      <c r="M88" s="160" t="s">
        <v>136</v>
      </c>
      <c r="N88" s="195" t="s">
        <v>137</v>
      </c>
      <c r="P88" s="79">
        <v>10</v>
      </c>
      <c r="Q88" s="79"/>
      <c r="R88" s="79">
        <v>120</v>
      </c>
      <c r="T88" s="113">
        <f t="shared" si="14"/>
        <v>12</v>
      </c>
      <c r="U88" s="113" t="s">
        <v>152</v>
      </c>
      <c r="V88" s="114"/>
      <c r="W88" s="114">
        <f t="shared" si="15"/>
        <v>45614</v>
      </c>
      <c r="X88" s="114"/>
      <c r="Y88" s="115">
        <v>0</v>
      </c>
      <c r="Z88" s="116">
        <v>1</v>
      </c>
      <c r="AA88" s="117">
        <f t="shared" si="10"/>
        <v>0</v>
      </c>
      <c r="AB88" s="118">
        <f t="shared" si="11"/>
        <v>44959</v>
      </c>
      <c r="AC88" s="118">
        <f t="shared" si="9"/>
        <v>45615</v>
      </c>
      <c r="AD88" s="118">
        <f t="shared" si="12"/>
        <v>-656</v>
      </c>
      <c r="AE88" s="117">
        <f t="shared" si="13"/>
        <v>0</v>
      </c>
    </row>
    <row r="89" spans="2:31" ht="15.75" customHeight="1" thickBot="1" x14ac:dyDescent="0.25">
      <c r="B89" s="123">
        <v>1</v>
      </c>
      <c r="C89" s="159"/>
      <c r="D89" s="123">
        <v>22</v>
      </c>
      <c r="E89" s="159"/>
      <c r="F89" s="123">
        <v>43</v>
      </c>
      <c r="G89" s="158"/>
      <c r="H89" s="123">
        <v>64</v>
      </c>
      <c r="I89" s="158"/>
      <c r="J89" s="123">
        <v>85</v>
      </c>
      <c r="K89" s="158"/>
      <c r="L89" s="123">
        <v>106</v>
      </c>
      <c r="M89" s="158"/>
      <c r="N89" s="196"/>
      <c r="P89" s="212" t="s">
        <v>153</v>
      </c>
      <c r="Q89" s="212"/>
      <c r="R89" s="99" t="s">
        <v>147</v>
      </c>
      <c r="T89" s="113">
        <f t="shared" si="14"/>
        <v>13</v>
      </c>
      <c r="U89" s="113" t="s">
        <v>154</v>
      </c>
      <c r="V89" s="114"/>
      <c r="W89" s="114">
        <f t="shared" si="15"/>
        <v>45614</v>
      </c>
      <c r="X89" s="114"/>
      <c r="Y89" s="115">
        <v>0</v>
      </c>
      <c r="Z89" s="116">
        <v>1</v>
      </c>
      <c r="AA89" s="117">
        <f t="shared" si="10"/>
        <v>0</v>
      </c>
      <c r="AB89" s="118">
        <f t="shared" si="11"/>
        <v>44959</v>
      </c>
      <c r="AC89" s="118">
        <f t="shared" si="9"/>
        <v>45615</v>
      </c>
      <c r="AD89" s="118">
        <f t="shared" si="12"/>
        <v>-656</v>
      </c>
      <c r="AE89" s="117">
        <f t="shared" si="13"/>
        <v>0</v>
      </c>
    </row>
    <row r="90" spans="2:31" ht="15.75" customHeight="1" thickBot="1" x14ac:dyDescent="0.25">
      <c r="B90" s="123">
        <f>+B89+1</f>
        <v>2</v>
      </c>
      <c r="C90" s="159"/>
      <c r="D90" s="123">
        <f>+D89+1</f>
        <v>23</v>
      </c>
      <c r="E90" s="159"/>
      <c r="F90" s="123">
        <f>+F89+1</f>
        <v>44</v>
      </c>
      <c r="G90" s="158"/>
      <c r="H90" s="123">
        <f>+H89+1</f>
        <v>65</v>
      </c>
      <c r="I90" s="158"/>
      <c r="J90" s="123">
        <f>+J89+1</f>
        <v>86</v>
      </c>
      <c r="K90" s="158"/>
      <c r="L90" s="123">
        <f>+L89+1</f>
        <v>107</v>
      </c>
      <c r="M90" s="158"/>
      <c r="N90" s="196"/>
      <c r="P90" s="124">
        <v>0</v>
      </c>
      <c r="Q90" s="124">
        <v>0.5</v>
      </c>
      <c r="R90" s="79">
        <v>20</v>
      </c>
      <c r="T90" s="113">
        <f t="shared" si="14"/>
        <v>14</v>
      </c>
      <c r="U90" s="113" t="s">
        <v>155</v>
      </c>
      <c r="V90" s="114"/>
      <c r="W90" s="114">
        <f t="shared" si="15"/>
        <v>45614</v>
      </c>
      <c r="X90" s="114"/>
      <c r="Y90" s="115">
        <v>0</v>
      </c>
      <c r="Z90" s="116">
        <v>1</v>
      </c>
      <c r="AA90" s="117">
        <f t="shared" si="10"/>
        <v>0</v>
      </c>
      <c r="AB90" s="118">
        <f t="shared" si="11"/>
        <v>44959</v>
      </c>
      <c r="AC90" s="118">
        <f t="shared" si="9"/>
        <v>45615</v>
      </c>
      <c r="AD90" s="118">
        <f t="shared" si="12"/>
        <v>-656</v>
      </c>
      <c r="AE90" s="117">
        <f t="shared" si="13"/>
        <v>0</v>
      </c>
    </row>
    <row r="91" spans="2:31" ht="15.75" customHeight="1" thickBot="1" x14ac:dyDescent="0.25">
      <c r="B91" s="123">
        <f t="shared" ref="B91:B109" si="16">+B90+1</f>
        <v>3</v>
      </c>
      <c r="C91" s="159"/>
      <c r="D91" s="123">
        <f t="shared" ref="D91:L109" si="17">+D90+1</f>
        <v>24</v>
      </c>
      <c r="E91" s="159"/>
      <c r="F91" s="123">
        <f t="shared" si="17"/>
        <v>45</v>
      </c>
      <c r="G91" s="158"/>
      <c r="H91" s="123">
        <f t="shared" si="17"/>
        <v>66</v>
      </c>
      <c r="I91" s="158"/>
      <c r="J91" s="123">
        <f t="shared" si="17"/>
        <v>87</v>
      </c>
      <c r="K91" s="158"/>
      <c r="L91" s="123">
        <f t="shared" si="17"/>
        <v>108</v>
      </c>
      <c r="M91" s="158"/>
      <c r="N91" s="196"/>
      <c r="P91" s="124">
        <v>0.5</v>
      </c>
      <c r="Q91" s="124">
        <v>0.75</v>
      </c>
      <c r="R91" s="79">
        <v>25</v>
      </c>
      <c r="T91" s="113">
        <f t="shared" si="14"/>
        <v>15</v>
      </c>
      <c r="U91" s="113" t="s">
        <v>156</v>
      </c>
      <c r="V91" s="114"/>
      <c r="W91" s="114">
        <f t="shared" si="15"/>
        <v>45614</v>
      </c>
      <c r="X91" s="114"/>
      <c r="Y91" s="115">
        <v>0</v>
      </c>
      <c r="Z91" s="116">
        <v>1</v>
      </c>
      <c r="AA91" s="117">
        <f t="shared" si="10"/>
        <v>0</v>
      </c>
      <c r="AB91" s="118">
        <f t="shared" si="11"/>
        <v>44959</v>
      </c>
      <c r="AC91" s="118">
        <f t="shared" si="9"/>
        <v>45615</v>
      </c>
      <c r="AD91" s="118">
        <f t="shared" si="12"/>
        <v>-656</v>
      </c>
      <c r="AE91" s="117">
        <f t="shared" si="13"/>
        <v>0</v>
      </c>
    </row>
    <row r="92" spans="2:31" ht="15.75" customHeight="1" thickBot="1" x14ac:dyDescent="0.25">
      <c r="B92" s="123">
        <f t="shared" si="16"/>
        <v>4</v>
      </c>
      <c r="C92" s="159"/>
      <c r="D92" s="123">
        <f t="shared" si="17"/>
        <v>25</v>
      </c>
      <c r="E92" s="159"/>
      <c r="F92" s="123">
        <f t="shared" si="17"/>
        <v>46</v>
      </c>
      <c r="G92" s="158"/>
      <c r="H92" s="123">
        <f t="shared" si="17"/>
        <v>67</v>
      </c>
      <c r="I92" s="158"/>
      <c r="J92" s="123">
        <f t="shared" si="17"/>
        <v>88</v>
      </c>
      <c r="K92" s="158"/>
      <c r="L92" s="123">
        <f t="shared" si="17"/>
        <v>109</v>
      </c>
      <c r="M92" s="158"/>
      <c r="N92" s="196"/>
      <c r="P92" s="124">
        <v>0.75</v>
      </c>
      <c r="Q92" s="124">
        <v>1</v>
      </c>
      <c r="R92" s="79">
        <v>30</v>
      </c>
      <c r="T92" s="113">
        <f t="shared" si="14"/>
        <v>16</v>
      </c>
      <c r="U92" s="113" t="s">
        <v>157</v>
      </c>
      <c r="V92" s="114"/>
      <c r="W92" s="114">
        <f t="shared" si="15"/>
        <v>45614</v>
      </c>
      <c r="X92" s="114"/>
      <c r="Y92" s="115">
        <v>0</v>
      </c>
      <c r="Z92" s="116">
        <v>1</v>
      </c>
      <c r="AA92" s="117">
        <f t="shared" si="10"/>
        <v>0</v>
      </c>
      <c r="AB92" s="118">
        <f t="shared" si="11"/>
        <v>44959</v>
      </c>
      <c r="AC92" s="118">
        <f t="shared" si="9"/>
        <v>45615</v>
      </c>
      <c r="AD92" s="118">
        <f t="shared" si="12"/>
        <v>-656</v>
      </c>
      <c r="AE92" s="117">
        <f t="shared" si="13"/>
        <v>0</v>
      </c>
    </row>
    <row r="93" spans="2:31" ht="15.75" customHeight="1" thickBot="1" x14ac:dyDescent="0.25">
      <c r="B93" s="123">
        <f t="shared" si="16"/>
        <v>5</v>
      </c>
      <c r="C93" s="159"/>
      <c r="D93" s="123">
        <f t="shared" si="17"/>
        <v>26</v>
      </c>
      <c r="E93" s="159"/>
      <c r="F93" s="123">
        <f t="shared" si="17"/>
        <v>47</v>
      </c>
      <c r="G93" s="158"/>
      <c r="H93" s="123">
        <f t="shared" si="17"/>
        <v>68</v>
      </c>
      <c r="I93" s="158"/>
      <c r="J93" s="123">
        <f t="shared" si="17"/>
        <v>89</v>
      </c>
      <c r="K93" s="158"/>
      <c r="L93" s="123">
        <f t="shared" si="17"/>
        <v>110</v>
      </c>
      <c r="M93" s="158"/>
      <c r="N93" s="196"/>
      <c r="P93" s="124">
        <v>1</v>
      </c>
      <c r="Q93" s="124">
        <v>1.5</v>
      </c>
      <c r="R93" s="79">
        <v>35</v>
      </c>
      <c r="T93" s="113">
        <f t="shared" si="14"/>
        <v>17</v>
      </c>
      <c r="U93" s="113" t="s">
        <v>158</v>
      </c>
      <c r="V93" s="114"/>
      <c r="W93" s="114">
        <f t="shared" si="15"/>
        <v>45614</v>
      </c>
      <c r="X93" s="114"/>
      <c r="Y93" s="115">
        <v>0</v>
      </c>
      <c r="Z93" s="116">
        <v>1</v>
      </c>
      <c r="AA93" s="117">
        <f t="shared" si="10"/>
        <v>0</v>
      </c>
      <c r="AB93" s="118">
        <f t="shared" si="11"/>
        <v>44959</v>
      </c>
      <c r="AC93" s="118">
        <f t="shared" si="9"/>
        <v>45615</v>
      </c>
      <c r="AD93" s="118">
        <f t="shared" si="12"/>
        <v>-656</v>
      </c>
      <c r="AE93" s="117">
        <f t="shared" si="13"/>
        <v>0</v>
      </c>
    </row>
    <row r="94" spans="2:31" ht="15.75" customHeight="1" thickBot="1" x14ac:dyDescent="0.25">
      <c r="B94" s="123">
        <f t="shared" si="16"/>
        <v>6</v>
      </c>
      <c r="C94" s="159"/>
      <c r="D94" s="123">
        <f t="shared" si="17"/>
        <v>27</v>
      </c>
      <c r="E94" s="159"/>
      <c r="F94" s="123">
        <f t="shared" si="17"/>
        <v>48</v>
      </c>
      <c r="G94" s="158"/>
      <c r="H94" s="123">
        <f t="shared" si="17"/>
        <v>69</v>
      </c>
      <c r="I94" s="158"/>
      <c r="J94" s="123">
        <f t="shared" si="17"/>
        <v>90</v>
      </c>
      <c r="K94" s="158"/>
      <c r="L94" s="123">
        <f t="shared" si="17"/>
        <v>111</v>
      </c>
      <c r="M94" s="158"/>
      <c r="N94" s="196"/>
      <c r="P94" s="124">
        <v>1.5</v>
      </c>
      <c r="Q94" s="124"/>
      <c r="R94" s="79">
        <v>40</v>
      </c>
      <c r="T94" s="113">
        <f t="shared" si="14"/>
        <v>18</v>
      </c>
      <c r="U94" s="113" t="s">
        <v>159</v>
      </c>
      <c r="V94" s="114"/>
      <c r="W94" s="114">
        <f t="shared" si="15"/>
        <v>45614</v>
      </c>
      <c r="X94" s="114"/>
      <c r="Y94" s="115">
        <v>0</v>
      </c>
      <c r="Z94" s="116">
        <v>1</v>
      </c>
      <c r="AA94" s="117">
        <f t="shared" si="10"/>
        <v>0</v>
      </c>
      <c r="AB94" s="118">
        <f t="shared" si="11"/>
        <v>44959</v>
      </c>
      <c r="AC94" s="118">
        <f t="shared" si="9"/>
        <v>45615</v>
      </c>
      <c r="AD94" s="118">
        <f t="shared" si="12"/>
        <v>-656</v>
      </c>
      <c r="AE94" s="117">
        <f t="shared" si="13"/>
        <v>0</v>
      </c>
    </row>
    <row r="95" spans="2:31" ht="15.75" customHeight="1" thickBot="1" x14ac:dyDescent="0.25">
      <c r="B95" s="123">
        <f t="shared" si="16"/>
        <v>7</v>
      </c>
      <c r="C95" s="159"/>
      <c r="D95" s="123">
        <f t="shared" si="17"/>
        <v>28</v>
      </c>
      <c r="E95" s="159"/>
      <c r="F95" s="123">
        <f t="shared" si="17"/>
        <v>49</v>
      </c>
      <c r="G95" s="158"/>
      <c r="H95" s="123">
        <f t="shared" si="17"/>
        <v>70</v>
      </c>
      <c r="I95" s="158"/>
      <c r="J95" s="123">
        <f t="shared" si="17"/>
        <v>91</v>
      </c>
      <c r="K95" s="158"/>
      <c r="L95" s="123">
        <f t="shared" si="17"/>
        <v>112</v>
      </c>
      <c r="M95" s="158"/>
      <c r="N95" s="196"/>
      <c r="P95" s="212" t="s">
        <v>160</v>
      </c>
      <c r="Q95" s="212"/>
      <c r="R95" s="99" t="s">
        <v>147</v>
      </c>
      <c r="T95" s="113">
        <f t="shared" si="14"/>
        <v>19</v>
      </c>
      <c r="U95" s="113" t="s">
        <v>161</v>
      </c>
      <c r="V95" s="114"/>
      <c r="W95" s="114">
        <f t="shared" si="15"/>
        <v>45614</v>
      </c>
      <c r="X95" s="114"/>
      <c r="Y95" s="115">
        <v>0</v>
      </c>
      <c r="Z95" s="116">
        <v>1</v>
      </c>
      <c r="AA95" s="117">
        <f t="shared" si="10"/>
        <v>0</v>
      </c>
      <c r="AB95" s="118">
        <f t="shared" si="11"/>
        <v>44959</v>
      </c>
      <c r="AC95" s="118">
        <f t="shared" si="9"/>
        <v>45615</v>
      </c>
      <c r="AD95" s="118">
        <f t="shared" si="12"/>
        <v>-656</v>
      </c>
      <c r="AE95" s="117">
        <f t="shared" si="13"/>
        <v>0</v>
      </c>
    </row>
    <row r="96" spans="2:31" ht="15.75" customHeight="1" thickBot="1" x14ac:dyDescent="0.25">
      <c r="B96" s="123">
        <f t="shared" si="16"/>
        <v>8</v>
      </c>
      <c r="C96" s="159"/>
      <c r="D96" s="123">
        <f t="shared" si="17"/>
        <v>29</v>
      </c>
      <c r="E96" s="159"/>
      <c r="F96" s="123">
        <f t="shared" si="17"/>
        <v>50</v>
      </c>
      <c r="G96" s="158"/>
      <c r="H96" s="123">
        <f t="shared" si="17"/>
        <v>71</v>
      </c>
      <c r="I96" s="158"/>
      <c r="J96" s="123">
        <f t="shared" si="17"/>
        <v>92</v>
      </c>
      <c r="K96" s="158"/>
      <c r="L96" s="123">
        <f t="shared" si="17"/>
        <v>113</v>
      </c>
      <c r="M96" s="158"/>
      <c r="N96" s="196"/>
      <c r="P96" s="79"/>
      <c r="Q96" s="79"/>
      <c r="R96" s="79">
        <v>0</v>
      </c>
      <c r="T96" s="113">
        <f t="shared" si="14"/>
        <v>20</v>
      </c>
      <c r="U96" s="113" t="s">
        <v>162</v>
      </c>
      <c r="V96" s="114"/>
      <c r="W96" s="114">
        <f t="shared" si="15"/>
        <v>45614</v>
      </c>
      <c r="X96" s="114"/>
      <c r="Y96" s="115">
        <v>0</v>
      </c>
      <c r="Z96" s="116">
        <v>1</v>
      </c>
      <c r="AA96" s="117">
        <f t="shared" si="10"/>
        <v>0</v>
      </c>
      <c r="AB96" s="118">
        <f t="shared" si="11"/>
        <v>44959</v>
      </c>
      <c r="AC96" s="118">
        <f t="shared" si="9"/>
        <v>45615</v>
      </c>
      <c r="AD96" s="118">
        <f t="shared" si="12"/>
        <v>-656</v>
      </c>
      <c r="AE96" s="117">
        <f t="shared" si="13"/>
        <v>0</v>
      </c>
    </row>
    <row r="97" spans="2:31" ht="15.75" customHeight="1" thickBot="1" x14ac:dyDescent="0.25">
      <c r="B97" s="123">
        <f t="shared" si="16"/>
        <v>9</v>
      </c>
      <c r="C97" s="159"/>
      <c r="D97" s="123">
        <f t="shared" si="17"/>
        <v>30</v>
      </c>
      <c r="E97" s="159"/>
      <c r="F97" s="123">
        <f t="shared" si="17"/>
        <v>51</v>
      </c>
      <c r="G97" s="158"/>
      <c r="H97" s="123">
        <f t="shared" si="17"/>
        <v>72</v>
      </c>
      <c r="I97" s="158"/>
      <c r="J97" s="123">
        <f t="shared" si="17"/>
        <v>93</v>
      </c>
      <c r="K97" s="158"/>
      <c r="L97" s="123">
        <f t="shared" si="17"/>
        <v>114</v>
      </c>
      <c r="M97" s="158"/>
      <c r="N97" s="196"/>
      <c r="P97" s="79">
        <v>0</v>
      </c>
      <c r="Q97" s="79">
        <v>5</v>
      </c>
      <c r="R97" s="79">
        <v>20</v>
      </c>
      <c r="T97" s="113">
        <f t="shared" si="14"/>
        <v>21</v>
      </c>
      <c r="U97" s="113" t="s">
        <v>163</v>
      </c>
      <c r="V97" s="114"/>
      <c r="W97" s="114">
        <f t="shared" si="15"/>
        <v>45614</v>
      </c>
      <c r="X97" s="114"/>
      <c r="Y97" s="115">
        <v>0</v>
      </c>
      <c r="Z97" s="116">
        <v>1</v>
      </c>
      <c r="AA97" s="117">
        <f t="shared" si="10"/>
        <v>0</v>
      </c>
      <c r="AB97" s="118">
        <f t="shared" si="11"/>
        <v>44959</v>
      </c>
      <c r="AC97" s="118">
        <f t="shared" si="9"/>
        <v>45615</v>
      </c>
      <c r="AD97" s="118">
        <f t="shared" si="12"/>
        <v>-656</v>
      </c>
      <c r="AE97" s="117">
        <f t="shared" si="13"/>
        <v>0</v>
      </c>
    </row>
    <row r="98" spans="2:31" ht="15.75" customHeight="1" thickBot="1" x14ac:dyDescent="0.25">
      <c r="B98" s="123">
        <f t="shared" si="16"/>
        <v>10</v>
      </c>
      <c r="C98" s="159"/>
      <c r="D98" s="123">
        <f t="shared" si="17"/>
        <v>31</v>
      </c>
      <c r="E98" s="159"/>
      <c r="F98" s="123">
        <f t="shared" si="17"/>
        <v>52</v>
      </c>
      <c r="G98" s="158"/>
      <c r="H98" s="123">
        <f t="shared" si="17"/>
        <v>73</v>
      </c>
      <c r="I98" s="158"/>
      <c r="J98" s="123">
        <f t="shared" si="17"/>
        <v>94</v>
      </c>
      <c r="K98" s="158"/>
      <c r="L98" s="123">
        <f t="shared" si="17"/>
        <v>115</v>
      </c>
      <c r="M98" s="158"/>
      <c r="N98" s="196"/>
      <c r="P98" s="79">
        <v>5</v>
      </c>
      <c r="Q98" s="79">
        <v>10</v>
      </c>
      <c r="R98" s="79">
        <v>30</v>
      </c>
      <c r="T98" s="113">
        <f t="shared" si="14"/>
        <v>22</v>
      </c>
      <c r="U98" s="113" t="s">
        <v>164</v>
      </c>
      <c r="V98" s="114"/>
      <c r="W98" s="114">
        <f t="shared" si="15"/>
        <v>45614</v>
      </c>
      <c r="X98" s="114"/>
      <c r="Y98" s="115">
        <v>0</v>
      </c>
      <c r="Z98" s="116">
        <v>1</v>
      </c>
      <c r="AA98" s="117">
        <f t="shared" si="10"/>
        <v>0</v>
      </c>
      <c r="AB98" s="118">
        <f t="shared" si="11"/>
        <v>44959</v>
      </c>
      <c r="AC98" s="118">
        <f t="shared" si="9"/>
        <v>45615</v>
      </c>
      <c r="AD98" s="118">
        <f t="shared" si="12"/>
        <v>-656</v>
      </c>
      <c r="AE98" s="117">
        <f t="shared" si="13"/>
        <v>0</v>
      </c>
    </row>
    <row r="99" spans="2:31" ht="15.75" customHeight="1" thickBot="1" x14ac:dyDescent="0.25">
      <c r="B99" s="123">
        <f t="shared" si="16"/>
        <v>11</v>
      </c>
      <c r="C99" s="158"/>
      <c r="D99" s="123">
        <f t="shared" si="17"/>
        <v>32</v>
      </c>
      <c r="E99" s="158"/>
      <c r="F99" s="123">
        <f t="shared" si="17"/>
        <v>53</v>
      </c>
      <c r="G99" s="158"/>
      <c r="H99" s="123">
        <f t="shared" si="17"/>
        <v>74</v>
      </c>
      <c r="I99" s="158"/>
      <c r="J99" s="123">
        <f t="shared" si="17"/>
        <v>95</v>
      </c>
      <c r="K99" s="158"/>
      <c r="L99" s="123">
        <f t="shared" si="17"/>
        <v>116</v>
      </c>
      <c r="M99" s="158"/>
      <c r="N99" s="196"/>
      <c r="P99" s="79">
        <v>10</v>
      </c>
      <c r="Q99" s="79"/>
      <c r="R99" s="79">
        <v>40</v>
      </c>
      <c r="T99" s="113">
        <f t="shared" si="14"/>
        <v>23</v>
      </c>
      <c r="U99" s="113" t="s">
        <v>165</v>
      </c>
      <c r="V99" s="114"/>
      <c r="W99" s="114">
        <f t="shared" si="15"/>
        <v>45614</v>
      </c>
      <c r="X99" s="114"/>
      <c r="Y99" s="115">
        <v>0</v>
      </c>
      <c r="Z99" s="116">
        <v>1</v>
      </c>
      <c r="AA99" s="117">
        <f t="shared" si="10"/>
        <v>0</v>
      </c>
      <c r="AB99" s="118">
        <f t="shared" si="11"/>
        <v>44959</v>
      </c>
      <c r="AC99" s="118">
        <f t="shared" si="9"/>
        <v>45615</v>
      </c>
      <c r="AD99" s="118">
        <f t="shared" si="12"/>
        <v>-656</v>
      </c>
      <c r="AE99" s="117">
        <f t="shared" si="13"/>
        <v>0</v>
      </c>
    </row>
    <row r="100" spans="2:31" ht="15.75" customHeight="1" thickBot="1" x14ac:dyDescent="0.25">
      <c r="B100" s="123">
        <f t="shared" si="16"/>
        <v>12</v>
      </c>
      <c r="C100" s="158"/>
      <c r="D100" s="123">
        <f t="shared" si="17"/>
        <v>33</v>
      </c>
      <c r="E100" s="158"/>
      <c r="F100" s="123">
        <f t="shared" si="17"/>
        <v>54</v>
      </c>
      <c r="G100" s="158"/>
      <c r="H100" s="123">
        <f t="shared" si="17"/>
        <v>75</v>
      </c>
      <c r="I100" s="158"/>
      <c r="J100" s="123">
        <f t="shared" si="17"/>
        <v>96</v>
      </c>
      <c r="K100" s="158"/>
      <c r="L100" s="123">
        <f t="shared" si="17"/>
        <v>117</v>
      </c>
      <c r="M100" s="158"/>
      <c r="N100" s="196"/>
      <c r="T100" s="113">
        <f t="shared" si="14"/>
        <v>24</v>
      </c>
      <c r="U100" s="113" t="s">
        <v>166</v>
      </c>
      <c r="V100" s="114"/>
      <c r="W100" s="114">
        <f t="shared" si="15"/>
        <v>45614</v>
      </c>
      <c r="X100" s="114"/>
      <c r="Y100" s="115">
        <v>0</v>
      </c>
      <c r="Z100" s="116">
        <v>1</v>
      </c>
      <c r="AA100" s="117">
        <f t="shared" si="10"/>
        <v>0</v>
      </c>
      <c r="AB100" s="118">
        <f t="shared" si="11"/>
        <v>44959</v>
      </c>
      <c r="AC100" s="118">
        <f t="shared" si="9"/>
        <v>45615</v>
      </c>
      <c r="AD100" s="118">
        <f t="shared" si="12"/>
        <v>-656</v>
      </c>
      <c r="AE100" s="117">
        <f t="shared" si="13"/>
        <v>0</v>
      </c>
    </row>
    <row r="101" spans="2:31" ht="15.75" customHeight="1" thickBot="1" x14ac:dyDescent="0.25">
      <c r="B101" s="123">
        <f t="shared" si="16"/>
        <v>13</v>
      </c>
      <c r="C101" s="158"/>
      <c r="D101" s="123">
        <f t="shared" si="17"/>
        <v>34</v>
      </c>
      <c r="E101" s="158"/>
      <c r="F101" s="123">
        <f t="shared" si="17"/>
        <v>55</v>
      </c>
      <c r="G101" s="158"/>
      <c r="H101" s="123">
        <f t="shared" si="17"/>
        <v>76</v>
      </c>
      <c r="I101" s="158"/>
      <c r="J101" s="123">
        <f t="shared" si="17"/>
        <v>97</v>
      </c>
      <c r="K101" s="158"/>
      <c r="L101" s="123">
        <f t="shared" si="17"/>
        <v>118</v>
      </c>
      <c r="M101" s="158"/>
      <c r="N101" s="196"/>
      <c r="R101" s="130" t="s">
        <v>213</v>
      </c>
      <c r="T101" s="113">
        <f t="shared" si="14"/>
        <v>25</v>
      </c>
      <c r="U101" s="113" t="s">
        <v>168</v>
      </c>
      <c r="V101" s="114"/>
      <c r="W101" s="114">
        <f t="shared" si="15"/>
        <v>45614</v>
      </c>
      <c r="X101" s="114"/>
      <c r="Y101" s="115">
        <v>0</v>
      </c>
      <c r="Z101" s="116">
        <v>1</v>
      </c>
      <c r="AA101" s="117">
        <f t="shared" si="10"/>
        <v>0</v>
      </c>
      <c r="AB101" s="118">
        <f t="shared" si="11"/>
        <v>44959</v>
      </c>
      <c r="AC101" s="118">
        <f t="shared" si="9"/>
        <v>45615</v>
      </c>
      <c r="AD101" s="118">
        <f t="shared" si="12"/>
        <v>-656</v>
      </c>
      <c r="AE101" s="117">
        <f t="shared" si="13"/>
        <v>0</v>
      </c>
    </row>
    <row r="102" spans="2:31" ht="15.75" customHeight="1" thickBot="1" x14ac:dyDescent="0.25">
      <c r="B102" s="123">
        <f t="shared" si="16"/>
        <v>14</v>
      </c>
      <c r="C102" s="158"/>
      <c r="D102" s="123">
        <f t="shared" si="17"/>
        <v>35</v>
      </c>
      <c r="E102" s="158"/>
      <c r="F102" s="123">
        <f t="shared" si="17"/>
        <v>56</v>
      </c>
      <c r="G102" s="158"/>
      <c r="H102" s="123">
        <f t="shared" si="17"/>
        <v>77</v>
      </c>
      <c r="I102" s="158"/>
      <c r="J102" s="123">
        <f t="shared" si="17"/>
        <v>98</v>
      </c>
      <c r="K102" s="158"/>
      <c r="L102" s="123">
        <f t="shared" si="17"/>
        <v>119</v>
      </c>
      <c r="M102" s="158"/>
      <c r="N102" s="196"/>
      <c r="P102" s="82" t="s">
        <v>201</v>
      </c>
      <c r="R102" s="131">
        <v>17282722097</v>
      </c>
      <c r="T102" s="113">
        <f t="shared" si="14"/>
        <v>26</v>
      </c>
      <c r="U102" s="113" t="s">
        <v>170</v>
      </c>
      <c r="V102" s="114"/>
      <c r="W102" s="114">
        <f t="shared" si="15"/>
        <v>45614</v>
      </c>
      <c r="X102" s="114"/>
      <c r="Y102" s="115">
        <v>0</v>
      </c>
      <c r="Z102" s="116">
        <v>1</v>
      </c>
      <c r="AA102" s="117">
        <f t="shared" si="10"/>
        <v>0</v>
      </c>
      <c r="AB102" s="118">
        <f t="shared" si="11"/>
        <v>44959</v>
      </c>
      <c r="AC102" s="118">
        <f t="shared" si="9"/>
        <v>45615</v>
      </c>
      <c r="AD102" s="118">
        <f t="shared" si="12"/>
        <v>-656</v>
      </c>
      <c r="AE102" s="117">
        <f t="shared" si="13"/>
        <v>0</v>
      </c>
    </row>
    <row r="103" spans="2:31" ht="15.75" customHeight="1" thickBot="1" x14ac:dyDescent="0.25">
      <c r="B103" s="123">
        <f t="shared" si="16"/>
        <v>15</v>
      </c>
      <c r="C103" s="158"/>
      <c r="D103" s="123">
        <f t="shared" si="17"/>
        <v>36</v>
      </c>
      <c r="E103" s="158"/>
      <c r="F103" s="123">
        <f t="shared" si="17"/>
        <v>57</v>
      </c>
      <c r="G103" s="158"/>
      <c r="H103" s="123">
        <f t="shared" si="17"/>
        <v>78</v>
      </c>
      <c r="I103" s="158"/>
      <c r="J103" s="123">
        <f t="shared" si="17"/>
        <v>99</v>
      </c>
      <c r="K103" s="158"/>
      <c r="L103" s="123">
        <f t="shared" si="17"/>
        <v>120</v>
      </c>
      <c r="M103" s="158"/>
      <c r="N103" s="196"/>
      <c r="O103" s="125"/>
      <c r="P103" s="82" t="s">
        <v>214</v>
      </c>
      <c r="R103" s="131">
        <v>14101948434</v>
      </c>
      <c r="T103" s="113">
        <f t="shared" si="14"/>
        <v>27</v>
      </c>
      <c r="U103" s="113" t="s">
        <v>172</v>
      </c>
      <c r="V103" s="114"/>
      <c r="W103" s="114">
        <f t="shared" si="15"/>
        <v>45614</v>
      </c>
      <c r="X103" s="114"/>
      <c r="Y103" s="115">
        <v>0</v>
      </c>
      <c r="Z103" s="116">
        <v>1</v>
      </c>
      <c r="AA103" s="117">
        <f t="shared" si="10"/>
        <v>0</v>
      </c>
      <c r="AB103" s="118">
        <f t="shared" si="11"/>
        <v>44959</v>
      </c>
      <c r="AC103" s="118">
        <f t="shared" si="9"/>
        <v>45615</v>
      </c>
      <c r="AD103" s="118">
        <f t="shared" si="12"/>
        <v>-656</v>
      </c>
      <c r="AE103" s="117">
        <f t="shared" si="13"/>
        <v>0</v>
      </c>
    </row>
    <row r="104" spans="2:31" ht="15.75" customHeight="1" thickBot="1" x14ac:dyDescent="0.25">
      <c r="B104" s="123">
        <f t="shared" si="16"/>
        <v>16</v>
      </c>
      <c r="C104" s="158"/>
      <c r="D104" s="123">
        <f t="shared" si="17"/>
        <v>37</v>
      </c>
      <c r="E104" s="158"/>
      <c r="F104" s="123">
        <f t="shared" si="17"/>
        <v>58</v>
      </c>
      <c r="G104" s="158"/>
      <c r="H104" s="123">
        <f t="shared" si="17"/>
        <v>79</v>
      </c>
      <c r="I104" s="158"/>
      <c r="J104" s="123">
        <f t="shared" si="17"/>
        <v>100</v>
      </c>
      <c r="K104" s="158"/>
      <c r="L104" s="123">
        <f t="shared" si="17"/>
        <v>121</v>
      </c>
      <c r="M104" s="158"/>
      <c r="N104" s="196"/>
      <c r="O104" s="125"/>
      <c r="P104" s="82" t="s">
        <v>202</v>
      </c>
      <c r="R104" s="131">
        <v>8860786921</v>
      </c>
      <c r="T104" s="113">
        <f t="shared" si="14"/>
        <v>28</v>
      </c>
      <c r="U104" s="113" t="s">
        <v>174</v>
      </c>
      <c r="V104" s="114"/>
      <c r="W104" s="114">
        <f t="shared" si="15"/>
        <v>45614</v>
      </c>
      <c r="X104" s="114"/>
      <c r="Y104" s="115">
        <v>0</v>
      </c>
      <c r="Z104" s="116">
        <v>1</v>
      </c>
      <c r="AA104" s="117">
        <f t="shared" si="10"/>
        <v>0</v>
      </c>
      <c r="AB104" s="118">
        <f t="shared" si="11"/>
        <v>44959</v>
      </c>
      <c r="AC104" s="118">
        <f t="shared" si="9"/>
        <v>45615</v>
      </c>
      <c r="AD104" s="118">
        <f t="shared" si="12"/>
        <v>-656</v>
      </c>
      <c r="AE104" s="117">
        <f t="shared" si="13"/>
        <v>0</v>
      </c>
    </row>
    <row r="105" spans="2:31" ht="15.75" customHeight="1" thickBot="1" x14ac:dyDescent="0.25">
      <c r="B105" s="123">
        <f t="shared" si="16"/>
        <v>17</v>
      </c>
      <c r="C105" s="158"/>
      <c r="D105" s="123">
        <f t="shared" si="17"/>
        <v>38</v>
      </c>
      <c r="E105" s="158"/>
      <c r="F105" s="123">
        <f t="shared" si="17"/>
        <v>59</v>
      </c>
      <c r="G105" s="158"/>
      <c r="H105" s="123">
        <f t="shared" si="17"/>
        <v>80</v>
      </c>
      <c r="I105" s="158"/>
      <c r="J105" s="123">
        <f t="shared" si="17"/>
        <v>101</v>
      </c>
      <c r="K105" s="158"/>
      <c r="L105" s="123">
        <f t="shared" si="17"/>
        <v>122</v>
      </c>
      <c r="M105" s="158"/>
      <c r="N105" s="196"/>
      <c r="O105" s="125"/>
      <c r="P105" s="82" t="s">
        <v>203</v>
      </c>
      <c r="R105" s="131">
        <v>19587312969</v>
      </c>
      <c r="T105" s="113">
        <f t="shared" si="14"/>
        <v>29</v>
      </c>
      <c r="U105" s="113" t="s">
        <v>176</v>
      </c>
      <c r="V105" s="114"/>
      <c r="W105" s="114">
        <f t="shared" si="15"/>
        <v>45614</v>
      </c>
      <c r="X105" s="114"/>
      <c r="Y105" s="115">
        <v>0</v>
      </c>
      <c r="Z105" s="116">
        <v>1</v>
      </c>
      <c r="AA105" s="117">
        <f t="shared" si="10"/>
        <v>0</v>
      </c>
      <c r="AB105" s="118">
        <f t="shared" si="11"/>
        <v>44959</v>
      </c>
      <c r="AC105" s="118">
        <f t="shared" si="9"/>
        <v>45615</v>
      </c>
      <c r="AD105" s="118">
        <f t="shared" si="12"/>
        <v>-656</v>
      </c>
      <c r="AE105" s="117">
        <f t="shared" si="13"/>
        <v>0</v>
      </c>
    </row>
    <row r="106" spans="2:31" ht="15.75" customHeight="1" thickBot="1" x14ac:dyDescent="0.25">
      <c r="B106" s="123">
        <f t="shared" si="16"/>
        <v>18</v>
      </c>
      <c r="C106" s="158"/>
      <c r="D106" s="123">
        <f t="shared" si="17"/>
        <v>39</v>
      </c>
      <c r="E106" s="158"/>
      <c r="F106" s="123">
        <f t="shared" si="17"/>
        <v>60</v>
      </c>
      <c r="G106" s="158"/>
      <c r="H106" s="123">
        <f t="shared" si="17"/>
        <v>81</v>
      </c>
      <c r="I106" s="158"/>
      <c r="J106" s="123">
        <f t="shared" si="17"/>
        <v>102</v>
      </c>
      <c r="K106" s="158"/>
      <c r="L106" s="123">
        <f t="shared" si="17"/>
        <v>123</v>
      </c>
      <c r="M106" s="158"/>
      <c r="N106" s="196"/>
      <c r="O106" s="125"/>
      <c r="P106" s="82" t="s">
        <v>204</v>
      </c>
      <c r="R106" s="131">
        <v>10049355290</v>
      </c>
      <c r="T106" s="113">
        <f t="shared" si="14"/>
        <v>30</v>
      </c>
      <c r="U106" s="113" t="s">
        <v>178</v>
      </c>
      <c r="V106" s="114"/>
      <c r="W106" s="114">
        <f t="shared" si="15"/>
        <v>45614</v>
      </c>
      <c r="X106" s="114"/>
      <c r="Y106" s="115">
        <v>0</v>
      </c>
      <c r="Z106" s="116">
        <v>1</v>
      </c>
      <c r="AA106" s="117">
        <f t="shared" si="10"/>
        <v>0</v>
      </c>
      <c r="AB106" s="118">
        <f t="shared" si="11"/>
        <v>44959</v>
      </c>
      <c r="AC106" s="118">
        <f t="shared" si="9"/>
        <v>45615</v>
      </c>
      <c r="AD106" s="118">
        <f t="shared" si="12"/>
        <v>-656</v>
      </c>
      <c r="AE106" s="117">
        <f t="shared" si="13"/>
        <v>0</v>
      </c>
    </row>
    <row r="107" spans="2:31" ht="15.75" customHeight="1" thickBot="1" x14ac:dyDescent="0.25">
      <c r="B107" s="123">
        <f t="shared" si="16"/>
        <v>19</v>
      </c>
      <c r="C107" s="158"/>
      <c r="D107" s="123">
        <f t="shared" si="17"/>
        <v>40</v>
      </c>
      <c r="E107" s="158"/>
      <c r="F107" s="123">
        <f t="shared" si="17"/>
        <v>61</v>
      </c>
      <c r="G107" s="158"/>
      <c r="H107" s="123">
        <f t="shared" si="17"/>
        <v>82</v>
      </c>
      <c r="I107" s="158"/>
      <c r="J107" s="123">
        <f t="shared" si="17"/>
        <v>103</v>
      </c>
      <c r="K107" s="158"/>
      <c r="L107" s="123">
        <f t="shared" si="17"/>
        <v>124</v>
      </c>
      <c r="M107" s="158"/>
      <c r="N107" s="196"/>
      <c r="O107" s="125"/>
      <c r="P107" s="82" t="s">
        <v>205</v>
      </c>
      <c r="R107" s="131">
        <v>16751309190</v>
      </c>
      <c r="T107" s="113">
        <f t="shared" si="14"/>
        <v>31</v>
      </c>
      <c r="U107" s="113" t="s">
        <v>180</v>
      </c>
      <c r="V107" s="114"/>
      <c r="W107" s="114">
        <f t="shared" si="15"/>
        <v>45614</v>
      </c>
      <c r="X107" s="114"/>
      <c r="Y107" s="115">
        <v>0</v>
      </c>
      <c r="Z107" s="116">
        <v>1</v>
      </c>
      <c r="AA107" s="117">
        <f t="shared" si="10"/>
        <v>0</v>
      </c>
      <c r="AB107" s="118">
        <f t="shared" si="11"/>
        <v>44959</v>
      </c>
      <c r="AC107" s="118">
        <f t="shared" si="9"/>
        <v>45615</v>
      </c>
      <c r="AD107" s="118">
        <f t="shared" si="12"/>
        <v>-656</v>
      </c>
      <c r="AE107" s="117">
        <f t="shared" si="13"/>
        <v>0</v>
      </c>
    </row>
    <row r="108" spans="2:31" ht="15.75" customHeight="1" thickBot="1" x14ac:dyDescent="0.25">
      <c r="B108" s="123">
        <f t="shared" si="16"/>
        <v>20</v>
      </c>
      <c r="C108" s="158"/>
      <c r="D108" s="123">
        <f t="shared" si="17"/>
        <v>41</v>
      </c>
      <c r="E108" s="158"/>
      <c r="F108" s="123">
        <f t="shared" si="17"/>
        <v>62</v>
      </c>
      <c r="G108" s="158"/>
      <c r="H108" s="123">
        <f t="shared" si="17"/>
        <v>83</v>
      </c>
      <c r="I108" s="158"/>
      <c r="J108" s="123">
        <f t="shared" si="17"/>
        <v>104</v>
      </c>
      <c r="K108" s="158"/>
      <c r="L108" s="123">
        <f t="shared" si="17"/>
        <v>125</v>
      </c>
      <c r="M108" s="158"/>
      <c r="N108" s="196"/>
      <c r="O108" s="125"/>
      <c r="P108" s="82" t="s">
        <v>206</v>
      </c>
      <c r="R108" s="131">
        <v>14142724014</v>
      </c>
      <c r="T108" s="113">
        <f t="shared" si="14"/>
        <v>32</v>
      </c>
      <c r="U108" s="113" t="s">
        <v>182</v>
      </c>
      <c r="V108" s="114"/>
      <c r="W108" s="114">
        <f t="shared" si="15"/>
        <v>45614</v>
      </c>
      <c r="X108" s="114"/>
      <c r="Y108" s="115">
        <v>0</v>
      </c>
      <c r="Z108" s="116">
        <v>1</v>
      </c>
      <c r="AA108" s="117">
        <f t="shared" si="10"/>
        <v>0</v>
      </c>
      <c r="AB108" s="118">
        <f t="shared" si="11"/>
        <v>44959</v>
      </c>
      <c r="AC108" s="118">
        <f t="shared" si="9"/>
        <v>45615</v>
      </c>
      <c r="AD108" s="118">
        <f t="shared" si="12"/>
        <v>-656</v>
      </c>
      <c r="AE108" s="117">
        <f t="shared" si="13"/>
        <v>0</v>
      </c>
    </row>
    <row r="109" spans="2:31" ht="15.75" customHeight="1" thickBot="1" x14ac:dyDescent="0.25">
      <c r="B109" s="123">
        <f t="shared" si="16"/>
        <v>21</v>
      </c>
      <c r="C109" s="158"/>
      <c r="D109" s="123">
        <f t="shared" si="17"/>
        <v>42</v>
      </c>
      <c r="E109" s="158"/>
      <c r="F109" s="123">
        <f t="shared" si="17"/>
        <v>63</v>
      </c>
      <c r="G109" s="158"/>
      <c r="H109" s="123">
        <f t="shared" si="17"/>
        <v>84</v>
      </c>
      <c r="I109" s="158"/>
      <c r="J109" s="123">
        <f t="shared" si="17"/>
        <v>105</v>
      </c>
      <c r="K109" s="158"/>
      <c r="L109" s="123">
        <f t="shared" si="17"/>
        <v>126</v>
      </c>
      <c r="M109" s="158"/>
      <c r="N109" s="197"/>
      <c r="T109" s="113">
        <f t="shared" si="14"/>
        <v>33</v>
      </c>
      <c r="U109" s="113" t="s">
        <v>184</v>
      </c>
      <c r="V109" s="114"/>
      <c r="W109" s="114">
        <f t="shared" si="15"/>
        <v>45614</v>
      </c>
      <c r="X109" s="114"/>
      <c r="Y109" s="115">
        <v>0</v>
      </c>
      <c r="Z109" s="116">
        <v>1</v>
      </c>
      <c r="AA109" s="117">
        <f t="shared" si="10"/>
        <v>0</v>
      </c>
      <c r="AB109" s="118">
        <f t="shared" si="11"/>
        <v>44959</v>
      </c>
      <c r="AC109" s="118">
        <f t="shared" si="9"/>
        <v>45615</v>
      </c>
      <c r="AD109" s="118">
        <f t="shared" si="12"/>
        <v>-656</v>
      </c>
      <c r="AE109" s="117">
        <f t="shared" si="13"/>
        <v>0</v>
      </c>
    </row>
    <row r="110" spans="2:31" ht="15.75" customHeight="1" thickBot="1" x14ac:dyDescent="0.25">
      <c r="B110" s="161" t="s">
        <v>167</v>
      </c>
      <c r="C110" s="161"/>
      <c r="D110" s="161"/>
      <c r="E110" s="161"/>
      <c r="F110" s="161"/>
      <c r="G110" s="161"/>
      <c r="H110" s="161"/>
      <c r="I110" s="161"/>
      <c r="J110" s="198">
        <f>SUM(C89:C109,G89:G109,K89:K109,E89:E109,I89:I109,K89:K109,M89:M109)</f>
        <v>0</v>
      </c>
      <c r="K110" s="198"/>
      <c r="L110" s="198"/>
      <c r="M110" s="198"/>
      <c r="N110" s="198"/>
      <c r="R110" s="130" t="s">
        <v>216</v>
      </c>
      <c r="T110" s="113">
        <f t="shared" si="14"/>
        <v>34</v>
      </c>
      <c r="U110" s="113" t="s">
        <v>186</v>
      </c>
      <c r="V110" s="114"/>
      <c r="W110" s="114">
        <f t="shared" si="15"/>
        <v>45614</v>
      </c>
      <c r="X110" s="114"/>
      <c r="Y110" s="115">
        <v>0</v>
      </c>
      <c r="Z110" s="116">
        <v>1</v>
      </c>
      <c r="AA110" s="117">
        <f t="shared" si="10"/>
        <v>0</v>
      </c>
      <c r="AB110" s="118">
        <f t="shared" si="11"/>
        <v>44959</v>
      </c>
      <c r="AC110" s="118">
        <f t="shared" si="9"/>
        <v>45615</v>
      </c>
      <c r="AD110" s="118">
        <f t="shared" si="12"/>
        <v>-656</v>
      </c>
      <c r="AE110" s="117">
        <f t="shared" si="13"/>
        <v>0</v>
      </c>
    </row>
    <row r="111" spans="2:31" ht="15.75" customHeight="1" thickBot="1" x14ac:dyDescent="0.25">
      <c r="B111" s="161" t="s">
        <v>171</v>
      </c>
      <c r="C111" s="161"/>
      <c r="D111" s="161"/>
      <c r="E111" s="161"/>
      <c r="F111" s="161"/>
      <c r="G111" s="161"/>
      <c r="H111" s="161"/>
      <c r="I111" s="161"/>
      <c r="J111" s="212">
        <f>IFERROR(J110/(($B$23)*I77),0)</f>
        <v>0</v>
      </c>
      <c r="K111" s="212"/>
      <c r="L111" s="212"/>
      <c r="M111" s="212"/>
      <c r="N111" s="212"/>
      <c r="P111" s="82" t="s">
        <v>201</v>
      </c>
      <c r="R111" s="131">
        <v>8053415585</v>
      </c>
      <c r="T111" s="113">
        <f t="shared" si="14"/>
        <v>35</v>
      </c>
      <c r="U111" s="113" t="s">
        <v>187</v>
      </c>
      <c r="V111" s="114"/>
      <c r="W111" s="114">
        <f t="shared" si="15"/>
        <v>45614</v>
      </c>
      <c r="X111" s="114"/>
      <c r="Y111" s="115">
        <v>0</v>
      </c>
      <c r="Z111" s="116">
        <v>1</v>
      </c>
      <c r="AA111" s="117">
        <f t="shared" si="10"/>
        <v>0</v>
      </c>
      <c r="AB111" s="118">
        <f t="shared" si="11"/>
        <v>44959</v>
      </c>
      <c r="AC111" s="118">
        <f t="shared" si="9"/>
        <v>45615</v>
      </c>
      <c r="AD111" s="118">
        <f t="shared" si="12"/>
        <v>-656</v>
      </c>
      <c r="AE111" s="117">
        <f t="shared" si="13"/>
        <v>0</v>
      </c>
    </row>
    <row r="112" spans="2:31" ht="15.75" customHeight="1" thickBot="1" x14ac:dyDescent="0.25">
      <c r="B112" s="161" t="s">
        <v>173</v>
      </c>
      <c r="C112" s="161"/>
      <c r="D112" s="161"/>
      <c r="E112" s="161"/>
      <c r="F112" s="161"/>
      <c r="G112" s="161"/>
      <c r="H112" s="161"/>
      <c r="I112" s="161"/>
      <c r="J112" s="161"/>
      <c r="K112" s="161"/>
      <c r="L112" s="211">
        <f>IF(J111&gt;P88,R88,IF(J111&gt;P87,R87,IF(J111&gt;P86,R86,R85)))</f>
        <v>60</v>
      </c>
      <c r="M112" s="211"/>
      <c r="N112" s="211"/>
      <c r="O112" s="125"/>
      <c r="P112" s="82" t="s">
        <v>214</v>
      </c>
      <c r="R112" s="131">
        <v>6562161350</v>
      </c>
      <c r="T112" s="113">
        <f t="shared" si="14"/>
        <v>36</v>
      </c>
      <c r="U112" s="113" t="s">
        <v>189</v>
      </c>
      <c r="V112" s="114"/>
      <c r="W112" s="114">
        <f t="shared" si="15"/>
        <v>45614</v>
      </c>
      <c r="X112" s="114"/>
      <c r="Y112" s="115">
        <v>0</v>
      </c>
      <c r="Z112" s="116">
        <v>1</v>
      </c>
      <c r="AA112" s="117">
        <f t="shared" si="10"/>
        <v>0</v>
      </c>
      <c r="AB112" s="118">
        <f t="shared" si="11"/>
        <v>44959</v>
      </c>
      <c r="AC112" s="118">
        <f t="shared" si="9"/>
        <v>45615</v>
      </c>
      <c r="AD112" s="118">
        <f t="shared" si="12"/>
        <v>-656</v>
      </c>
      <c r="AE112" s="117">
        <f t="shared" si="13"/>
        <v>0</v>
      </c>
    </row>
    <row r="113" spans="2:31" ht="15.75" customHeight="1" thickBot="1" x14ac:dyDescent="0.3">
      <c r="B113" s="212" t="s">
        <v>215</v>
      </c>
      <c r="C113" s="212"/>
      <c r="D113" s="212"/>
      <c r="E113" s="212"/>
      <c r="F113" s="212"/>
      <c r="G113" s="212"/>
      <c r="H113" s="212"/>
      <c r="I113" s="212"/>
      <c r="J113" s="212"/>
      <c r="K113" s="212"/>
      <c r="L113" s="212"/>
      <c r="M113" s="212"/>
      <c r="N113" s="212"/>
      <c r="O113" s="125"/>
      <c r="P113" s="82" t="s">
        <v>202</v>
      </c>
      <c r="R113" s="131">
        <v>4132783282</v>
      </c>
      <c r="T113" s="113">
        <f>T112+1</f>
        <v>37</v>
      </c>
      <c r="U113" s="113" t="s">
        <v>190</v>
      </c>
      <c r="V113" s="114"/>
      <c r="W113" s="114">
        <f>W112</f>
        <v>45614</v>
      </c>
      <c r="X113" s="114"/>
      <c r="Y113" s="115">
        <v>0</v>
      </c>
      <c r="Z113" s="116">
        <v>1</v>
      </c>
      <c r="AA113" s="117">
        <f t="shared" si="10"/>
        <v>0</v>
      </c>
      <c r="AB113" s="118">
        <f t="shared" si="11"/>
        <v>44959</v>
      </c>
      <c r="AC113" s="118">
        <f t="shared" si="9"/>
        <v>45615</v>
      </c>
      <c r="AD113" s="118">
        <f t="shared" si="12"/>
        <v>-656</v>
      </c>
      <c r="AE113" s="117">
        <f t="shared" si="13"/>
        <v>0</v>
      </c>
    </row>
    <row r="114" spans="2:31" ht="15.75" customHeight="1" thickBot="1" x14ac:dyDescent="0.25">
      <c r="B114" s="186"/>
      <c r="C114" s="187"/>
      <c r="D114" s="187"/>
      <c r="E114" s="187"/>
      <c r="F114" s="187"/>
      <c r="G114" s="188"/>
      <c r="H114" s="223" t="s">
        <v>177</v>
      </c>
      <c r="I114" s="223"/>
      <c r="J114" s="223"/>
      <c r="K114" s="223"/>
      <c r="L114" s="224">
        <f>$I$8</f>
        <v>0</v>
      </c>
      <c r="M114" s="224"/>
      <c r="N114" s="224"/>
      <c r="O114" s="125"/>
      <c r="P114" s="82" t="s">
        <v>203</v>
      </c>
      <c r="R114" s="131">
        <v>9125008249</v>
      </c>
      <c r="T114" s="113">
        <f>T113+1</f>
        <v>38</v>
      </c>
      <c r="U114" s="113" t="s">
        <v>191</v>
      </c>
      <c r="V114" s="114"/>
      <c r="W114" s="114">
        <f>W113</f>
        <v>45614</v>
      </c>
      <c r="X114" s="114"/>
      <c r="Y114" s="115">
        <v>0</v>
      </c>
      <c r="Z114" s="116">
        <v>1</v>
      </c>
      <c r="AA114" s="117">
        <f t="shared" si="10"/>
        <v>0</v>
      </c>
      <c r="AB114" s="118">
        <f t="shared" si="11"/>
        <v>44959</v>
      </c>
      <c r="AC114" s="118">
        <f t="shared" si="9"/>
        <v>45615</v>
      </c>
      <c r="AD114" s="118">
        <f t="shared" si="12"/>
        <v>-656</v>
      </c>
      <c r="AE114" s="117">
        <f t="shared" si="13"/>
        <v>0</v>
      </c>
    </row>
    <row r="115" spans="2:31" ht="15.75" customHeight="1" thickBot="1" x14ac:dyDescent="0.25">
      <c r="B115" s="189"/>
      <c r="C115" s="190"/>
      <c r="D115" s="190"/>
      <c r="E115" s="190"/>
      <c r="F115" s="190"/>
      <c r="G115" s="191"/>
      <c r="H115" s="223" t="s">
        <v>179</v>
      </c>
      <c r="I115" s="223"/>
      <c r="J115" s="223"/>
      <c r="K115" s="223"/>
      <c r="L115" s="224">
        <f>$J$8</f>
        <v>0</v>
      </c>
      <c r="M115" s="224"/>
      <c r="N115" s="224"/>
      <c r="O115" s="125"/>
      <c r="P115" s="82" t="s">
        <v>204</v>
      </c>
      <c r="R115" s="131">
        <v>4685421355</v>
      </c>
      <c r="T115" s="113">
        <f t="shared" si="14"/>
        <v>39</v>
      </c>
      <c r="U115" s="113" t="s">
        <v>192</v>
      </c>
      <c r="V115" s="114"/>
      <c r="W115" s="114">
        <f t="shared" si="15"/>
        <v>45614</v>
      </c>
      <c r="X115" s="114"/>
      <c r="Y115" s="115">
        <v>0</v>
      </c>
      <c r="Z115" s="116">
        <v>1</v>
      </c>
      <c r="AA115" s="117">
        <f t="shared" si="10"/>
        <v>0</v>
      </c>
      <c r="AB115" s="118">
        <f t="shared" si="11"/>
        <v>44959</v>
      </c>
      <c r="AC115" s="118">
        <f t="shared" si="9"/>
        <v>45615</v>
      </c>
      <c r="AD115" s="118">
        <f t="shared" si="12"/>
        <v>-656</v>
      </c>
      <c r="AE115" s="117">
        <f t="shared" si="13"/>
        <v>0</v>
      </c>
    </row>
    <row r="116" spans="2:31" ht="15.75" customHeight="1" thickBot="1" x14ac:dyDescent="0.25">
      <c r="B116" s="192"/>
      <c r="C116" s="193"/>
      <c r="D116" s="193"/>
      <c r="E116" s="193"/>
      <c r="F116" s="193"/>
      <c r="G116" s="194"/>
      <c r="H116" s="161" t="s">
        <v>181</v>
      </c>
      <c r="I116" s="161"/>
      <c r="J116" s="161"/>
      <c r="K116" s="161"/>
      <c r="L116" s="210">
        <f>IFERROR(ROUND(L114/L115,2),0)</f>
        <v>0</v>
      </c>
      <c r="M116" s="210"/>
      <c r="N116" s="210"/>
      <c r="O116" s="125"/>
      <c r="P116" s="82" t="s">
        <v>205</v>
      </c>
      <c r="R116" s="131">
        <v>7832191370</v>
      </c>
      <c r="T116" s="113">
        <f t="shared" si="14"/>
        <v>40</v>
      </c>
      <c r="U116" s="113" t="s">
        <v>193</v>
      </c>
      <c r="V116" s="114"/>
      <c r="W116" s="114">
        <f t="shared" si="15"/>
        <v>45614</v>
      </c>
      <c r="X116" s="114"/>
      <c r="Y116" s="115">
        <v>0</v>
      </c>
      <c r="Z116" s="116">
        <v>1</v>
      </c>
      <c r="AA116" s="117">
        <f t="shared" si="10"/>
        <v>0</v>
      </c>
      <c r="AB116" s="118">
        <f t="shared" si="11"/>
        <v>44959</v>
      </c>
      <c r="AC116" s="118">
        <f t="shared" si="9"/>
        <v>45615</v>
      </c>
      <c r="AD116" s="118">
        <f t="shared" si="12"/>
        <v>-656</v>
      </c>
      <c r="AE116" s="117">
        <f t="shared" si="13"/>
        <v>0</v>
      </c>
    </row>
    <row r="117" spans="2:31" ht="15.75" customHeight="1" thickBot="1" x14ac:dyDescent="0.25">
      <c r="B117" s="161" t="s">
        <v>183</v>
      </c>
      <c r="C117" s="161"/>
      <c r="D117" s="161"/>
      <c r="E117" s="161"/>
      <c r="F117" s="161"/>
      <c r="G117" s="161"/>
      <c r="H117" s="161"/>
      <c r="I117" s="161"/>
      <c r="J117" s="161"/>
      <c r="K117" s="161"/>
      <c r="L117" s="211">
        <f>IF(L116&gt;P94,R94,IF(L116&gt;P93,R93,IF(L116&gt;P92,R92,IF(L116&gt;P91,R91,R90))))</f>
        <v>20</v>
      </c>
      <c r="M117" s="211"/>
      <c r="N117" s="211"/>
      <c r="O117" s="125"/>
      <c r="P117" s="82" t="s">
        <v>206</v>
      </c>
      <c r="R117" s="131">
        <v>6568014622</v>
      </c>
      <c r="T117" s="113">
        <f t="shared" si="14"/>
        <v>41</v>
      </c>
      <c r="U117" s="113" t="s">
        <v>194</v>
      </c>
      <c r="V117" s="114"/>
      <c r="W117" s="114">
        <f t="shared" si="15"/>
        <v>45614</v>
      </c>
      <c r="X117" s="114"/>
      <c r="Y117" s="115">
        <v>0</v>
      </c>
      <c r="Z117" s="116">
        <v>1</v>
      </c>
      <c r="AA117" s="117">
        <f t="shared" si="10"/>
        <v>0</v>
      </c>
      <c r="AB117" s="118">
        <f t="shared" si="11"/>
        <v>44959</v>
      </c>
      <c r="AC117" s="118">
        <f t="shared" si="9"/>
        <v>45615</v>
      </c>
      <c r="AD117" s="118">
        <f t="shared" si="12"/>
        <v>-656</v>
      </c>
      <c r="AE117" s="117">
        <f t="shared" si="13"/>
        <v>0</v>
      </c>
    </row>
    <row r="118" spans="2:31" ht="15.75" customHeight="1" thickBot="1" x14ac:dyDescent="0.3">
      <c r="B118" s="212" t="s">
        <v>185</v>
      </c>
      <c r="C118" s="212"/>
      <c r="D118" s="212"/>
      <c r="E118" s="212"/>
      <c r="F118" s="212"/>
      <c r="G118" s="212"/>
      <c r="H118" s="212"/>
      <c r="I118" s="212"/>
      <c r="J118" s="212"/>
      <c r="K118" s="212"/>
      <c r="L118" s="212"/>
      <c r="M118" s="212"/>
      <c r="N118" s="212"/>
      <c r="T118" s="113">
        <f t="shared" si="14"/>
        <v>42</v>
      </c>
      <c r="U118" s="113" t="s">
        <v>195</v>
      </c>
      <c r="V118" s="114"/>
      <c r="W118" s="114">
        <f t="shared" si="15"/>
        <v>45614</v>
      </c>
      <c r="X118" s="114"/>
      <c r="Y118" s="115">
        <v>0</v>
      </c>
      <c r="Z118" s="116">
        <v>1</v>
      </c>
      <c r="AA118" s="117">
        <f t="shared" si="10"/>
        <v>0</v>
      </c>
      <c r="AB118" s="118">
        <f t="shared" si="11"/>
        <v>44959</v>
      </c>
      <c r="AC118" s="118">
        <f t="shared" si="9"/>
        <v>45615</v>
      </c>
      <c r="AD118" s="118">
        <f t="shared" si="12"/>
        <v>-656</v>
      </c>
      <c r="AE118" s="117">
        <f t="shared" si="13"/>
        <v>0</v>
      </c>
    </row>
    <row r="119" spans="2:31" ht="13.5" thickBot="1" x14ac:dyDescent="0.3">
      <c r="B119" s="220" t="s">
        <v>94</v>
      </c>
      <c r="C119" s="220"/>
      <c r="D119" s="220"/>
      <c r="E119" s="220"/>
      <c r="F119" s="220"/>
      <c r="G119" s="220"/>
      <c r="H119" s="220"/>
      <c r="I119" s="220"/>
      <c r="J119" s="220"/>
      <c r="K119" s="220"/>
      <c r="L119" s="220"/>
      <c r="M119" s="221">
        <f>$K$8</f>
        <v>0</v>
      </c>
      <c r="N119" s="221"/>
      <c r="R119" s="130" t="s">
        <v>200</v>
      </c>
      <c r="T119" s="113">
        <f t="shared" si="14"/>
        <v>43</v>
      </c>
      <c r="U119" s="113" t="s">
        <v>198</v>
      </c>
      <c r="V119" s="114"/>
      <c r="W119" s="114">
        <f t="shared" si="15"/>
        <v>45614</v>
      </c>
      <c r="X119" s="114"/>
      <c r="Y119" s="115">
        <v>0</v>
      </c>
      <c r="Z119" s="116">
        <v>1</v>
      </c>
      <c r="AA119" s="117">
        <f t="shared" si="10"/>
        <v>0</v>
      </c>
      <c r="AB119" s="118">
        <f t="shared" si="11"/>
        <v>44959</v>
      </c>
      <c r="AC119" s="118">
        <f t="shared" si="9"/>
        <v>45615</v>
      </c>
      <c r="AD119" s="118">
        <f t="shared" si="12"/>
        <v>-656</v>
      </c>
      <c r="AE119" s="117">
        <f t="shared" si="13"/>
        <v>0</v>
      </c>
    </row>
    <row r="120" spans="2:31" ht="15.75" customHeight="1" thickBot="1" x14ac:dyDescent="0.25">
      <c r="B120" s="161" t="s">
        <v>188</v>
      </c>
      <c r="C120" s="161"/>
      <c r="D120" s="161"/>
      <c r="E120" s="161"/>
      <c r="F120" s="161"/>
      <c r="G120" s="161"/>
      <c r="H120" s="161"/>
      <c r="I120" s="161"/>
      <c r="J120" s="161"/>
      <c r="K120" s="161"/>
      <c r="L120" s="211">
        <f>IF(M119&gt;P99,R99,IF(M119&gt;P98,R98,IF(M119&gt;P97,R97,R96)))</f>
        <v>0</v>
      </c>
      <c r="M120" s="211"/>
      <c r="N120" s="211"/>
      <c r="P120" s="82" t="s">
        <v>201</v>
      </c>
      <c r="R120" s="83">
        <v>16</v>
      </c>
      <c r="Z120" s="235" t="s">
        <v>199</v>
      </c>
      <c r="AA120" s="235"/>
      <c r="AB120" s="235"/>
      <c r="AC120" s="235"/>
      <c r="AD120" s="235"/>
      <c r="AE120" s="126">
        <f>SUM(AE77:AE119)</f>
        <v>25000000</v>
      </c>
    </row>
    <row r="121" spans="2:31" ht="15.75" customHeight="1" thickBot="1" x14ac:dyDescent="0.3">
      <c r="P121" s="82"/>
      <c r="R121" s="83"/>
      <c r="Z121" s="132"/>
      <c r="AA121" s="132"/>
      <c r="AB121" s="132"/>
      <c r="AC121" s="132"/>
      <c r="AD121" s="132"/>
      <c r="AE121" s="133"/>
    </row>
    <row r="122" spans="2:31" ht="15.75" customHeight="1" thickBot="1" x14ac:dyDescent="0.25">
      <c r="B122" s="161" t="str">
        <f>"CAPACIDAD DE CONTRATACIÓN "&amp;$F$76</f>
        <v xml:space="preserve">CAPACIDAD DE CONTRATACIÓN </v>
      </c>
      <c r="C122" s="161"/>
      <c r="D122" s="161"/>
      <c r="E122" s="161"/>
      <c r="F122" s="161"/>
      <c r="G122" s="161"/>
      <c r="H122" s="161"/>
      <c r="I122" s="161"/>
      <c r="J122" s="161"/>
      <c r="K122" s="161"/>
      <c r="L122" s="167">
        <f>I85*((L112+L117+L120)/100)</f>
        <v>426630400</v>
      </c>
      <c r="M122" s="167"/>
      <c r="N122" s="167"/>
      <c r="T122" s="231" t="s">
        <v>108</v>
      </c>
      <c r="U122" s="231"/>
      <c r="V122" s="232" t="str">
        <f>B126</f>
        <v>INTEGRANTE 3: 0</v>
      </c>
      <c r="W122" s="233"/>
      <c r="X122" s="233"/>
      <c r="Y122" s="233"/>
      <c r="Z122" s="233"/>
      <c r="AA122" s="234"/>
    </row>
    <row r="123" spans="2:31" ht="15.75" customHeight="1" thickBot="1" x14ac:dyDescent="0.25">
      <c r="B123" s="161" t="str">
        <f>"SALDO DE LOS CONTRATOS EN EJECUCIÓN "&amp;$F$76</f>
        <v xml:space="preserve">SALDO DE LOS CONTRATOS EN EJECUCIÓN </v>
      </c>
      <c r="C123" s="161"/>
      <c r="D123" s="161"/>
      <c r="E123" s="161"/>
      <c r="F123" s="161"/>
      <c r="G123" s="161"/>
      <c r="H123" s="161"/>
      <c r="I123" s="161"/>
      <c r="J123" s="161"/>
      <c r="K123" s="161"/>
      <c r="L123" s="167">
        <f>$M$8</f>
        <v>0</v>
      </c>
      <c r="M123" s="167"/>
      <c r="N123" s="167"/>
      <c r="T123" s="104" t="s">
        <v>111</v>
      </c>
      <c r="U123" s="129">
        <f>U72</f>
        <v>0</v>
      </c>
    </row>
    <row r="124" spans="2:31" ht="15.75" customHeight="1" thickBot="1" x14ac:dyDescent="0.25">
      <c r="B124" s="161" t="str">
        <f>"CAPACIDAD RESIDUAL DE CONTRATACIÓN "&amp;$F$76</f>
        <v xml:space="preserve">CAPACIDAD RESIDUAL DE CONTRATACIÓN </v>
      </c>
      <c r="C124" s="161"/>
      <c r="D124" s="161"/>
      <c r="E124" s="161"/>
      <c r="F124" s="161"/>
      <c r="G124" s="161"/>
      <c r="H124" s="161"/>
      <c r="I124" s="161"/>
      <c r="J124" s="161"/>
      <c r="K124" s="161"/>
      <c r="L124" s="167">
        <f>L122-L123</f>
        <v>426630400</v>
      </c>
      <c r="M124" s="167"/>
      <c r="N124" s="167"/>
      <c r="T124" s="109"/>
      <c r="U124" s="110"/>
    </row>
    <row r="125" spans="2:31" ht="18.75" customHeight="1" x14ac:dyDescent="0.2">
      <c r="B125" s="127"/>
      <c r="C125" s="127"/>
      <c r="D125" s="127"/>
      <c r="E125" s="127"/>
      <c r="F125" s="127"/>
      <c r="G125" s="127"/>
      <c r="H125" s="127"/>
      <c r="I125" s="127"/>
      <c r="J125" s="127"/>
      <c r="K125" s="127"/>
      <c r="L125" s="128"/>
      <c r="M125" s="128"/>
      <c r="N125" s="128"/>
      <c r="Q125" s="103" t="s">
        <v>210</v>
      </c>
      <c r="T125" s="229" t="s">
        <v>113</v>
      </c>
      <c r="U125" s="225" t="s">
        <v>114</v>
      </c>
      <c r="V125" s="225" t="s">
        <v>115</v>
      </c>
      <c r="W125" s="225" t="s">
        <v>116</v>
      </c>
      <c r="X125" s="225" t="s">
        <v>117</v>
      </c>
      <c r="Y125" s="225" t="s">
        <v>118</v>
      </c>
      <c r="Z125" s="225" t="s">
        <v>119</v>
      </c>
      <c r="AA125" s="225" t="s">
        <v>120</v>
      </c>
      <c r="AB125" s="225" t="s">
        <v>121</v>
      </c>
      <c r="AC125" s="225" t="s">
        <v>122</v>
      </c>
      <c r="AD125" s="225" t="s">
        <v>123</v>
      </c>
      <c r="AE125" s="225" t="s">
        <v>124</v>
      </c>
    </row>
    <row r="126" spans="2:31" ht="15.75" customHeight="1" thickBot="1" x14ac:dyDescent="0.3">
      <c r="B126" s="180" t="str">
        <f>"INTEGRANTE 3: "&amp;$C$9</f>
        <v>INTEGRANTE 3: 0</v>
      </c>
      <c r="C126" s="181"/>
      <c r="D126" s="181"/>
      <c r="E126" s="181"/>
      <c r="F126" s="181"/>
      <c r="G126" s="181"/>
      <c r="H126" s="181"/>
      <c r="I126" s="181"/>
      <c r="J126" s="181"/>
      <c r="K126" s="181"/>
      <c r="L126" s="181"/>
      <c r="M126" s="181"/>
      <c r="N126" s="182"/>
      <c r="Q126" s="108">
        <v>1423500</v>
      </c>
      <c r="T126" s="230"/>
      <c r="U126" s="226"/>
      <c r="V126" s="226"/>
      <c r="W126" s="226"/>
      <c r="X126" s="226"/>
      <c r="Y126" s="226"/>
      <c r="Z126" s="226"/>
      <c r="AA126" s="226"/>
      <c r="AB126" s="226"/>
      <c r="AC126" s="226"/>
      <c r="AD126" s="226"/>
      <c r="AE126" s="226"/>
    </row>
    <row r="127" spans="2:31" ht="15.75" customHeight="1" thickBot="1" x14ac:dyDescent="0.3">
      <c r="B127" s="167" t="s">
        <v>102</v>
      </c>
      <c r="C127" s="167"/>
      <c r="D127" s="167"/>
      <c r="E127" s="167"/>
      <c r="F127" s="167"/>
      <c r="G127" s="167"/>
      <c r="H127" s="167"/>
      <c r="I127" s="228">
        <f>$G$9</f>
        <v>0</v>
      </c>
      <c r="J127" s="228"/>
      <c r="K127" s="228"/>
      <c r="L127" s="228"/>
      <c r="M127" s="228"/>
      <c r="N127" s="228"/>
      <c r="T127" s="113">
        <v>1</v>
      </c>
      <c r="U127" s="113" t="s">
        <v>128</v>
      </c>
      <c r="V127" s="114">
        <v>42095</v>
      </c>
      <c r="W127" s="114">
        <v>42124</v>
      </c>
      <c r="X127" s="114">
        <v>42099</v>
      </c>
      <c r="Y127" s="115">
        <v>30000000</v>
      </c>
      <c r="Z127" s="116">
        <v>1</v>
      </c>
      <c r="AA127" s="117">
        <f>Y127*Z127</f>
        <v>30000000</v>
      </c>
      <c r="AB127" s="118">
        <f>DAYS360(V127,W127)+1</f>
        <v>30</v>
      </c>
      <c r="AC127" s="118">
        <f t="shared" ref="AC127:AC169" si="18">IF(X127&gt;$R$45,(X127-V127)+1,($U$22-V127)+1)</f>
        <v>5</v>
      </c>
      <c r="AD127" s="118">
        <f>IF((AB127-AC127)&gt;$P$28,$P$28,(AB127-AC127))</f>
        <v>25</v>
      </c>
      <c r="AE127" s="117">
        <f>ROUND((AA127/AB127)*AD127,0)</f>
        <v>25000000</v>
      </c>
    </row>
    <row r="128" spans="2:31" ht="15.75" customHeight="1" thickBot="1" x14ac:dyDescent="0.3">
      <c r="B128" s="212" t="s">
        <v>103</v>
      </c>
      <c r="C128" s="212"/>
      <c r="D128" s="212"/>
      <c r="E128" s="212"/>
      <c r="F128" s="212"/>
      <c r="G128" s="212"/>
      <c r="H128" s="212" t="s">
        <v>104</v>
      </c>
      <c r="I128" s="212"/>
      <c r="J128" s="212"/>
      <c r="K128" s="212"/>
      <c r="L128" s="212"/>
      <c r="M128" s="212"/>
      <c r="N128" s="91" t="s">
        <v>105</v>
      </c>
      <c r="P128" s="99" t="s">
        <v>130</v>
      </c>
      <c r="Q128" s="99" t="s">
        <v>0</v>
      </c>
      <c r="R128" s="99" t="s">
        <v>131</v>
      </c>
      <c r="T128" s="113">
        <f>T127+1</f>
        <v>2</v>
      </c>
      <c r="U128" s="113" t="s">
        <v>132</v>
      </c>
      <c r="V128" s="114"/>
      <c r="W128" s="114">
        <f>U123</f>
        <v>0</v>
      </c>
      <c r="X128" s="114"/>
      <c r="Y128" s="115">
        <v>0</v>
      </c>
      <c r="Z128" s="116">
        <v>1</v>
      </c>
      <c r="AA128" s="117">
        <f t="shared" ref="AA128:AA169" si="19">Y128*Z128</f>
        <v>0</v>
      </c>
      <c r="AB128" s="118">
        <f t="shared" ref="AB128:AB169" si="20">DAYS360(V128,W128)+1</f>
        <v>1</v>
      </c>
      <c r="AC128" s="118">
        <f t="shared" si="18"/>
        <v>45615</v>
      </c>
      <c r="AD128" s="118">
        <f t="shared" ref="AD128:AD169" si="21">IF((AB128-AC128)&gt;$P$28,$P$28,(AB128-AC128))</f>
        <v>-45614</v>
      </c>
      <c r="AE128" s="117">
        <f t="shared" ref="AE128:AE169" si="22">ROUND((AA128/AB128)*AD128,0)</f>
        <v>0</v>
      </c>
    </row>
    <row r="129" spans="2:31" ht="15.75" customHeight="1" thickBot="1" x14ac:dyDescent="0.3">
      <c r="B129" s="186"/>
      <c r="C129" s="187"/>
      <c r="D129" s="187"/>
      <c r="E129" s="187"/>
      <c r="F129" s="187"/>
      <c r="G129" s="188"/>
      <c r="H129" s="217" t="s">
        <v>106</v>
      </c>
      <c r="I129" s="217"/>
      <c r="J129" s="217"/>
      <c r="K129" s="217"/>
      <c r="L129" s="217"/>
      <c r="M129" s="217"/>
      <c r="N129" s="79">
        <v>120</v>
      </c>
      <c r="P129" s="79">
        <v>360</v>
      </c>
      <c r="Q129" s="79" t="s">
        <v>3</v>
      </c>
      <c r="R129" s="79">
        <v>12</v>
      </c>
      <c r="T129" s="113">
        <f t="shared" ref="T129:T169" si="23">T128+1</f>
        <v>3</v>
      </c>
      <c r="U129" s="113" t="s">
        <v>134</v>
      </c>
      <c r="V129" s="114"/>
      <c r="W129" s="114">
        <f t="shared" ref="W129:W169" si="24">W128</f>
        <v>0</v>
      </c>
      <c r="X129" s="114"/>
      <c r="Y129" s="115">
        <v>0</v>
      </c>
      <c r="Z129" s="116">
        <v>1</v>
      </c>
      <c r="AA129" s="117">
        <f t="shared" si="19"/>
        <v>0</v>
      </c>
      <c r="AB129" s="118">
        <f t="shared" si="20"/>
        <v>1</v>
      </c>
      <c r="AC129" s="118">
        <f t="shared" si="18"/>
        <v>45615</v>
      </c>
      <c r="AD129" s="118">
        <f t="shared" si="21"/>
        <v>-45614</v>
      </c>
      <c r="AE129" s="117">
        <f t="shared" si="22"/>
        <v>0</v>
      </c>
    </row>
    <row r="130" spans="2:31" ht="15.75" customHeight="1" thickBot="1" x14ac:dyDescent="0.3">
      <c r="B130" s="189"/>
      <c r="C130" s="190"/>
      <c r="D130" s="190"/>
      <c r="E130" s="190"/>
      <c r="F130" s="190"/>
      <c r="G130" s="191"/>
      <c r="H130" s="217" t="s">
        <v>107</v>
      </c>
      <c r="I130" s="217"/>
      <c r="J130" s="217"/>
      <c r="K130" s="217"/>
      <c r="L130" s="217"/>
      <c r="M130" s="217"/>
      <c r="N130" s="79">
        <v>40</v>
      </c>
      <c r="T130" s="113">
        <f t="shared" si="23"/>
        <v>4</v>
      </c>
      <c r="U130" s="113" t="s">
        <v>138</v>
      </c>
      <c r="V130" s="114"/>
      <c r="W130" s="114">
        <f t="shared" si="24"/>
        <v>0</v>
      </c>
      <c r="X130" s="114"/>
      <c r="Y130" s="115">
        <v>0</v>
      </c>
      <c r="Z130" s="116">
        <v>1</v>
      </c>
      <c r="AA130" s="117">
        <f t="shared" si="19"/>
        <v>0</v>
      </c>
      <c r="AB130" s="118">
        <f t="shared" si="20"/>
        <v>1</v>
      </c>
      <c r="AC130" s="118">
        <f t="shared" si="18"/>
        <v>45615</v>
      </c>
      <c r="AD130" s="118">
        <f t="shared" si="21"/>
        <v>-45614</v>
      </c>
      <c r="AE130" s="117">
        <f t="shared" si="22"/>
        <v>0</v>
      </c>
    </row>
    <row r="131" spans="2:31" ht="15.75" customHeight="1" thickBot="1" x14ac:dyDescent="0.3">
      <c r="B131" s="189"/>
      <c r="C131" s="190"/>
      <c r="D131" s="190"/>
      <c r="E131" s="190"/>
      <c r="F131" s="190"/>
      <c r="G131" s="191"/>
      <c r="H131" s="217" t="s">
        <v>109</v>
      </c>
      <c r="I131" s="217"/>
      <c r="J131" s="217"/>
      <c r="K131" s="217"/>
      <c r="L131" s="217"/>
      <c r="M131" s="217"/>
      <c r="N131" s="79">
        <v>40</v>
      </c>
      <c r="O131" s="119"/>
      <c r="P131" s="99" t="s">
        <v>139</v>
      </c>
      <c r="Q131" s="99" t="s">
        <v>140</v>
      </c>
      <c r="R131" s="99" t="s">
        <v>141</v>
      </c>
      <c r="T131" s="113">
        <f t="shared" si="23"/>
        <v>5</v>
      </c>
      <c r="U131" s="113" t="s">
        <v>142</v>
      </c>
      <c r="V131" s="114"/>
      <c r="W131" s="114">
        <f t="shared" si="24"/>
        <v>0</v>
      </c>
      <c r="X131" s="114"/>
      <c r="Y131" s="115">
        <v>0</v>
      </c>
      <c r="Z131" s="116">
        <v>1</v>
      </c>
      <c r="AA131" s="117">
        <f t="shared" si="19"/>
        <v>0</v>
      </c>
      <c r="AB131" s="118">
        <f t="shared" si="20"/>
        <v>1</v>
      </c>
      <c r="AC131" s="118">
        <f t="shared" si="18"/>
        <v>45615</v>
      </c>
      <c r="AD131" s="118">
        <f t="shared" si="21"/>
        <v>-45614</v>
      </c>
      <c r="AE131" s="117">
        <f t="shared" si="22"/>
        <v>0</v>
      </c>
    </row>
    <row r="132" spans="2:31" ht="15.75" customHeight="1" thickBot="1" x14ac:dyDescent="0.3">
      <c r="B132" s="192"/>
      <c r="C132" s="193"/>
      <c r="D132" s="193"/>
      <c r="E132" s="193"/>
      <c r="F132" s="193"/>
      <c r="G132" s="194"/>
      <c r="H132" s="212" t="s">
        <v>44</v>
      </c>
      <c r="I132" s="212"/>
      <c r="J132" s="212"/>
      <c r="K132" s="212"/>
      <c r="L132" s="212"/>
      <c r="M132" s="212"/>
      <c r="N132" s="79">
        <f>SUM(N129:N131)</f>
        <v>200</v>
      </c>
      <c r="O132" s="119"/>
      <c r="P132" s="121">
        <v>125000</v>
      </c>
      <c r="Q132" s="108">
        <f>533287768/P132</f>
        <v>4266.3021440000002</v>
      </c>
      <c r="R132" s="108">
        <f>ROUNDUP(P132*Q132,-3)</f>
        <v>533288000</v>
      </c>
      <c r="T132" s="113">
        <f t="shared" si="23"/>
        <v>6</v>
      </c>
      <c r="U132" s="113" t="s">
        <v>143</v>
      </c>
      <c r="V132" s="114"/>
      <c r="W132" s="114">
        <f t="shared" si="24"/>
        <v>0</v>
      </c>
      <c r="X132" s="114"/>
      <c r="Y132" s="115">
        <v>0</v>
      </c>
      <c r="Z132" s="116">
        <v>1</v>
      </c>
      <c r="AA132" s="117">
        <f t="shared" si="19"/>
        <v>0</v>
      </c>
      <c r="AB132" s="118">
        <f t="shared" si="20"/>
        <v>1</v>
      </c>
      <c r="AC132" s="118">
        <f t="shared" si="18"/>
        <v>45615</v>
      </c>
      <c r="AD132" s="118">
        <f t="shared" si="21"/>
        <v>-45614</v>
      </c>
      <c r="AE132" s="117">
        <f t="shared" si="22"/>
        <v>0</v>
      </c>
    </row>
    <row r="133" spans="2:31" ht="15.75" customHeight="1" thickBot="1" x14ac:dyDescent="0.3">
      <c r="B133" s="212" t="s">
        <v>211</v>
      </c>
      <c r="C133" s="212"/>
      <c r="D133" s="212"/>
      <c r="E133" s="212"/>
      <c r="F133" s="212"/>
      <c r="G133" s="212"/>
      <c r="H133" s="212"/>
      <c r="I133" s="212"/>
      <c r="J133" s="212"/>
      <c r="K133" s="212"/>
      <c r="L133" s="212"/>
      <c r="M133" s="212"/>
      <c r="N133" s="212"/>
      <c r="O133" s="119"/>
      <c r="Q133" s="81" t="s">
        <v>144</v>
      </c>
      <c r="T133" s="113">
        <f t="shared" si="23"/>
        <v>7</v>
      </c>
      <c r="U133" s="113" t="s">
        <v>145</v>
      </c>
      <c r="V133" s="114"/>
      <c r="W133" s="114">
        <f t="shared" si="24"/>
        <v>0</v>
      </c>
      <c r="X133" s="114"/>
      <c r="Y133" s="115">
        <v>0</v>
      </c>
      <c r="Z133" s="116">
        <v>1</v>
      </c>
      <c r="AA133" s="117">
        <f t="shared" si="19"/>
        <v>0</v>
      </c>
      <c r="AB133" s="118">
        <f t="shared" si="20"/>
        <v>1</v>
      </c>
      <c r="AC133" s="118">
        <f t="shared" si="18"/>
        <v>45615</v>
      </c>
      <c r="AD133" s="118">
        <f t="shared" si="21"/>
        <v>-45614</v>
      </c>
      <c r="AE133" s="117">
        <f t="shared" si="22"/>
        <v>0</v>
      </c>
    </row>
    <row r="134" spans="2:31" ht="15.75" customHeight="1" thickBot="1" x14ac:dyDescent="0.3">
      <c r="B134" s="239" t="s">
        <v>125</v>
      </c>
      <c r="C134" s="240"/>
      <c r="D134" s="240"/>
      <c r="E134" s="240"/>
      <c r="F134" s="240"/>
      <c r="G134" s="240"/>
      <c r="H134" s="241"/>
      <c r="I134" s="183" t="s">
        <v>126</v>
      </c>
      <c r="J134" s="184"/>
      <c r="K134" s="184"/>
      <c r="L134" s="184"/>
      <c r="M134" s="184"/>
      <c r="N134" s="185"/>
      <c r="P134" s="212" t="s">
        <v>146</v>
      </c>
      <c r="Q134" s="212"/>
      <c r="R134" s="99" t="s">
        <v>147</v>
      </c>
      <c r="T134" s="113">
        <f t="shared" si="23"/>
        <v>8</v>
      </c>
      <c r="U134" s="113" t="s">
        <v>148</v>
      </c>
      <c r="V134" s="114"/>
      <c r="W134" s="114">
        <f t="shared" si="24"/>
        <v>0</v>
      </c>
      <c r="X134" s="114"/>
      <c r="Y134" s="115">
        <v>0</v>
      </c>
      <c r="Z134" s="116">
        <v>1</v>
      </c>
      <c r="AA134" s="117">
        <f t="shared" si="19"/>
        <v>0</v>
      </c>
      <c r="AB134" s="118">
        <f t="shared" si="20"/>
        <v>1</v>
      </c>
      <c r="AC134" s="118">
        <f t="shared" si="18"/>
        <v>45615</v>
      </c>
      <c r="AD134" s="118">
        <f t="shared" si="21"/>
        <v>-45614</v>
      </c>
      <c r="AE134" s="117">
        <f t="shared" si="22"/>
        <v>0</v>
      </c>
    </row>
    <row r="135" spans="2:31" ht="15.75" customHeight="1" thickBot="1" x14ac:dyDescent="0.3">
      <c r="B135" s="236" t="s">
        <v>127</v>
      </c>
      <c r="C135" s="237"/>
      <c r="D135" s="237"/>
      <c r="E135" s="237"/>
      <c r="F135" s="237"/>
      <c r="G135" s="237"/>
      <c r="H135" s="238"/>
      <c r="I135" s="168">
        <f>IF($H$9&gt;$R$31,$H$9,$R$31)</f>
        <v>533288000</v>
      </c>
      <c r="J135" s="169"/>
      <c r="K135" s="169"/>
      <c r="L135" s="169"/>
      <c r="M135" s="169"/>
      <c r="N135" s="170"/>
      <c r="P135" s="79">
        <v>0</v>
      </c>
      <c r="Q135" s="79">
        <v>3</v>
      </c>
      <c r="R135" s="79">
        <v>60</v>
      </c>
      <c r="T135" s="113">
        <f t="shared" si="23"/>
        <v>9</v>
      </c>
      <c r="U135" s="113" t="s">
        <v>149</v>
      </c>
      <c r="V135" s="114"/>
      <c r="W135" s="114">
        <f t="shared" si="24"/>
        <v>0</v>
      </c>
      <c r="X135" s="114"/>
      <c r="Y135" s="115">
        <v>0</v>
      </c>
      <c r="Z135" s="116">
        <v>1</v>
      </c>
      <c r="AA135" s="117">
        <f t="shared" si="19"/>
        <v>0</v>
      </c>
      <c r="AB135" s="118">
        <f t="shared" si="20"/>
        <v>1</v>
      </c>
      <c r="AC135" s="118">
        <f t="shared" si="18"/>
        <v>45615</v>
      </c>
      <c r="AD135" s="118">
        <f t="shared" si="21"/>
        <v>-45614</v>
      </c>
      <c r="AE135" s="117">
        <f t="shared" si="22"/>
        <v>0</v>
      </c>
    </row>
    <row r="136" spans="2:31" ht="15.75" customHeight="1" thickBot="1" x14ac:dyDescent="0.3">
      <c r="B136" s="212" t="s">
        <v>212</v>
      </c>
      <c r="C136" s="212"/>
      <c r="D136" s="212"/>
      <c r="E136" s="212"/>
      <c r="F136" s="212"/>
      <c r="G136" s="212"/>
      <c r="H136" s="212"/>
      <c r="I136" s="212"/>
      <c r="J136" s="212"/>
      <c r="K136" s="212"/>
      <c r="L136" s="212"/>
      <c r="M136" s="212"/>
      <c r="N136" s="212"/>
      <c r="P136" s="79">
        <v>3</v>
      </c>
      <c r="Q136" s="79">
        <v>6</v>
      </c>
      <c r="R136" s="79">
        <v>80</v>
      </c>
      <c r="T136" s="113">
        <f t="shared" si="23"/>
        <v>10</v>
      </c>
      <c r="U136" s="113" t="s">
        <v>150</v>
      </c>
      <c r="V136" s="114"/>
      <c r="W136" s="114">
        <f t="shared" si="24"/>
        <v>0</v>
      </c>
      <c r="X136" s="114"/>
      <c r="Y136" s="115">
        <v>0</v>
      </c>
      <c r="Z136" s="116">
        <v>1</v>
      </c>
      <c r="AA136" s="117">
        <f t="shared" si="19"/>
        <v>0</v>
      </c>
      <c r="AB136" s="118">
        <f t="shared" si="20"/>
        <v>1</v>
      </c>
      <c r="AC136" s="118">
        <f t="shared" si="18"/>
        <v>45615</v>
      </c>
      <c r="AD136" s="118">
        <f t="shared" si="21"/>
        <v>-45614</v>
      </c>
      <c r="AE136" s="117">
        <f t="shared" si="22"/>
        <v>0</v>
      </c>
    </row>
    <row r="137" spans="2:31" ht="15.75" customHeight="1" thickBot="1" x14ac:dyDescent="0.3">
      <c r="B137" s="212" t="s">
        <v>133</v>
      </c>
      <c r="C137" s="212"/>
      <c r="D137" s="212"/>
      <c r="E137" s="212"/>
      <c r="F137" s="212"/>
      <c r="G137" s="212"/>
      <c r="H137" s="212"/>
      <c r="I137" s="212"/>
      <c r="J137" s="212"/>
      <c r="K137" s="212"/>
      <c r="L137" s="212"/>
      <c r="M137" s="212"/>
      <c r="N137" s="212"/>
      <c r="P137" s="79">
        <v>6</v>
      </c>
      <c r="Q137" s="79">
        <v>10</v>
      </c>
      <c r="R137" s="79">
        <v>100</v>
      </c>
      <c r="T137" s="113">
        <f t="shared" si="23"/>
        <v>11</v>
      </c>
      <c r="U137" s="113" t="s">
        <v>151</v>
      </c>
      <c r="V137" s="114"/>
      <c r="W137" s="114">
        <f t="shared" si="24"/>
        <v>0</v>
      </c>
      <c r="X137" s="114"/>
      <c r="Y137" s="115">
        <v>0</v>
      </c>
      <c r="Z137" s="116">
        <v>1</v>
      </c>
      <c r="AA137" s="117">
        <f t="shared" si="19"/>
        <v>0</v>
      </c>
      <c r="AB137" s="118">
        <f t="shared" si="20"/>
        <v>1</v>
      </c>
      <c r="AC137" s="118">
        <f t="shared" si="18"/>
        <v>45615</v>
      </c>
      <c r="AD137" s="118">
        <f t="shared" si="21"/>
        <v>-45614</v>
      </c>
      <c r="AE137" s="117">
        <f t="shared" si="22"/>
        <v>0</v>
      </c>
    </row>
    <row r="138" spans="2:31" ht="15.75" customHeight="1" thickBot="1" x14ac:dyDescent="0.25">
      <c r="B138" s="122" t="s">
        <v>135</v>
      </c>
      <c r="C138" s="160" t="s">
        <v>136</v>
      </c>
      <c r="D138" s="122" t="s">
        <v>135</v>
      </c>
      <c r="E138" s="160" t="s">
        <v>136</v>
      </c>
      <c r="F138" s="122" t="s">
        <v>135</v>
      </c>
      <c r="G138" s="160" t="s">
        <v>136</v>
      </c>
      <c r="H138" s="122" t="s">
        <v>135</v>
      </c>
      <c r="I138" s="160" t="s">
        <v>136</v>
      </c>
      <c r="J138" s="122" t="s">
        <v>135</v>
      </c>
      <c r="K138" s="160" t="s">
        <v>136</v>
      </c>
      <c r="L138" s="122" t="s">
        <v>135</v>
      </c>
      <c r="M138" s="160" t="s">
        <v>136</v>
      </c>
      <c r="N138" s="195" t="s">
        <v>137</v>
      </c>
      <c r="P138" s="79">
        <v>10</v>
      </c>
      <c r="Q138" s="79"/>
      <c r="R138" s="79">
        <v>120</v>
      </c>
      <c r="T138" s="113">
        <f t="shared" si="23"/>
        <v>12</v>
      </c>
      <c r="U138" s="113" t="s">
        <v>152</v>
      </c>
      <c r="V138" s="114"/>
      <c r="W138" s="114">
        <f t="shared" si="24"/>
        <v>0</v>
      </c>
      <c r="X138" s="114"/>
      <c r="Y138" s="115">
        <v>0</v>
      </c>
      <c r="Z138" s="116">
        <v>1</v>
      </c>
      <c r="AA138" s="117">
        <f t="shared" si="19"/>
        <v>0</v>
      </c>
      <c r="AB138" s="118">
        <f t="shared" si="20"/>
        <v>1</v>
      </c>
      <c r="AC138" s="118">
        <f t="shared" si="18"/>
        <v>45615</v>
      </c>
      <c r="AD138" s="118">
        <f t="shared" si="21"/>
        <v>-45614</v>
      </c>
      <c r="AE138" s="117">
        <f t="shared" si="22"/>
        <v>0</v>
      </c>
    </row>
    <row r="139" spans="2:31" ht="15.75" customHeight="1" thickBot="1" x14ac:dyDescent="0.25">
      <c r="B139" s="123">
        <v>1</v>
      </c>
      <c r="C139" s="159"/>
      <c r="D139" s="123">
        <v>22</v>
      </c>
      <c r="E139" s="159"/>
      <c r="F139" s="123">
        <v>43</v>
      </c>
      <c r="G139" s="158"/>
      <c r="H139" s="123">
        <v>64</v>
      </c>
      <c r="I139" s="158"/>
      <c r="J139" s="123">
        <v>85</v>
      </c>
      <c r="K139" s="158"/>
      <c r="L139" s="123">
        <v>106</v>
      </c>
      <c r="M139" s="158"/>
      <c r="N139" s="196"/>
      <c r="P139" s="212" t="s">
        <v>153</v>
      </c>
      <c r="Q139" s="212"/>
      <c r="R139" s="99" t="s">
        <v>147</v>
      </c>
      <c r="T139" s="113">
        <f t="shared" si="23"/>
        <v>13</v>
      </c>
      <c r="U139" s="113" t="s">
        <v>154</v>
      </c>
      <c r="V139" s="114"/>
      <c r="W139" s="114">
        <f t="shared" si="24"/>
        <v>0</v>
      </c>
      <c r="X139" s="114"/>
      <c r="Y139" s="115">
        <v>0</v>
      </c>
      <c r="Z139" s="116">
        <v>1</v>
      </c>
      <c r="AA139" s="117">
        <f t="shared" si="19"/>
        <v>0</v>
      </c>
      <c r="AB139" s="118">
        <f t="shared" si="20"/>
        <v>1</v>
      </c>
      <c r="AC139" s="118">
        <f t="shared" si="18"/>
        <v>45615</v>
      </c>
      <c r="AD139" s="118">
        <f t="shared" si="21"/>
        <v>-45614</v>
      </c>
      <c r="AE139" s="117">
        <f t="shared" si="22"/>
        <v>0</v>
      </c>
    </row>
    <row r="140" spans="2:31" ht="15.75" customHeight="1" thickBot="1" x14ac:dyDescent="0.25">
      <c r="B140" s="123">
        <f>+B139+1</f>
        <v>2</v>
      </c>
      <c r="C140" s="159"/>
      <c r="D140" s="123">
        <f>+D139+1</f>
        <v>23</v>
      </c>
      <c r="E140" s="159"/>
      <c r="F140" s="123">
        <f>+F139+1</f>
        <v>44</v>
      </c>
      <c r="G140" s="158"/>
      <c r="H140" s="123">
        <f>+H139+1</f>
        <v>65</v>
      </c>
      <c r="I140" s="158"/>
      <c r="J140" s="123">
        <f>+J139+1</f>
        <v>86</v>
      </c>
      <c r="K140" s="158"/>
      <c r="L140" s="123">
        <f>+L139+1</f>
        <v>107</v>
      </c>
      <c r="M140" s="158"/>
      <c r="N140" s="196"/>
      <c r="P140" s="124">
        <v>0</v>
      </c>
      <c r="Q140" s="124">
        <v>0.5</v>
      </c>
      <c r="R140" s="79">
        <v>20</v>
      </c>
      <c r="T140" s="113">
        <f t="shared" si="23"/>
        <v>14</v>
      </c>
      <c r="U140" s="113" t="s">
        <v>155</v>
      </c>
      <c r="V140" s="114"/>
      <c r="W140" s="114">
        <f t="shared" si="24"/>
        <v>0</v>
      </c>
      <c r="X140" s="114"/>
      <c r="Y140" s="115">
        <v>0</v>
      </c>
      <c r="Z140" s="116">
        <v>1</v>
      </c>
      <c r="AA140" s="117">
        <f t="shared" si="19"/>
        <v>0</v>
      </c>
      <c r="AB140" s="118">
        <f t="shared" si="20"/>
        <v>1</v>
      </c>
      <c r="AC140" s="118">
        <f t="shared" si="18"/>
        <v>45615</v>
      </c>
      <c r="AD140" s="118">
        <f t="shared" si="21"/>
        <v>-45614</v>
      </c>
      <c r="AE140" s="117">
        <f t="shared" si="22"/>
        <v>0</v>
      </c>
    </row>
    <row r="141" spans="2:31" ht="15.75" customHeight="1" thickBot="1" x14ac:dyDescent="0.25">
      <c r="B141" s="123">
        <f t="shared" ref="B141:B159" si="25">+B140+1</f>
        <v>3</v>
      </c>
      <c r="C141" s="159"/>
      <c r="D141" s="123">
        <f t="shared" ref="D141:L159" si="26">+D140+1</f>
        <v>24</v>
      </c>
      <c r="E141" s="159"/>
      <c r="F141" s="123">
        <f t="shared" si="26"/>
        <v>45</v>
      </c>
      <c r="G141" s="158"/>
      <c r="H141" s="123">
        <f t="shared" si="26"/>
        <v>66</v>
      </c>
      <c r="I141" s="158"/>
      <c r="J141" s="123">
        <f t="shared" si="26"/>
        <v>87</v>
      </c>
      <c r="K141" s="158"/>
      <c r="L141" s="123">
        <f t="shared" si="26"/>
        <v>108</v>
      </c>
      <c r="M141" s="158"/>
      <c r="N141" s="196"/>
      <c r="P141" s="124">
        <v>0.5</v>
      </c>
      <c r="Q141" s="124">
        <v>0.75</v>
      </c>
      <c r="R141" s="79">
        <v>25</v>
      </c>
      <c r="T141" s="113">
        <f t="shared" si="23"/>
        <v>15</v>
      </c>
      <c r="U141" s="113" t="s">
        <v>156</v>
      </c>
      <c r="V141" s="114"/>
      <c r="W141" s="114">
        <f t="shared" si="24"/>
        <v>0</v>
      </c>
      <c r="X141" s="114"/>
      <c r="Y141" s="115">
        <v>0</v>
      </c>
      <c r="Z141" s="116">
        <v>1</v>
      </c>
      <c r="AA141" s="117">
        <f t="shared" si="19"/>
        <v>0</v>
      </c>
      <c r="AB141" s="118">
        <f t="shared" si="20"/>
        <v>1</v>
      </c>
      <c r="AC141" s="118">
        <f t="shared" si="18"/>
        <v>45615</v>
      </c>
      <c r="AD141" s="118">
        <f t="shared" si="21"/>
        <v>-45614</v>
      </c>
      <c r="AE141" s="117">
        <f t="shared" si="22"/>
        <v>0</v>
      </c>
    </row>
    <row r="142" spans="2:31" ht="15.75" customHeight="1" thickBot="1" x14ac:dyDescent="0.25">
      <c r="B142" s="123">
        <f t="shared" si="25"/>
        <v>4</v>
      </c>
      <c r="C142" s="159"/>
      <c r="D142" s="123">
        <f t="shared" si="26"/>
        <v>25</v>
      </c>
      <c r="E142" s="159"/>
      <c r="F142" s="123">
        <f t="shared" si="26"/>
        <v>46</v>
      </c>
      <c r="G142" s="158"/>
      <c r="H142" s="123">
        <f t="shared" si="26"/>
        <v>67</v>
      </c>
      <c r="I142" s="158"/>
      <c r="J142" s="123">
        <f t="shared" si="26"/>
        <v>88</v>
      </c>
      <c r="K142" s="158"/>
      <c r="L142" s="123">
        <f t="shared" si="26"/>
        <v>109</v>
      </c>
      <c r="M142" s="158"/>
      <c r="N142" s="196"/>
      <c r="P142" s="124">
        <v>0.75</v>
      </c>
      <c r="Q142" s="124">
        <v>1</v>
      </c>
      <c r="R142" s="79">
        <v>30</v>
      </c>
      <c r="T142" s="113">
        <f t="shared" si="23"/>
        <v>16</v>
      </c>
      <c r="U142" s="113" t="s">
        <v>157</v>
      </c>
      <c r="V142" s="114"/>
      <c r="W142" s="114">
        <f t="shared" si="24"/>
        <v>0</v>
      </c>
      <c r="X142" s="114"/>
      <c r="Y142" s="115">
        <v>0</v>
      </c>
      <c r="Z142" s="116">
        <v>1</v>
      </c>
      <c r="AA142" s="117">
        <f t="shared" si="19"/>
        <v>0</v>
      </c>
      <c r="AB142" s="118">
        <f t="shared" si="20"/>
        <v>1</v>
      </c>
      <c r="AC142" s="118">
        <f t="shared" si="18"/>
        <v>45615</v>
      </c>
      <c r="AD142" s="118">
        <f t="shared" si="21"/>
        <v>-45614</v>
      </c>
      <c r="AE142" s="117">
        <f t="shared" si="22"/>
        <v>0</v>
      </c>
    </row>
    <row r="143" spans="2:31" ht="15.75" customHeight="1" thickBot="1" x14ac:dyDescent="0.25">
      <c r="B143" s="123">
        <f t="shared" si="25"/>
        <v>5</v>
      </c>
      <c r="C143" s="159"/>
      <c r="D143" s="123">
        <f t="shared" si="26"/>
        <v>26</v>
      </c>
      <c r="E143" s="159"/>
      <c r="F143" s="123">
        <f t="shared" si="26"/>
        <v>47</v>
      </c>
      <c r="G143" s="158"/>
      <c r="H143" s="123">
        <f t="shared" si="26"/>
        <v>68</v>
      </c>
      <c r="I143" s="158"/>
      <c r="J143" s="123">
        <f t="shared" si="26"/>
        <v>89</v>
      </c>
      <c r="K143" s="158"/>
      <c r="L143" s="123">
        <f t="shared" si="26"/>
        <v>110</v>
      </c>
      <c r="M143" s="158"/>
      <c r="N143" s="196"/>
      <c r="P143" s="124">
        <v>1</v>
      </c>
      <c r="Q143" s="124">
        <v>1.5</v>
      </c>
      <c r="R143" s="79">
        <v>35</v>
      </c>
      <c r="T143" s="113">
        <f t="shared" si="23"/>
        <v>17</v>
      </c>
      <c r="U143" s="113" t="s">
        <v>158</v>
      </c>
      <c r="V143" s="114"/>
      <c r="W143" s="114">
        <f t="shared" si="24"/>
        <v>0</v>
      </c>
      <c r="X143" s="114"/>
      <c r="Y143" s="115">
        <v>0</v>
      </c>
      <c r="Z143" s="116">
        <v>1</v>
      </c>
      <c r="AA143" s="117">
        <f t="shared" si="19"/>
        <v>0</v>
      </c>
      <c r="AB143" s="118">
        <f t="shared" si="20"/>
        <v>1</v>
      </c>
      <c r="AC143" s="118">
        <f t="shared" si="18"/>
        <v>45615</v>
      </c>
      <c r="AD143" s="118">
        <f t="shared" si="21"/>
        <v>-45614</v>
      </c>
      <c r="AE143" s="117">
        <f t="shared" si="22"/>
        <v>0</v>
      </c>
    </row>
    <row r="144" spans="2:31" ht="15.75" customHeight="1" thickBot="1" x14ac:dyDescent="0.25">
      <c r="B144" s="123">
        <f t="shared" si="25"/>
        <v>6</v>
      </c>
      <c r="C144" s="159"/>
      <c r="D144" s="123">
        <f t="shared" si="26"/>
        <v>27</v>
      </c>
      <c r="E144" s="159"/>
      <c r="F144" s="123">
        <f t="shared" si="26"/>
        <v>48</v>
      </c>
      <c r="G144" s="158"/>
      <c r="H144" s="123">
        <f t="shared" si="26"/>
        <v>69</v>
      </c>
      <c r="I144" s="158"/>
      <c r="J144" s="123">
        <f t="shared" si="26"/>
        <v>90</v>
      </c>
      <c r="K144" s="158"/>
      <c r="L144" s="123">
        <f t="shared" si="26"/>
        <v>111</v>
      </c>
      <c r="M144" s="158"/>
      <c r="N144" s="196"/>
      <c r="P144" s="124">
        <v>1.5</v>
      </c>
      <c r="Q144" s="124"/>
      <c r="R144" s="79">
        <v>40</v>
      </c>
      <c r="T144" s="113">
        <f t="shared" si="23"/>
        <v>18</v>
      </c>
      <c r="U144" s="113" t="s">
        <v>159</v>
      </c>
      <c r="V144" s="114"/>
      <c r="W144" s="114">
        <f t="shared" si="24"/>
        <v>0</v>
      </c>
      <c r="X144" s="114"/>
      <c r="Y144" s="115">
        <v>0</v>
      </c>
      <c r="Z144" s="116">
        <v>1</v>
      </c>
      <c r="AA144" s="117">
        <f t="shared" si="19"/>
        <v>0</v>
      </c>
      <c r="AB144" s="118">
        <f t="shared" si="20"/>
        <v>1</v>
      </c>
      <c r="AC144" s="118">
        <f t="shared" si="18"/>
        <v>45615</v>
      </c>
      <c r="AD144" s="118">
        <f t="shared" si="21"/>
        <v>-45614</v>
      </c>
      <c r="AE144" s="117">
        <f t="shared" si="22"/>
        <v>0</v>
      </c>
    </row>
    <row r="145" spans="2:31" ht="15.75" customHeight="1" thickBot="1" x14ac:dyDescent="0.25">
      <c r="B145" s="123">
        <f t="shared" si="25"/>
        <v>7</v>
      </c>
      <c r="C145" s="159"/>
      <c r="D145" s="123">
        <f t="shared" si="26"/>
        <v>28</v>
      </c>
      <c r="E145" s="159"/>
      <c r="F145" s="123">
        <f t="shared" si="26"/>
        <v>49</v>
      </c>
      <c r="G145" s="158"/>
      <c r="H145" s="123">
        <f t="shared" si="26"/>
        <v>70</v>
      </c>
      <c r="I145" s="158"/>
      <c r="J145" s="123">
        <f t="shared" si="26"/>
        <v>91</v>
      </c>
      <c r="K145" s="158"/>
      <c r="L145" s="123">
        <f t="shared" si="26"/>
        <v>112</v>
      </c>
      <c r="M145" s="158"/>
      <c r="N145" s="196"/>
      <c r="P145" s="212" t="s">
        <v>160</v>
      </c>
      <c r="Q145" s="212"/>
      <c r="R145" s="99" t="s">
        <v>147</v>
      </c>
      <c r="T145" s="113">
        <f t="shared" si="23"/>
        <v>19</v>
      </c>
      <c r="U145" s="113" t="s">
        <v>161</v>
      </c>
      <c r="V145" s="114"/>
      <c r="W145" s="114">
        <f t="shared" si="24"/>
        <v>0</v>
      </c>
      <c r="X145" s="114"/>
      <c r="Y145" s="115">
        <v>0</v>
      </c>
      <c r="Z145" s="116">
        <v>1</v>
      </c>
      <c r="AA145" s="117">
        <f t="shared" si="19"/>
        <v>0</v>
      </c>
      <c r="AB145" s="118">
        <f t="shared" si="20"/>
        <v>1</v>
      </c>
      <c r="AC145" s="118">
        <f t="shared" si="18"/>
        <v>45615</v>
      </c>
      <c r="AD145" s="118">
        <f t="shared" si="21"/>
        <v>-45614</v>
      </c>
      <c r="AE145" s="117">
        <f t="shared" si="22"/>
        <v>0</v>
      </c>
    </row>
    <row r="146" spans="2:31" ht="15.75" customHeight="1" thickBot="1" x14ac:dyDescent="0.25">
      <c r="B146" s="123">
        <f t="shared" si="25"/>
        <v>8</v>
      </c>
      <c r="C146" s="159"/>
      <c r="D146" s="123">
        <f t="shared" si="26"/>
        <v>29</v>
      </c>
      <c r="E146" s="159"/>
      <c r="F146" s="123">
        <f t="shared" si="26"/>
        <v>50</v>
      </c>
      <c r="G146" s="158"/>
      <c r="H146" s="123">
        <f t="shared" si="26"/>
        <v>71</v>
      </c>
      <c r="I146" s="158"/>
      <c r="J146" s="123">
        <f t="shared" si="26"/>
        <v>92</v>
      </c>
      <c r="K146" s="158"/>
      <c r="L146" s="123">
        <f t="shared" si="26"/>
        <v>113</v>
      </c>
      <c r="M146" s="158"/>
      <c r="N146" s="196"/>
      <c r="P146" s="79"/>
      <c r="Q146" s="79"/>
      <c r="R146" s="79">
        <v>0</v>
      </c>
      <c r="T146" s="113">
        <f t="shared" si="23"/>
        <v>20</v>
      </c>
      <c r="U146" s="113" t="s">
        <v>162</v>
      </c>
      <c r="V146" s="114"/>
      <c r="W146" s="114">
        <f t="shared" si="24"/>
        <v>0</v>
      </c>
      <c r="X146" s="114"/>
      <c r="Y146" s="115">
        <v>0</v>
      </c>
      <c r="Z146" s="116">
        <v>1</v>
      </c>
      <c r="AA146" s="117">
        <f t="shared" si="19"/>
        <v>0</v>
      </c>
      <c r="AB146" s="118">
        <f t="shared" si="20"/>
        <v>1</v>
      </c>
      <c r="AC146" s="118">
        <f t="shared" si="18"/>
        <v>45615</v>
      </c>
      <c r="AD146" s="118">
        <f t="shared" si="21"/>
        <v>-45614</v>
      </c>
      <c r="AE146" s="117">
        <f t="shared" si="22"/>
        <v>0</v>
      </c>
    </row>
    <row r="147" spans="2:31" ht="15.75" customHeight="1" thickBot="1" x14ac:dyDescent="0.25">
      <c r="B147" s="123">
        <f t="shared" si="25"/>
        <v>9</v>
      </c>
      <c r="C147" s="159"/>
      <c r="D147" s="123">
        <f t="shared" si="26"/>
        <v>30</v>
      </c>
      <c r="E147" s="159"/>
      <c r="F147" s="123">
        <f t="shared" si="26"/>
        <v>51</v>
      </c>
      <c r="G147" s="158"/>
      <c r="H147" s="123">
        <f t="shared" si="26"/>
        <v>72</v>
      </c>
      <c r="I147" s="158"/>
      <c r="J147" s="123">
        <f t="shared" si="26"/>
        <v>93</v>
      </c>
      <c r="K147" s="158"/>
      <c r="L147" s="123">
        <f t="shared" si="26"/>
        <v>114</v>
      </c>
      <c r="M147" s="158"/>
      <c r="N147" s="196"/>
      <c r="P147" s="79">
        <v>0</v>
      </c>
      <c r="Q147" s="79">
        <v>5</v>
      </c>
      <c r="R147" s="79">
        <v>20</v>
      </c>
      <c r="T147" s="113">
        <f t="shared" si="23"/>
        <v>21</v>
      </c>
      <c r="U147" s="113" t="s">
        <v>163</v>
      </c>
      <c r="V147" s="114"/>
      <c r="W147" s="114">
        <f t="shared" si="24"/>
        <v>0</v>
      </c>
      <c r="X147" s="114"/>
      <c r="Y147" s="115">
        <v>0</v>
      </c>
      <c r="Z147" s="116">
        <v>1</v>
      </c>
      <c r="AA147" s="117">
        <f t="shared" si="19"/>
        <v>0</v>
      </c>
      <c r="AB147" s="118">
        <f t="shared" si="20"/>
        <v>1</v>
      </c>
      <c r="AC147" s="118">
        <f t="shared" si="18"/>
        <v>45615</v>
      </c>
      <c r="AD147" s="118">
        <f t="shared" si="21"/>
        <v>-45614</v>
      </c>
      <c r="AE147" s="117">
        <f t="shared" si="22"/>
        <v>0</v>
      </c>
    </row>
    <row r="148" spans="2:31" ht="15.75" customHeight="1" thickBot="1" x14ac:dyDescent="0.25">
      <c r="B148" s="123">
        <f t="shared" si="25"/>
        <v>10</v>
      </c>
      <c r="C148" s="159"/>
      <c r="D148" s="123">
        <f t="shared" si="26"/>
        <v>31</v>
      </c>
      <c r="E148" s="159"/>
      <c r="F148" s="123">
        <f t="shared" si="26"/>
        <v>52</v>
      </c>
      <c r="G148" s="158"/>
      <c r="H148" s="123">
        <f t="shared" si="26"/>
        <v>73</v>
      </c>
      <c r="I148" s="158"/>
      <c r="J148" s="123">
        <f t="shared" si="26"/>
        <v>94</v>
      </c>
      <c r="K148" s="158"/>
      <c r="L148" s="123">
        <f t="shared" si="26"/>
        <v>115</v>
      </c>
      <c r="M148" s="158"/>
      <c r="N148" s="196"/>
      <c r="P148" s="79">
        <v>5</v>
      </c>
      <c r="Q148" s="79">
        <v>10</v>
      </c>
      <c r="R148" s="79">
        <v>30</v>
      </c>
      <c r="T148" s="113">
        <f t="shared" si="23"/>
        <v>22</v>
      </c>
      <c r="U148" s="113" t="s">
        <v>164</v>
      </c>
      <c r="V148" s="114"/>
      <c r="W148" s="114">
        <f t="shared" si="24"/>
        <v>0</v>
      </c>
      <c r="X148" s="114"/>
      <c r="Y148" s="115">
        <v>0</v>
      </c>
      <c r="Z148" s="116">
        <v>1</v>
      </c>
      <c r="AA148" s="117">
        <f t="shared" si="19"/>
        <v>0</v>
      </c>
      <c r="AB148" s="118">
        <f t="shared" si="20"/>
        <v>1</v>
      </c>
      <c r="AC148" s="118">
        <f t="shared" si="18"/>
        <v>45615</v>
      </c>
      <c r="AD148" s="118">
        <f t="shared" si="21"/>
        <v>-45614</v>
      </c>
      <c r="AE148" s="117">
        <f t="shared" si="22"/>
        <v>0</v>
      </c>
    </row>
    <row r="149" spans="2:31" ht="15.75" customHeight="1" thickBot="1" x14ac:dyDescent="0.25">
      <c r="B149" s="123">
        <f t="shared" si="25"/>
        <v>11</v>
      </c>
      <c r="C149" s="158"/>
      <c r="D149" s="123">
        <f t="shared" si="26"/>
        <v>32</v>
      </c>
      <c r="E149" s="158"/>
      <c r="F149" s="123">
        <f t="shared" si="26"/>
        <v>53</v>
      </c>
      <c r="G149" s="158"/>
      <c r="H149" s="123">
        <f t="shared" si="26"/>
        <v>74</v>
      </c>
      <c r="I149" s="158"/>
      <c r="J149" s="123">
        <f t="shared" si="26"/>
        <v>95</v>
      </c>
      <c r="K149" s="158"/>
      <c r="L149" s="123">
        <f t="shared" si="26"/>
        <v>116</v>
      </c>
      <c r="M149" s="158"/>
      <c r="N149" s="196"/>
      <c r="P149" s="79">
        <v>10</v>
      </c>
      <c r="Q149" s="79"/>
      <c r="R149" s="79">
        <v>40</v>
      </c>
      <c r="T149" s="113">
        <f t="shared" si="23"/>
        <v>23</v>
      </c>
      <c r="U149" s="113" t="s">
        <v>165</v>
      </c>
      <c r="V149" s="114"/>
      <c r="W149" s="114">
        <f t="shared" si="24"/>
        <v>0</v>
      </c>
      <c r="X149" s="114"/>
      <c r="Y149" s="115">
        <v>0</v>
      </c>
      <c r="Z149" s="116">
        <v>1</v>
      </c>
      <c r="AA149" s="117">
        <f t="shared" si="19"/>
        <v>0</v>
      </c>
      <c r="AB149" s="118">
        <f t="shared" si="20"/>
        <v>1</v>
      </c>
      <c r="AC149" s="118">
        <f t="shared" si="18"/>
        <v>45615</v>
      </c>
      <c r="AD149" s="118">
        <f t="shared" si="21"/>
        <v>-45614</v>
      </c>
      <c r="AE149" s="117">
        <f t="shared" si="22"/>
        <v>0</v>
      </c>
    </row>
    <row r="150" spans="2:31" ht="15.75" customHeight="1" thickBot="1" x14ac:dyDescent="0.25">
      <c r="B150" s="123">
        <f t="shared" si="25"/>
        <v>12</v>
      </c>
      <c r="C150" s="158"/>
      <c r="D150" s="123">
        <f t="shared" si="26"/>
        <v>33</v>
      </c>
      <c r="E150" s="158"/>
      <c r="F150" s="123">
        <f t="shared" si="26"/>
        <v>54</v>
      </c>
      <c r="G150" s="158"/>
      <c r="H150" s="123">
        <f t="shared" si="26"/>
        <v>75</v>
      </c>
      <c r="I150" s="158"/>
      <c r="J150" s="123">
        <f t="shared" si="26"/>
        <v>96</v>
      </c>
      <c r="K150" s="158"/>
      <c r="L150" s="123">
        <f t="shared" si="26"/>
        <v>117</v>
      </c>
      <c r="M150" s="158"/>
      <c r="N150" s="196"/>
      <c r="T150" s="113">
        <f t="shared" si="23"/>
        <v>24</v>
      </c>
      <c r="U150" s="113" t="s">
        <v>166</v>
      </c>
      <c r="V150" s="114"/>
      <c r="W150" s="114">
        <f t="shared" si="24"/>
        <v>0</v>
      </c>
      <c r="X150" s="114"/>
      <c r="Y150" s="115">
        <v>0</v>
      </c>
      <c r="Z150" s="116">
        <v>1</v>
      </c>
      <c r="AA150" s="117">
        <f t="shared" si="19"/>
        <v>0</v>
      </c>
      <c r="AB150" s="118">
        <f t="shared" si="20"/>
        <v>1</v>
      </c>
      <c r="AC150" s="118">
        <f t="shared" si="18"/>
        <v>45615</v>
      </c>
      <c r="AD150" s="118">
        <f t="shared" si="21"/>
        <v>-45614</v>
      </c>
      <c r="AE150" s="117">
        <f t="shared" si="22"/>
        <v>0</v>
      </c>
    </row>
    <row r="151" spans="2:31" ht="15.75" customHeight="1" thickBot="1" x14ac:dyDescent="0.25">
      <c r="B151" s="123">
        <f t="shared" si="25"/>
        <v>13</v>
      </c>
      <c r="C151" s="158"/>
      <c r="D151" s="123">
        <f t="shared" si="26"/>
        <v>34</v>
      </c>
      <c r="E151" s="158"/>
      <c r="F151" s="123">
        <f t="shared" si="26"/>
        <v>55</v>
      </c>
      <c r="G151" s="158"/>
      <c r="H151" s="123">
        <f t="shared" si="26"/>
        <v>76</v>
      </c>
      <c r="I151" s="158"/>
      <c r="J151" s="123">
        <f t="shared" si="26"/>
        <v>97</v>
      </c>
      <c r="K151" s="158"/>
      <c r="L151" s="123">
        <f t="shared" si="26"/>
        <v>118</v>
      </c>
      <c r="M151" s="158"/>
      <c r="N151" s="196"/>
      <c r="R151" s="130" t="s">
        <v>213</v>
      </c>
      <c r="T151" s="113">
        <f t="shared" si="23"/>
        <v>25</v>
      </c>
      <c r="U151" s="113" t="s">
        <v>168</v>
      </c>
      <c r="V151" s="114"/>
      <c r="W151" s="114">
        <f t="shared" si="24"/>
        <v>0</v>
      </c>
      <c r="X151" s="114"/>
      <c r="Y151" s="115">
        <v>0</v>
      </c>
      <c r="Z151" s="116">
        <v>1</v>
      </c>
      <c r="AA151" s="117">
        <f t="shared" si="19"/>
        <v>0</v>
      </c>
      <c r="AB151" s="118">
        <f t="shared" si="20"/>
        <v>1</v>
      </c>
      <c r="AC151" s="118">
        <f t="shared" si="18"/>
        <v>45615</v>
      </c>
      <c r="AD151" s="118">
        <f t="shared" si="21"/>
        <v>-45614</v>
      </c>
      <c r="AE151" s="117">
        <f t="shared" si="22"/>
        <v>0</v>
      </c>
    </row>
    <row r="152" spans="2:31" ht="15.75" customHeight="1" thickBot="1" x14ac:dyDescent="0.25">
      <c r="B152" s="123">
        <f t="shared" si="25"/>
        <v>14</v>
      </c>
      <c r="C152" s="158"/>
      <c r="D152" s="123">
        <f t="shared" si="26"/>
        <v>35</v>
      </c>
      <c r="E152" s="158"/>
      <c r="F152" s="123">
        <f t="shared" si="26"/>
        <v>56</v>
      </c>
      <c r="G152" s="158"/>
      <c r="H152" s="123">
        <f t="shared" si="26"/>
        <v>77</v>
      </c>
      <c r="I152" s="158"/>
      <c r="J152" s="123">
        <f t="shared" si="26"/>
        <v>98</v>
      </c>
      <c r="K152" s="158"/>
      <c r="L152" s="123">
        <f t="shared" si="26"/>
        <v>119</v>
      </c>
      <c r="M152" s="158"/>
      <c r="N152" s="196"/>
      <c r="P152" s="82" t="s">
        <v>201</v>
      </c>
      <c r="R152" s="131">
        <v>17282722097</v>
      </c>
      <c r="T152" s="113">
        <f t="shared" si="23"/>
        <v>26</v>
      </c>
      <c r="U152" s="113" t="s">
        <v>170</v>
      </c>
      <c r="V152" s="114"/>
      <c r="W152" s="114">
        <f t="shared" si="24"/>
        <v>0</v>
      </c>
      <c r="X152" s="114"/>
      <c r="Y152" s="115">
        <v>0</v>
      </c>
      <c r="Z152" s="116">
        <v>1</v>
      </c>
      <c r="AA152" s="117">
        <f t="shared" si="19"/>
        <v>0</v>
      </c>
      <c r="AB152" s="118">
        <f t="shared" si="20"/>
        <v>1</v>
      </c>
      <c r="AC152" s="118">
        <f t="shared" si="18"/>
        <v>45615</v>
      </c>
      <c r="AD152" s="118">
        <f t="shared" si="21"/>
        <v>-45614</v>
      </c>
      <c r="AE152" s="117">
        <f t="shared" si="22"/>
        <v>0</v>
      </c>
    </row>
    <row r="153" spans="2:31" ht="15.75" customHeight="1" thickBot="1" x14ac:dyDescent="0.25">
      <c r="B153" s="123">
        <f t="shared" si="25"/>
        <v>15</v>
      </c>
      <c r="C153" s="158"/>
      <c r="D153" s="123">
        <f t="shared" si="26"/>
        <v>36</v>
      </c>
      <c r="E153" s="158"/>
      <c r="F153" s="123">
        <f t="shared" si="26"/>
        <v>57</v>
      </c>
      <c r="G153" s="158"/>
      <c r="H153" s="123">
        <f t="shared" si="26"/>
        <v>78</v>
      </c>
      <c r="I153" s="158"/>
      <c r="J153" s="123">
        <f t="shared" si="26"/>
        <v>99</v>
      </c>
      <c r="K153" s="158"/>
      <c r="L153" s="123">
        <f t="shared" si="26"/>
        <v>120</v>
      </c>
      <c r="M153" s="158"/>
      <c r="N153" s="196"/>
      <c r="O153" s="125"/>
      <c r="P153" s="82" t="s">
        <v>214</v>
      </c>
      <c r="R153" s="131">
        <v>14101948434</v>
      </c>
      <c r="T153" s="113">
        <f t="shared" si="23"/>
        <v>27</v>
      </c>
      <c r="U153" s="113" t="s">
        <v>172</v>
      </c>
      <c r="V153" s="114"/>
      <c r="W153" s="114">
        <f t="shared" si="24"/>
        <v>0</v>
      </c>
      <c r="X153" s="114"/>
      <c r="Y153" s="115">
        <v>0</v>
      </c>
      <c r="Z153" s="116">
        <v>1</v>
      </c>
      <c r="AA153" s="117">
        <f t="shared" si="19"/>
        <v>0</v>
      </c>
      <c r="AB153" s="118">
        <f t="shared" si="20"/>
        <v>1</v>
      </c>
      <c r="AC153" s="118">
        <f t="shared" si="18"/>
        <v>45615</v>
      </c>
      <c r="AD153" s="118">
        <f t="shared" si="21"/>
        <v>-45614</v>
      </c>
      <c r="AE153" s="117">
        <f t="shared" si="22"/>
        <v>0</v>
      </c>
    </row>
    <row r="154" spans="2:31" ht="15.75" customHeight="1" thickBot="1" x14ac:dyDescent="0.25">
      <c r="B154" s="123">
        <f t="shared" si="25"/>
        <v>16</v>
      </c>
      <c r="C154" s="158"/>
      <c r="D154" s="123">
        <f t="shared" si="26"/>
        <v>37</v>
      </c>
      <c r="E154" s="158"/>
      <c r="F154" s="123">
        <f t="shared" si="26"/>
        <v>58</v>
      </c>
      <c r="G154" s="158"/>
      <c r="H154" s="123">
        <f t="shared" si="26"/>
        <v>79</v>
      </c>
      <c r="I154" s="158"/>
      <c r="J154" s="123">
        <f t="shared" si="26"/>
        <v>100</v>
      </c>
      <c r="K154" s="158"/>
      <c r="L154" s="123">
        <f t="shared" si="26"/>
        <v>121</v>
      </c>
      <c r="M154" s="158"/>
      <c r="N154" s="196"/>
      <c r="O154" s="125"/>
      <c r="P154" s="82" t="s">
        <v>202</v>
      </c>
      <c r="R154" s="131">
        <v>8860786921</v>
      </c>
      <c r="T154" s="113">
        <f t="shared" si="23"/>
        <v>28</v>
      </c>
      <c r="U154" s="113" t="s">
        <v>174</v>
      </c>
      <c r="V154" s="114"/>
      <c r="W154" s="114">
        <f t="shared" si="24"/>
        <v>0</v>
      </c>
      <c r="X154" s="114"/>
      <c r="Y154" s="115">
        <v>0</v>
      </c>
      <c r="Z154" s="116">
        <v>1</v>
      </c>
      <c r="AA154" s="117">
        <f t="shared" si="19"/>
        <v>0</v>
      </c>
      <c r="AB154" s="118">
        <f t="shared" si="20"/>
        <v>1</v>
      </c>
      <c r="AC154" s="118">
        <f t="shared" si="18"/>
        <v>45615</v>
      </c>
      <c r="AD154" s="118">
        <f t="shared" si="21"/>
        <v>-45614</v>
      </c>
      <c r="AE154" s="117">
        <f t="shared" si="22"/>
        <v>0</v>
      </c>
    </row>
    <row r="155" spans="2:31" ht="15.75" customHeight="1" thickBot="1" x14ac:dyDescent="0.25">
      <c r="B155" s="123">
        <f t="shared" si="25"/>
        <v>17</v>
      </c>
      <c r="C155" s="158"/>
      <c r="D155" s="123">
        <f t="shared" si="26"/>
        <v>38</v>
      </c>
      <c r="E155" s="158"/>
      <c r="F155" s="123">
        <f t="shared" si="26"/>
        <v>59</v>
      </c>
      <c r="G155" s="158"/>
      <c r="H155" s="123">
        <f t="shared" si="26"/>
        <v>80</v>
      </c>
      <c r="I155" s="158"/>
      <c r="J155" s="123">
        <f t="shared" si="26"/>
        <v>101</v>
      </c>
      <c r="K155" s="158"/>
      <c r="L155" s="123">
        <f t="shared" si="26"/>
        <v>122</v>
      </c>
      <c r="M155" s="158"/>
      <c r="N155" s="196"/>
      <c r="O155" s="125"/>
      <c r="P155" s="82" t="s">
        <v>203</v>
      </c>
      <c r="R155" s="131">
        <v>19587312969</v>
      </c>
      <c r="T155" s="113">
        <f t="shared" si="23"/>
        <v>29</v>
      </c>
      <c r="U155" s="113" t="s">
        <v>176</v>
      </c>
      <c r="V155" s="114"/>
      <c r="W155" s="114">
        <f t="shared" si="24"/>
        <v>0</v>
      </c>
      <c r="X155" s="114"/>
      <c r="Y155" s="115">
        <v>0</v>
      </c>
      <c r="Z155" s="116">
        <v>1</v>
      </c>
      <c r="AA155" s="117">
        <f t="shared" si="19"/>
        <v>0</v>
      </c>
      <c r="AB155" s="118">
        <f t="shared" si="20"/>
        <v>1</v>
      </c>
      <c r="AC155" s="118">
        <f t="shared" si="18"/>
        <v>45615</v>
      </c>
      <c r="AD155" s="118">
        <f t="shared" si="21"/>
        <v>-45614</v>
      </c>
      <c r="AE155" s="117">
        <f t="shared" si="22"/>
        <v>0</v>
      </c>
    </row>
    <row r="156" spans="2:31" ht="15.75" customHeight="1" thickBot="1" x14ac:dyDescent="0.25">
      <c r="B156" s="123">
        <f t="shared" si="25"/>
        <v>18</v>
      </c>
      <c r="C156" s="158"/>
      <c r="D156" s="123">
        <f t="shared" si="26"/>
        <v>39</v>
      </c>
      <c r="E156" s="158"/>
      <c r="F156" s="123">
        <f t="shared" si="26"/>
        <v>60</v>
      </c>
      <c r="G156" s="158"/>
      <c r="H156" s="123">
        <f t="shared" si="26"/>
        <v>81</v>
      </c>
      <c r="I156" s="158"/>
      <c r="J156" s="123">
        <f t="shared" si="26"/>
        <v>102</v>
      </c>
      <c r="K156" s="158"/>
      <c r="L156" s="123">
        <f t="shared" si="26"/>
        <v>123</v>
      </c>
      <c r="M156" s="158"/>
      <c r="N156" s="196"/>
      <c r="O156" s="125"/>
      <c r="P156" s="82" t="s">
        <v>204</v>
      </c>
      <c r="R156" s="131">
        <v>10049355290</v>
      </c>
      <c r="T156" s="113">
        <f t="shared" si="23"/>
        <v>30</v>
      </c>
      <c r="U156" s="113" t="s">
        <v>178</v>
      </c>
      <c r="V156" s="114"/>
      <c r="W156" s="114">
        <f t="shared" si="24"/>
        <v>0</v>
      </c>
      <c r="X156" s="114"/>
      <c r="Y156" s="115">
        <v>0</v>
      </c>
      <c r="Z156" s="116">
        <v>1</v>
      </c>
      <c r="AA156" s="117">
        <f t="shared" si="19"/>
        <v>0</v>
      </c>
      <c r="AB156" s="118">
        <f t="shared" si="20"/>
        <v>1</v>
      </c>
      <c r="AC156" s="118">
        <f t="shared" si="18"/>
        <v>45615</v>
      </c>
      <c r="AD156" s="118">
        <f t="shared" si="21"/>
        <v>-45614</v>
      </c>
      <c r="AE156" s="117">
        <f t="shared" si="22"/>
        <v>0</v>
      </c>
    </row>
    <row r="157" spans="2:31" ht="15.75" customHeight="1" thickBot="1" x14ac:dyDescent="0.25">
      <c r="B157" s="123">
        <f t="shared" si="25"/>
        <v>19</v>
      </c>
      <c r="C157" s="158"/>
      <c r="D157" s="123">
        <f t="shared" si="26"/>
        <v>40</v>
      </c>
      <c r="E157" s="158"/>
      <c r="F157" s="123">
        <f t="shared" si="26"/>
        <v>61</v>
      </c>
      <c r="G157" s="158"/>
      <c r="H157" s="123">
        <f t="shared" si="26"/>
        <v>82</v>
      </c>
      <c r="I157" s="158"/>
      <c r="J157" s="123">
        <f t="shared" si="26"/>
        <v>103</v>
      </c>
      <c r="K157" s="158"/>
      <c r="L157" s="123">
        <f t="shared" si="26"/>
        <v>124</v>
      </c>
      <c r="M157" s="158"/>
      <c r="N157" s="196"/>
      <c r="O157" s="125"/>
      <c r="P157" s="82" t="s">
        <v>205</v>
      </c>
      <c r="R157" s="131">
        <v>16751309190</v>
      </c>
      <c r="T157" s="113">
        <f t="shared" si="23"/>
        <v>31</v>
      </c>
      <c r="U157" s="113" t="s">
        <v>180</v>
      </c>
      <c r="V157" s="114"/>
      <c r="W157" s="114">
        <f t="shared" si="24"/>
        <v>0</v>
      </c>
      <c r="X157" s="114"/>
      <c r="Y157" s="115">
        <v>0</v>
      </c>
      <c r="Z157" s="116">
        <v>1</v>
      </c>
      <c r="AA157" s="117">
        <f t="shared" si="19"/>
        <v>0</v>
      </c>
      <c r="AB157" s="118">
        <f t="shared" si="20"/>
        <v>1</v>
      </c>
      <c r="AC157" s="118">
        <f t="shared" si="18"/>
        <v>45615</v>
      </c>
      <c r="AD157" s="118">
        <f t="shared" si="21"/>
        <v>-45614</v>
      </c>
      <c r="AE157" s="117">
        <f t="shared" si="22"/>
        <v>0</v>
      </c>
    </row>
    <row r="158" spans="2:31" ht="15.75" customHeight="1" thickBot="1" x14ac:dyDescent="0.25">
      <c r="B158" s="123">
        <f t="shared" si="25"/>
        <v>20</v>
      </c>
      <c r="C158" s="158"/>
      <c r="D158" s="123">
        <f t="shared" si="26"/>
        <v>41</v>
      </c>
      <c r="E158" s="158"/>
      <c r="F158" s="123">
        <f t="shared" si="26"/>
        <v>62</v>
      </c>
      <c r="G158" s="158"/>
      <c r="H158" s="123">
        <f t="shared" si="26"/>
        <v>83</v>
      </c>
      <c r="I158" s="158"/>
      <c r="J158" s="123">
        <f t="shared" si="26"/>
        <v>104</v>
      </c>
      <c r="K158" s="158"/>
      <c r="L158" s="123">
        <f t="shared" si="26"/>
        <v>125</v>
      </c>
      <c r="M158" s="158"/>
      <c r="N158" s="196"/>
      <c r="O158" s="125"/>
      <c r="P158" s="82" t="s">
        <v>206</v>
      </c>
      <c r="R158" s="131">
        <v>14142724014</v>
      </c>
      <c r="T158" s="113">
        <f t="shared" si="23"/>
        <v>32</v>
      </c>
      <c r="U158" s="113" t="s">
        <v>182</v>
      </c>
      <c r="V158" s="114"/>
      <c r="W158" s="114">
        <f t="shared" si="24"/>
        <v>0</v>
      </c>
      <c r="X158" s="114"/>
      <c r="Y158" s="115">
        <v>0</v>
      </c>
      <c r="Z158" s="116">
        <v>1</v>
      </c>
      <c r="AA158" s="117">
        <f t="shared" si="19"/>
        <v>0</v>
      </c>
      <c r="AB158" s="118">
        <f t="shared" si="20"/>
        <v>1</v>
      </c>
      <c r="AC158" s="118">
        <f t="shared" si="18"/>
        <v>45615</v>
      </c>
      <c r="AD158" s="118">
        <f t="shared" si="21"/>
        <v>-45614</v>
      </c>
      <c r="AE158" s="117">
        <f t="shared" si="22"/>
        <v>0</v>
      </c>
    </row>
    <row r="159" spans="2:31" ht="15.75" customHeight="1" thickBot="1" x14ac:dyDescent="0.25">
      <c r="B159" s="123">
        <f t="shared" si="25"/>
        <v>21</v>
      </c>
      <c r="C159" s="158"/>
      <c r="D159" s="123">
        <f t="shared" si="26"/>
        <v>42</v>
      </c>
      <c r="E159" s="158"/>
      <c r="F159" s="123">
        <f t="shared" si="26"/>
        <v>63</v>
      </c>
      <c r="G159" s="158"/>
      <c r="H159" s="123">
        <f t="shared" si="26"/>
        <v>84</v>
      </c>
      <c r="I159" s="158"/>
      <c r="J159" s="123">
        <f t="shared" si="26"/>
        <v>105</v>
      </c>
      <c r="K159" s="158"/>
      <c r="L159" s="123">
        <f t="shared" si="26"/>
        <v>126</v>
      </c>
      <c r="M159" s="158"/>
      <c r="N159" s="197"/>
      <c r="T159" s="113">
        <f t="shared" si="23"/>
        <v>33</v>
      </c>
      <c r="U159" s="113" t="s">
        <v>184</v>
      </c>
      <c r="V159" s="114"/>
      <c r="W159" s="114">
        <f t="shared" si="24"/>
        <v>0</v>
      </c>
      <c r="X159" s="114"/>
      <c r="Y159" s="115">
        <v>0</v>
      </c>
      <c r="Z159" s="116">
        <v>1</v>
      </c>
      <c r="AA159" s="117">
        <f t="shared" si="19"/>
        <v>0</v>
      </c>
      <c r="AB159" s="118">
        <f t="shared" si="20"/>
        <v>1</v>
      </c>
      <c r="AC159" s="118">
        <f t="shared" si="18"/>
        <v>45615</v>
      </c>
      <c r="AD159" s="118">
        <f t="shared" si="21"/>
        <v>-45614</v>
      </c>
      <c r="AE159" s="117">
        <f t="shared" si="22"/>
        <v>0</v>
      </c>
    </row>
    <row r="160" spans="2:31" ht="15.75" customHeight="1" thickBot="1" x14ac:dyDescent="0.25">
      <c r="B160" s="161" t="s">
        <v>167</v>
      </c>
      <c r="C160" s="161"/>
      <c r="D160" s="161"/>
      <c r="E160" s="161"/>
      <c r="F160" s="161"/>
      <c r="G160" s="161"/>
      <c r="H160" s="161"/>
      <c r="I160" s="161"/>
      <c r="J160" s="198">
        <f>SUM(C139:C159,G139:G159,K139:K159,E139:E159,I139:I159,K139:K159,M139:M159)</f>
        <v>0</v>
      </c>
      <c r="K160" s="198"/>
      <c r="L160" s="198"/>
      <c r="M160" s="198"/>
      <c r="N160" s="198"/>
      <c r="R160" s="130" t="s">
        <v>216</v>
      </c>
      <c r="T160" s="113">
        <f t="shared" si="23"/>
        <v>34</v>
      </c>
      <c r="U160" s="113" t="s">
        <v>186</v>
      </c>
      <c r="V160" s="114"/>
      <c r="W160" s="114">
        <f t="shared" si="24"/>
        <v>0</v>
      </c>
      <c r="X160" s="114"/>
      <c r="Y160" s="115">
        <v>0</v>
      </c>
      <c r="Z160" s="116">
        <v>1</v>
      </c>
      <c r="AA160" s="117">
        <f t="shared" si="19"/>
        <v>0</v>
      </c>
      <c r="AB160" s="118">
        <f t="shared" si="20"/>
        <v>1</v>
      </c>
      <c r="AC160" s="118">
        <f t="shared" si="18"/>
        <v>45615</v>
      </c>
      <c r="AD160" s="118">
        <f t="shared" si="21"/>
        <v>-45614</v>
      </c>
      <c r="AE160" s="117">
        <f t="shared" si="22"/>
        <v>0</v>
      </c>
    </row>
    <row r="161" spans="2:31" ht="15.75" customHeight="1" thickBot="1" x14ac:dyDescent="0.25">
      <c r="B161" s="161" t="s">
        <v>171</v>
      </c>
      <c r="C161" s="161"/>
      <c r="D161" s="161"/>
      <c r="E161" s="161"/>
      <c r="F161" s="161"/>
      <c r="G161" s="161"/>
      <c r="H161" s="161"/>
      <c r="I161" s="161"/>
      <c r="J161" s="212">
        <f>IFERROR(J160/(($B$23)*I127),0)</f>
        <v>0</v>
      </c>
      <c r="K161" s="212"/>
      <c r="L161" s="212"/>
      <c r="M161" s="212"/>
      <c r="N161" s="212"/>
      <c r="P161" s="82" t="s">
        <v>201</v>
      </c>
      <c r="R161" s="131">
        <v>8053415585</v>
      </c>
      <c r="T161" s="113">
        <f t="shared" si="23"/>
        <v>35</v>
      </c>
      <c r="U161" s="113" t="s">
        <v>187</v>
      </c>
      <c r="V161" s="114"/>
      <c r="W161" s="114">
        <f t="shared" si="24"/>
        <v>0</v>
      </c>
      <c r="X161" s="114"/>
      <c r="Y161" s="115">
        <v>0</v>
      </c>
      <c r="Z161" s="116">
        <v>1</v>
      </c>
      <c r="AA161" s="117">
        <f t="shared" si="19"/>
        <v>0</v>
      </c>
      <c r="AB161" s="118">
        <f t="shared" si="20"/>
        <v>1</v>
      </c>
      <c r="AC161" s="118">
        <f t="shared" si="18"/>
        <v>45615</v>
      </c>
      <c r="AD161" s="118">
        <f t="shared" si="21"/>
        <v>-45614</v>
      </c>
      <c r="AE161" s="117">
        <f t="shared" si="22"/>
        <v>0</v>
      </c>
    </row>
    <row r="162" spans="2:31" ht="15.75" customHeight="1" thickBot="1" x14ac:dyDescent="0.25">
      <c r="B162" s="161" t="s">
        <v>173</v>
      </c>
      <c r="C162" s="161"/>
      <c r="D162" s="161"/>
      <c r="E162" s="161"/>
      <c r="F162" s="161"/>
      <c r="G162" s="161"/>
      <c r="H162" s="161"/>
      <c r="I162" s="161"/>
      <c r="J162" s="161"/>
      <c r="K162" s="161"/>
      <c r="L162" s="211">
        <f>IF(J161&gt;P138,R138,IF(J161&gt;P137,R137,IF(J161&gt;P136,R136,R135)))</f>
        <v>60</v>
      </c>
      <c r="M162" s="211"/>
      <c r="N162" s="211"/>
      <c r="O162" s="125"/>
      <c r="P162" s="82" t="s">
        <v>214</v>
      </c>
      <c r="R162" s="131">
        <v>6562161350</v>
      </c>
      <c r="T162" s="113">
        <f t="shared" si="23"/>
        <v>36</v>
      </c>
      <c r="U162" s="113" t="s">
        <v>189</v>
      </c>
      <c r="V162" s="114"/>
      <c r="W162" s="114">
        <f t="shared" si="24"/>
        <v>0</v>
      </c>
      <c r="X162" s="114"/>
      <c r="Y162" s="115">
        <v>0</v>
      </c>
      <c r="Z162" s="116">
        <v>1</v>
      </c>
      <c r="AA162" s="117">
        <f t="shared" si="19"/>
        <v>0</v>
      </c>
      <c r="AB162" s="118">
        <f t="shared" si="20"/>
        <v>1</v>
      </c>
      <c r="AC162" s="118">
        <f t="shared" si="18"/>
        <v>45615</v>
      </c>
      <c r="AD162" s="118">
        <f t="shared" si="21"/>
        <v>-45614</v>
      </c>
      <c r="AE162" s="117">
        <f t="shared" si="22"/>
        <v>0</v>
      </c>
    </row>
    <row r="163" spans="2:31" ht="15.75" customHeight="1" thickBot="1" x14ac:dyDescent="0.3">
      <c r="B163" s="212" t="s">
        <v>215</v>
      </c>
      <c r="C163" s="212"/>
      <c r="D163" s="212"/>
      <c r="E163" s="212"/>
      <c r="F163" s="212"/>
      <c r="G163" s="212"/>
      <c r="H163" s="212"/>
      <c r="I163" s="212"/>
      <c r="J163" s="212"/>
      <c r="K163" s="212"/>
      <c r="L163" s="212"/>
      <c r="M163" s="212"/>
      <c r="N163" s="212"/>
      <c r="O163" s="125"/>
      <c r="P163" s="82" t="s">
        <v>202</v>
      </c>
      <c r="R163" s="131">
        <v>4132783282</v>
      </c>
      <c r="T163" s="113">
        <f>T162+1</f>
        <v>37</v>
      </c>
      <c r="U163" s="113" t="s">
        <v>190</v>
      </c>
      <c r="V163" s="114"/>
      <c r="W163" s="114">
        <f>W162</f>
        <v>0</v>
      </c>
      <c r="X163" s="114"/>
      <c r="Y163" s="115">
        <v>0</v>
      </c>
      <c r="Z163" s="116">
        <v>1</v>
      </c>
      <c r="AA163" s="117">
        <f t="shared" si="19"/>
        <v>0</v>
      </c>
      <c r="AB163" s="118">
        <f t="shared" si="20"/>
        <v>1</v>
      </c>
      <c r="AC163" s="118">
        <f t="shared" si="18"/>
        <v>45615</v>
      </c>
      <c r="AD163" s="118">
        <f t="shared" si="21"/>
        <v>-45614</v>
      </c>
      <c r="AE163" s="117">
        <f t="shared" si="22"/>
        <v>0</v>
      </c>
    </row>
    <row r="164" spans="2:31" ht="15.75" customHeight="1" thickBot="1" x14ac:dyDescent="0.25">
      <c r="B164" s="186"/>
      <c r="C164" s="187"/>
      <c r="D164" s="187"/>
      <c r="E164" s="187"/>
      <c r="F164" s="187"/>
      <c r="G164" s="188"/>
      <c r="H164" s="223" t="s">
        <v>177</v>
      </c>
      <c r="I164" s="223"/>
      <c r="J164" s="223"/>
      <c r="K164" s="223"/>
      <c r="L164" s="224">
        <f>$I$9</f>
        <v>0</v>
      </c>
      <c r="M164" s="224"/>
      <c r="N164" s="224"/>
      <c r="O164" s="125"/>
      <c r="P164" s="82" t="s">
        <v>203</v>
      </c>
      <c r="R164" s="131">
        <v>9125008249</v>
      </c>
      <c r="T164" s="113">
        <f>T163+1</f>
        <v>38</v>
      </c>
      <c r="U164" s="113" t="s">
        <v>191</v>
      </c>
      <c r="V164" s="114"/>
      <c r="W164" s="114">
        <f>W163</f>
        <v>0</v>
      </c>
      <c r="X164" s="114"/>
      <c r="Y164" s="115">
        <v>0</v>
      </c>
      <c r="Z164" s="116">
        <v>1</v>
      </c>
      <c r="AA164" s="117">
        <f t="shared" si="19"/>
        <v>0</v>
      </c>
      <c r="AB164" s="118">
        <f t="shared" si="20"/>
        <v>1</v>
      </c>
      <c r="AC164" s="118">
        <f t="shared" si="18"/>
        <v>45615</v>
      </c>
      <c r="AD164" s="118">
        <f t="shared" si="21"/>
        <v>-45614</v>
      </c>
      <c r="AE164" s="117">
        <f t="shared" si="22"/>
        <v>0</v>
      </c>
    </row>
    <row r="165" spans="2:31" ht="15.75" customHeight="1" thickBot="1" x14ac:dyDescent="0.25">
      <c r="B165" s="189"/>
      <c r="C165" s="190"/>
      <c r="D165" s="190"/>
      <c r="E165" s="190"/>
      <c r="F165" s="190"/>
      <c r="G165" s="191"/>
      <c r="H165" s="223" t="s">
        <v>179</v>
      </c>
      <c r="I165" s="223"/>
      <c r="J165" s="223"/>
      <c r="K165" s="223"/>
      <c r="L165" s="224">
        <f>$J$9</f>
        <v>0</v>
      </c>
      <c r="M165" s="224"/>
      <c r="N165" s="224"/>
      <c r="O165" s="125"/>
      <c r="P165" s="82" t="s">
        <v>204</v>
      </c>
      <c r="R165" s="131">
        <v>4685421355</v>
      </c>
      <c r="T165" s="113">
        <f t="shared" si="23"/>
        <v>39</v>
      </c>
      <c r="U165" s="113" t="s">
        <v>192</v>
      </c>
      <c r="V165" s="114"/>
      <c r="W165" s="114">
        <f t="shared" si="24"/>
        <v>0</v>
      </c>
      <c r="X165" s="114"/>
      <c r="Y165" s="115">
        <v>0</v>
      </c>
      <c r="Z165" s="116">
        <v>1</v>
      </c>
      <c r="AA165" s="117">
        <f t="shared" si="19"/>
        <v>0</v>
      </c>
      <c r="AB165" s="118">
        <f t="shared" si="20"/>
        <v>1</v>
      </c>
      <c r="AC165" s="118">
        <f t="shared" si="18"/>
        <v>45615</v>
      </c>
      <c r="AD165" s="118">
        <f t="shared" si="21"/>
        <v>-45614</v>
      </c>
      <c r="AE165" s="117">
        <f t="shared" si="22"/>
        <v>0</v>
      </c>
    </row>
    <row r="166" spans="2:31" ht="15.75" customHeight="1" thickBot="1" x14ac:dyDescent="0.25">
      <c r="B166" s="192"/>
      <c r="C166" s="193"/>
      <c r="D166" s="193"/>
      <c r="E166" s="193"/>
      <c r="F166" s="193"/>
      <c r="G166" s="194"/>
      <c r="H166" s="161" t="s">
        <v>181</v>
      </c>
      <c r="I166" s="161"/>
      <c r="J166" s="161"/>
      <c r="K166" s="161"/>
      <c r="L166" s="210">
        <f>IFERROR(ROUND(L164/L165,2),0)</f>
        <v>0</v>
      </c>
      <c r="M166" s="210"/>
      <c r="N166" s="210"/>
      <c r="O166" s="125"/>
      <c r="P166" s="82" t="s">
        <v>205</v>
      </c>
      <c r="R166" s="131">
        <v>7832191370</v>
      </c>
      <c r="T166" s="113">
        <f t="shared" si="23"/>
        <v>40</v>
      </c>
      <c r="U166" s="113" t="s">
        <v>193</v>
      </c>
      <c r="V166" s="114"/>
      <c r="W166" s="114">
        <f t="shared" si="24"/>
        <v>0</v>
      </c>
      <c r="X166" s="114"/>
      <c r="Y166" s="115">
        <v>0</v>
      </c>
      <c r="Z166" s="116">
        <v>1</v>
      </c>
      <c r="AA166" s="117">
        <f t="shared" si="19"/>
        <v>0</v>
      </c>
      <c r="AB166" s="118">
        <f t="shared" si="20"/>
        <v>1</v>
      </c>
      <c r="AC166" s="118">
        <f t="shared" si="18"/>
        <v>45615</v>
      </c>
      <c r="AD166" s="118">
        <f t="shared" si="21"/>
        <v>-45614</v>
      </c>
      <c r="AE166" s="117">
        <f t="shared" si="22"/>
        <v>0</v>
      </c>
    </row>
    <row r="167" spans="2:31" ht="15.75" customHeight="1" thickBot="1" x14ac:dyDescent="0.25">
      <c r="B167" s="161" t="s">
        <v>183</v>
      </c>
      <c r="C167" s="161"/>
      <c r="D167" s="161"/>
      <c r="E167" s="161"/>
      <c r="F167" s="161"/>
      <c r="G167" s="161"/>
      <c r="H167" s="161"/>
      <c r="I167" s="161"/>
      <c r="J167" s="161"/>
      <c r="K167" s="161"/>
      <c r="L167" s="211">
        <f>IF(L166&gt;P144,R144,IF(L166&gt;P143,R143,IF(L166&gt;P142,R142,IF(L166&gt;P141,R141,R140))))</f>
        <v>20</v>
      </c>
      <c r="M167" s="211"/>
      <c r="N167" s="211"/>
      <c r="O167" s="125"/>
      <c r="P167" s="82" t="s">
        <v>206</v>
      </c>
      <c r="R167" s="131">
        <v>6568014622</v>
      </c>
      <c r="T167" s="113">
        <f t="shared" si="23"/>
        <v>41</v>
      </c>
      <c r="U167" s="113" t="s">
        <v>194</v>
      </c>
      <c r="V167" s="114"/>
      <c r="W167" s="114">
        <f t="shared" si="24"/>
        <v>0</v>
      </c>
      <c r="X167" s="114"/>
      <c r="Y167" s="115">
        <v>0</v>
      </c>
      <c r="Z167" s="116">
        <v>1</v>
      </c>
      <c r="AA167" s="117">
        <f t="shared" si="19"/>
        <v>0</v>
      </c>
      <c r="AB167" s="118">
        <f t="shared" si="20"/>
        <v>1</v>
      </c>
      <c r="AC167" s="118">
        <f t="shared" si="18"/>
        <v>45615</v>
      </c>
      <c r="AD167" s="118">
        <f t="shared" si="21"/>
        <v>-45614</v>
      </c>
      <c r="AE167" s="117">
        <f t="shared" si="22"/>
        <v>0</v>
      </c>
    </row>
    <row r="168" spans="2:31" ht="15.75" customHeight="1" thickBot="1" x14ac:dyDescent="0.3">
      <c r="B168" s="212" t="s">
        <v>185</v>
      </c>
      <c r="C168" s="212"/>
      <c r="D168" s="212"/>
      <c r="E168" s="212"/>
      <c r="F168" s="212"/>
      <c r="G168" s="212"/>
      <c r="H168" s="212"/>
      <c r="I168" s="212"/>
      <c r="J168" s="212"/>
      <c r="K168" s="212"/>
      <c r="L168" s="212"/>
      <c r="M168" s="212"/>
      <c r="N168" s="212"/>
      <c r="T168" s="113">
        <f t="shared" si="23"/>
        <v>42</v>
      </c>
      <c r="U168" s="113" t="s">
        <v>195</v>
      </c>
      <c r="V168" s="114"/>
      <c r="W168" s="114">
        <f t="shared" si="24"/>
        <v>0</v>
      </c>
      <c r="X168" s="114"/>
      <c r="Y168" s="115">
        <v>0</v>
      </c>
      <c r="Z168" s="116">
        <v>1</v>
      </c>
      <c r="AA168" s="117">
        <f t="shared" si="19"/>
        <v>0</v>
      </c>
      <c r="AB168" s="118">
        <f t="shared" si="20"/>
        <v>1</v>
      </c>
      <c r="AC168" s="118">
        <f t="shared" si="18"/>
        <v>45615</v>
      </c>
      <c r="AD168" s="118">
        <f t="shared" si="21"/>
        <v>-45614</v>
      </c>
      <c r="AE168" s="117">
        <f t="shared" si="22"/>
        <v>0</v>
      </c>
    </row>
    <row r="169" spans="2:31" ht="13.5" thickBot="1" x14ac:dyDescent="0.3">
      <c r="B169" s="220" t="s">
        <v>94</v>
      </c>
      <c r="C169" s="220"/>
      <c r="D169" s="220"/>
      <c r="E169" s="220"/>
      <c r="F169" s="220"/>
      <c r="G169" s="220"/>
      <c r="H169" s="220"/>
      <c r="I169" s="220"/>
      <c r="J169" s="220"/>
      <c r="K169" s="220"/>
      <c r="L169" s="220"/>
      <c r="M169" s="221">
        <f>$K$9</f>
        <v>0</v>
      </c>
      <c r="N169" s="221"/>
      <c r="R169" s="130" t="s">
        <v>200</v>
      </c>
      <c r="T169" s="113">
        <f t="shared" si="23"/>
        <v>43</v>
      </c>
      <c r="U169" s="113" t="s">
        <v>198</v>
      </c>
      <c r="V169" s="114"/>
      <c r="W169" s="114">
        <f t="shared" si="24"/>
        <v>0</v>
      </c>
      <c r="X169" s="114"/>
      <c r="Y169" s="115">
        <v>0</v>
      </c>
      <c r="Z169" s="116">
        <v>1</v>
      </c>
      <c r="AA169" s="117">
        <f t="shared" si="19"/>
        <v>0</v>
      </c>
      <c r="AB169" s="118">
        <f t="shared" si="20"/>
        <v>1</v>
      </c>
      <c r="AC169" s="118">
        <f t="shared" si="18"/>
        <v>45615</v>
      </c>
      <c r="AD169" s="118">
        <f t="shared" si="21"/>
        <v>-45614</v>
      </c>
      <c r="AE169" s="117">
        <f t="shared" si="22"/>
        <v>0</v>
      </c>
    </row>
    <row r="170" spans="2:31" ht="15.75" customHeight="1" thickBot="1" x14ac:dyDescent="0.25">
      <c r="B170" s="161" t="s">
        <v>188</v>
      </c>
      <c r="C170" s="161"/>
      <c r="D170" s="161"/>
      <c r="E170" s="161"/>
      <c r="F170" s="161"/>
      <c r="G170" s="161"/>
      <c r="H170" s="161"/>
      <c r="I170" s="161"/>
      <c r="J170" s="161"/>
      <c r="K170" s="161"/>
      <c r="L170" s="211">
        <f>IF(M169&gt;P149,R149,IF(M169&gt;P148,R148,IF(M169&gt;P147,R147,R146)))</f>
        <v>0</v>
      </c>
      <c r="M170" s="211"/>
      <c r="N170" s="211"/>
      <c r="P170" s="82" t="s">
        <v>201</v>
      </c>
      <c r="R170" s="83">
        <v>16</v>
      </c>
      <c r="Z170" s="235" t="s">
        <v>199</v>
      </c>
      <c r="AA170" s="235"/>
      <c r="AB170" s="235"/>
      <c r="AC170" s="235"/>
      <c r="AD170" s="235"/>
      <c r="AE170" s="126">
        <f>SUM(AE127:AE169)</f>
        <v>25000000</v>
      </c>
    </row>
    <row r="171" spans="2:31" ht="15.75" customHeight="1" x14ac:dyDescent="0.25">
      <c r="P171" s="82"/>
      <c r="R171" s="83"/>
      <c r="Z171" s="132"/>
      <c r="AA171" s="132"/>
      <c r="AB171" s="132"/>
      <c r="AC171" s="132"/>
      <c r="AD171" s="132"/>
      <c r="AE171" s="133"/>
    </row>
    <row r="172" spans="2:31" ht="15.75" customHeight="1" x14ac:dyDescent="0.2">
      <c r="B172" s="161" t="str">
        <f>"CAPACIDAD DE CONTRATACIÓN "&amp;$F$126</f>
        <v xml:space="preserve">CAPACIDAD DE CONTRATACIÓN </v>
      </c>
      <c r="C172" s="161"/>
      <c r="D172" s="161"/>
      <c r="E172" s="161"/>
      <c r="F172" s="161"/>
      <c r="G172" s="161"/>
      <c r="H172" s="161"/>
      <c r="I172" s="161"/>
      <c r="J172" s="161"/>
      <c r="K172" s="161"/>
      <c r="L172" s="167">
        <f>I135*((L162+L167+L170)/100)</f>
        <v>426630400</v>
      </c>
      <c r="M172" s="167"/>
      <c r="N172" s="167"/>
      <c r="P172" s="82" t="s">
        <v>202</v>
      </c>
      <c r="R172" s="83">
        <v>15</v>
      </c>
    </row>
    <row r="173" spans="2:31" ht="15.75" customHeight="1" x14ac:dyDescent="0.2">
      <c r="B173" s="161" t="str">
        <f>"SALDO DE LOS CONTRATOS EN EJECUCIÓN "&amp;$F$126</f>
        <v xml:space="preserve">SALDO DE LOS CONTRATOS EN EJECUCIÓN </v>
      </c>
      <c r="C173" s="161"/>
      <c r="D173" s="161"/>
      <c r="E173" s="161"/>
      <c r="F173" s="161"/>
      <c r="G173" s="161"/>
      <c r="H173" s="161"/>
      <c r="I173" s="161"/>
      <c r="J173" s="161"/>
      <c r="K173" s="161"/>
      <c r="L173" s="167">
        <f>$M$9</f>
        <v>0</v>
      </c>
      <c r="M173" s="167"/>
      <c r="N173" s="167"/>
      <c r="P173" s="82"/>
      <c r="R173" s="83"/>
    </row>
    <row r="174" spans="2:31" ht="15.75" customHeight="1" thickBot="1" x14ac:dyDescent="0.25">
      <c r="B174" s="161" t="str">
        <f>"CAPACIDAD RESIDUAL DE CONTRATACIÓN "&amp;$F$126</f>
        <v xml:space="preserve">CAPACIDAD RESIDUAL DE CONTRATACIÓN </v>
      </c>
      <c r="C174" s="161"/>
      <c r="D174" s="161"/>
      <c r="E174" s="161"/>
      <c r="F174" s="161"/>
      <c r="G174" s="161"/>
      <c r="H174" s="161"/>
      <c r="I174" s="161"/>
      <c r="J174" s="161"/>
      <c r="K174" s="161"/>
      <c r="L174" s="167">
        <f>L172-L173</f>
        <v>426630400</v>
      </c>
      <c r="M174" s="167"/>
      <c r="N174" s="167"/>
      <c r="T174" s="109"/>
      <c r="U174" s="110"/>
    </row>
    <row r="175" spans="2:31" ht="18.75" customHeight="1" x14ac:dyDescent="0.2">
      <c r="B175" s="127"/>
      <c r="C175" s="127"/>
      <c r="D175" s="127"/>
      <c r="E175" s="127"/>
      <c r="F175" s="127"/>
      <c r="G175" s="127"/>
      <c r="H175" s="127"/>
      <c r="I175" s="127"/>
      <c r="J175" s="127"/>
      <c r="K175" s="127"/>
      <c r="L175" s="128"/>
      <c r="M175" s="128"/>
      <c r="N175" s="128"/>
      <c r="Q175" s="103" t="s">
        <v>210</v>
      </c>
      <c r="T175" s="229" t="s">
        <v>113</v>
      </c>
      <c r="U175" s="225" t="s">
        <v>114</v>
      </c>
      <c r="V175" s="225" t="s">
        <v>115</v>
      </c>
      <c r="W175" s="225" t="s">
        <v>116</v>
      </c>
      <c r="X175" s="225" t="s">
        <v>117</v>
      </c>
      <c r="Y175" s="225" t="s">
        <v>118</v>
      </c>
      <c r="Z175" s="225" t="s">
        <v>119</v>
      </c>
      <c r="AA175" s="225" t="s">
        <v>120</v>
      </c>
      <c r="AB175" s="225" t="s">
        <v>121</v>
      </c>
      <c r="AC175" s="225" t="s">
        <v>122</v>
      </c>
      <c r="AD175" s="225" t="s">
        <v>123</v>
      </c>
      <c r="AE175" s="225" t="s">
        <v>124</v>
      </c>
    </row>
    <row r="176" spans="2:31" ht="15.75" customHeight="1" thickBot="1" x14ac:dyDescent="0.3">
      <c r="B176" s="180" t="str">
        <f>"INTEGRANTE 4: "&amp;$C$10</f>
        <v>INTEGRANTE 4: 0</v>
      </c>
      <c r="C176" s="181"/>
      <c r="D176" s="181"/>
      <c r="E176" s="181"/>
      <c r="F176" s="181"/>
      <c r="G176" s="181"/>
      <c r="H176" s="181"/>
      <c r="I176" s="181"/>
      <c r="J176" s="181"/>
      <c r="K176" s="181"/>
      <c r="L176" s="181"/>
      <c r="M176" s="181"/>
      <c r="N176" s="182"/>
      <c r="Q176" s="108">
        <v>1423500</v>
      </c>
      <c r="T176" s="230"/>
      <c r="U176" s="226"/>
      <c r="V176" s="226"/>
      <c r="W176" s="226"/>
      <c r="X176" s="226"/>
      <c r="Y176" s="226"/>
      <c r="Z176" s="226"/>
      <c r="AA176" s="226"/>
      <c r="AB176" s="226"/>
      <c r="AC176" s="226"/>
      <c r="AD176" s="226"/>
      <c r="AE176" s="226"/>
    </row>
    <row r="177" spans="2:31" ht="15.75" customHeight="1" thickBot="1" x14ac:dyDescent="0.3">
      <c r="B177" s="168" t="s">
        <v>102</v>
      </c>
      <c r="C177" s="169"/>
      <c r="D177" s="169"/>
      <c r="E177" s="169"/>
      <c r="F177" s="169"/>
      <c r="G177" s="169"/>
      <c r="H177" s="170"/>
      <c r="I177" s="438">
        <f>$G$10</f>
        <v>0</v>
      </c>
      <c r="J177" s="439"/>
      <c r="K177" s="439"/>
      <c r="L177" s="439"/>
      <c r="M177" s="439"/>
      <c r="N177" s="440"/>
      <c r="T177" s="113">
        <v>1</v>
      </c>
      <c r="U177" s="113" t="s">
        <v>128</v>
      </c>
      <c r="V177" s="114">
        <v>42095</v>
      </c>
      <c r="W177" s="114">
        <v>42124</v>
      </c>
      <c r="X177" s="114">
        <v>42099</v>
      </c>
      <c r="Y177" s="115">
        <v>30000000</v>
      </c>
      <c r="Z177" s="116">
        <v>1</v>
      </c>
      <c r="AA177" s="117">
        <f>Y177*Z177</f>
        <v>30000000</v>
      </c>
      <c r="AB177" s="118">
        <f>DAYS360(V177,W177)+1</f>
        <v>30</v>
      </c>
      <c r="AC177" s="118">
        <f t="shared" ref="AC177:AC219" si="27">IF(X177&gt;$R$45,(X177-V177)+1,($U$22-V177)+1)</f>
        <v>5</v>
      </c>
      <c r="AD177" s="118">
        <f>IF((AB177-AC177)&gt;$P$28,$P$28,(AB177-AC177))</f>
        <v>25</v>
      </c>
      <c r="AE177" s="117">
        <f>ROUND((AA177/AB177)*AD177,0)</f>
        <v>25000000</v>
      </c>
    </row>
    <row r="178" spans="2:31" ht="15.75" customHeight="1" thickBot="1" x14ac:dyDescent="0.3">
      <c r="B178" s="183" t="s">
        <v>103</v>
      </c>
      <c r="C178" s="184"/>
      <c r="D178" s="184"/>
      <c r="E178" s="184"/>
      <c r="F178" s="184"/>
      <c r="G178" s="185"/>
      <c r="H178" s="183" t="s">
        <v>104</v>
      </c>
      <c r="I178" s="184"/>
      <c r="J178" s="184"/>
      <c r="K178" s="184"/>
      <c r="L178" s="184"/>
      <c r="M178" s="185"/>
      <c r="N178" s="91" t="s">
        <v>105</v>
      </c>
      <c r="P178" s="99" t="s">
        <v>130</v>
      </c>
      <c r="Q178" s="99" t="s">
        <v>0</v>
      </c>
      <c r="R178" s="99" t="s">
        <v>131</v>
      </c>
      <c r="T178" s="113">
        <f>T177+1</f>
        <v>2</v>
      </c>
      <c r="U178" s="113" t="s">
        <v>132</v>
      </c>
      <c r="V178" s="114"/>
      <c r="W178" s="114">
        <f>U173</f>
        <v>0</v>
      </c>
      <c r="X178" s="114"/>
      <c r="Y178" s="115">
        <v>0</v>
      </c>
      <c r="Z178" s="116">
        <v>1</v>
      </c>
      <c r="AA178" s="117">
        <f t="shared" ref="AA178:AA219" si="28">Y178*Z178</f>
        <v>0</v>
      </c>
      <c r="AB178" s="118">
        <f t="shared" ref="AB178:AB219" si="29">DAYS360(V178,W178)+1</f>
        <v>1</v>
      </c>
      <c r="AC178" s="118">
        <f t="shared" si="27"/>
        <v>45615</v>
      </c>
      <c r="AD178" s="118">
        <f t="shared" ref="AD178:AD219" si="30">IF((AB178-AC178)&gt;$P$28,$P$28,(AB178-AC178))</f>
        <v>-45614</v>
      </c>
      <c r="AE178" s="117">
        <f t="shared" ref="AE178:AE219" si="31">ROUND((AA178/AB178)*AD178,0)</f>
        <v>0</v>
      </c>
    </row>
    <row r="179" spans="2:31" ht="15.75" customHeight="1" thickBot="1" x14ac:dyDescent="0.3">
      <c r="B179" s="186"/>
      <c r="C179" s="187"/>
      <c r="D179" s="187"/>
      <c r="E179" s="187"/>
      <c r="F179" s="187"/>
      <c r="G179" s="188"/>
      <c r="H179" s="434" t="s">
        <v>106</v>
      </c>
      <c r="I179" s="435"/>
      <c r="J179" s="435"/>
      <c r="K179" s="435"/>
      <c r="L179" s="435"/>
      <c r="M179" s="436"/>
      <c r="N179" s="79">
        <v>120</v>
      </c>
      <c r="P179" s="79">
        <v>360</v>
      </c>
      <c r="Q179" s="79" t="s">
        <v>3</v>
      </c>
      <c r="R179" s="79">
        <v>12</v>
      </c>
      <c r="T179" s="113">
        <f t="shared" ref="T179:T219" si="32">T178+1</f>
        <v>3</v>
      </c>
      <c r="U179" s="113" t="s">
        <v>134</v>
      </c>
      <c r="V179" s="114"/>
      <c r="W179" s="114">
        <f t="shared" ref="W179:W219" si="33">W178</f>
        <v>0</v>
      </c>
      <c r="X179" s="114"/>
      <c r="Y179" s="115">
        <v>0</v>
      </c>
      <c r="Z179" s="116">
        <v>1</v>
      </c>
      <c r="AA179" s="117">
        <f t="shared" si="28"/>
        <v>0</v>
      </c>
      <c r="AB179" s="118">
        <f t="shared" si="29"/>
        <v>1</v>
      </c>
      <c r="AC179" s="118">
        <f t="shared" si="27"/>
        <v>45615</v>
      </c>
      <c r="AD179" s="118">
        <f t="shared" si="30"/>
        <v>-45614</v>
      </c>
      <c r="AE179" s="117">
        <f t="shared" si="31"/>
        <v>0</v>
      </c>
    </row>
    <row r="180" spans="2:31" ht="15.75" customHeight="1" thickBot="1" x14ac:dyDescent="0.3">
      <c r="B180" s="189"/>
      <c r="C180" s="190"/>
      <c r="D180" s="190"/>
      <c r="E180" s="190"/>
      <c r="F180" s="190"/>
      <c r="G180" s="191"/>
      <c r="H180" s="434" t="s">
        <v>107</v>
      </c>
      <c r="I180" s="435"/>
      <c r="J180" s="435"/>
      <c r="K180" s="435"/>
      <c r="L180" s="435"/>
      <c r="M180" s="436"/>
      <c r="N180" s="79">
        <v>40</v>
      </c>
      <c r="T180" s="113">
        <f t="shared" si="32"/>
        <v>4</v>
      </c>
      <c r="U180" s="113" t="s">
        <v>138</v>
      </c>
      <c r="V180" s="114"/>
      <c r="W180" s="114">
        <f t="shared" si="33"/>
        <v>0</v>
      </c>
      <c r="X180" s="114"/>
      <c r="Y180" s="115">
        <v>0</v>
      </c>
      <c r="Z180" s="116">
        <v>1</v>
      </c>
      <c r="AA180" s="117">
        <f t="shared" si="28"/>
        <v>0</v>
      </c>
      <c r="AB180" s="118">
        <f t="shared" si="29"/>
        <v>1</v>
      </c>
      <c r="AC180" s="118">
        <f t="shared" si="27"/>
        <v>45615</v>
      </c>
      <c r="AD180" s="118">
        <f t="shared" si="30"/>
        <v>-45614</v>
      </c>
      <c r="AE180" s="117">
        <f t="shared" si="31"/>
        <v>0</v>
      </c>
    </row>
    <row r="181" spans="2:31" ht="15.75" customHeight="1" thickBot="1" x14ac:dyDescent="0.3">
      <c r="B181" s="189"/>
      <c r="C181" s="190"/>
      <c r="D181" s="190"/>
      <c r="E181" s="190"/>
      <c r="F181" s="190"/>
      <c r="G181" s="191"/>
      <c r="H181" s="434" t="s">
        <v>109</v>
      </c>
      <c r="I181" s="435"/>
      <c r="J181" s="435"/>
      <c r="K181" s="435"/>
      <c r="L181" s="435"/>
      <c r="M181" s="436"/>
      <c r="N181" s="79">
        <v>40</v>
      </c>
      <c r="O181" s="119"/>
      <c r="P181" s="99" t="s">
        <v>139</v>
      </c>
      <c r="Q181" s="99" t="s">
        <v>140</v>
      </c>
      <c r="R181" s="99" t="s">
        <v>141</v>
      </c>
      <c r="T181" s="113">
        <f t="shared" si="32"/>
        <v>5</v>
      </c>
      <c r="U181" s="113" t="s">
        <v>142</v>
      </c>
      <c r="V181" s="114"/>
      <c r="W181" s="114">
        <f t="shared" si="33"/>
        <v>0</v>
      </c>
      <c r="X181" s="114"/>
      <c r="Y181" s="115">
        <v>0</v>
      </c>
      <c r="Z181" s="116">
        <v>1</v>
      </c>
      <c r="AA181" s="117">
        <f t="shared" si="28"/>
        <v>0</v>
      </c>
      <c r="AB181" s="118">
        <f t="shared" si="29"/>
        <v>1</v>
      </c>
      <c r="AC181" s="118">
        <f t="shared" si="27"/>
        <v>45615</v>
      </c>
      <c r="AD181" s="118">
        <f t="shared" si="30"/>
        <v>-45614</v>
      </c>
      <c r="AE181" s="117">
        <f t="shared" si="31"/>
        <v>0</v>
      </c>
    </row>
    <row r="182" spans="2:31" ht="15.75" customHeight="1" thickBot="1" x14ac:dyDescent="0.3">
      <c r="B182" s="192"/>
      <c r="C182" s="193"/>
      <c r="D182" s="193"/>
      <c r="E182" s="193"/>
      <c r="F182" s="193"/>
      <c r="G182" s="194"/>
      <c r="H182" s="183" t="s">
        <v>44</v>
      </c>
      <c r="I182" s="184"/>
      <c r="J182" s="184"/>
      <c r="K182" s="184"/>
      <c r="L182" s="184"/>
      <c r="M182" s="185"/>
      <c r="N182" s="79">
        <f>SUM(N179:N181)</f>
        <v>200</v>
      </c>
      <c r="O182" s="119"/>
      <c r="P182" s="121">
        <v>125000</v>
      </c>
      <c r="Q182" s="108">
        <f>533287768/P182</f>
        <v>4266.3021440000002</v>
      </c>
      <c r="R182" s="108">
        <f>ROUNDUP(P182*Q182,-3)</f>
        <v>533288000</v>
      </c>
      <c r="T182" s="113">
        <f t="shared" si="32"/>
        <v>6</v>
      </c>
      <c r="U182" s="113" t="s">
        <v>143</v>
      </c>
      <c r="V182" s="114"/>
      <c r="W182" s="114">
        <f t="shared" si="33"/>
        <v>0</v>
      </c>
      <c r="X182" s="114"/>
      <c r="Y182" s="115">
        <v>0</v>
      </c>
      <c r="Z182" s="116">
        <v>1</v>
      </c>
      <c r="AA182" s="117">
        <f t="shared" si="28"/>
        <v>0</v>
      </c>
      <c r="AB182" s="118">
        <f t="shared" si="29"/>
        <v>1</v>
      </c>
      <c r="AC182" s="118">
        <f t="shared" si="27"/>
        <v>45615</v>
      </c>
      <c r="AD182" s="118">
        <f t="shared" si="30"/>
        <v>-45614</v>
      </c>
      <c r="AE182" s="117">
        <f t="shared" si="31"/>
        <v>0</v>
      </c>
    </row>
    <row r="183" spans="2:31" ht="15.75" customHeight="1" thickBot="1" x14ac:dyDescent="0.3">
      <c r="B183" s="183" t="s">
        <v>211</v>
      </c>
      <c r="C183" s="184"/>
      <c r="D183" s="184"/>
      <c r="E183" s="184"/>
      <c r="F183" s="184"/>
      <c r="G183" s="184"/>
      <c r="H183" s="184"/>
      <c r="I183" s="184"/>
      <c r="J183" s="184"/>
      <c r="K183" s="184"/>
      <c r="L183" s="184"/>
      <c r="M183" s="184"/>
      <c r="N183" s="185"/>
      <c r="O183" s="119"/>
      <c r="Q183" s="81" t="s">
        <v>144</v>
      </c>
      <c r="T183" s="113">
        <f t="shared" si="32"/>
        <v>7</v>
      </c>
      <c r="U183" s="113" t="s">
        <v>145</v>
      </c>
      <c r="V183" s="114"/>
      <c r="W183" s="114">
        <f t="shared" si="33"/>
        <v>0</v>
      </c>
      <c r="X183" s="114"/>
      <c r="Y183" s="115">
        <v>0</v>
      </c>
      <c r="Z183" s="116">
        <v>1</v>
      </c>
      <c r="AA183" s="117">
        <f t="shared" si="28"/>
        <v>0</v>
      </c>
      <c r="AB183" s="118">
        <f t="shared" si="29"/>
        <v>1</v>
      </c>
      <c r="AC183" s="118">
        <f t="shared" si="27"/>
        <v>45615</v>
      </c>
      <c r="AD183" s="118">
        <f t="shared" si="30"/>
        <v>-45614</v>
      </c>
      <c r="AE183" s="117">
        <f t="shared" si="31"/>
        <v>0</v>
      </c>
    </row>
    <row r="184" spans="2:31" ht="15.75" customHeight="1" thickBot="1" x14ac:dyDescent="0.3">
      <c r="B184" s="239" t="s">
        <v>125</v>
      </c>
      <c r="C184" s="240"/>
      <c r="D184" s="240"/>
      <c r="E184" s="240"/>
      <c r="F184" s="240"/>
      <c r="G184" s="240"/>
      <c r="H184" s="241"/>
      <c r="I184" s="183" t="s">
        <v>126</v>
      </c>
      <c r="J184" s="184"/>
      <c r="K184" s="184"/>
      <c r="L184" s="184"/>
      <c r="M184" s="184"/>
      <c r="N184" s="185"/>
      <c r="P184" s="183" t="s">
        <v>146</v>
      </c>
      <c r="Q184" s="185"/>
      <c r="R184" s="99" t="s">
        <v>147</v>
      </c>
      <c r="T184" s="113">
        <f t="shared" si="32"/>
        <v>8</v>
      </c>
      <c r="U184" s="113" t="s">
        <v>148</v>
      </c>
      <c r="V184" s="114"/>
      <c r="W184" s="114">
        <f t="shared" si="33"/>
        <v>0</v>
      </c>
      <c r="X184" s="114"/>
      <c r="Y184" s="115">
        <v>0</v>
      </c>
      <c r="Z184" s="116">
        <v>1</v>
      </c>
      <c r="AA184" s="117">
        <f t="shared" si="28"/>
        <v>0</v>
      </c>
      <c r="AB184" s="118">
        <f t="shared" si="29"/>
        <v>1</v>
      </c>
      <c r="AC184" s="118">
        <f t="shared" si="27"/>
        <v>45615</v>
      </c>
      <c r="AD184" s="118">
        <f t="shared" si="30"/>
        <v>-45614</v>
      </c>
      <c r="AE184" s="117">
        <f t="shared" si="31"/>
        <v>0</v>
      </c>
    </row>
    <row r="185" spans="2:31" ht="15.75" customHeight="1" thickBot="1" x14ac:dyDescent="0.3">
      <c r="B185" s="236" t="s">
        <v>127</v>
      </c>
      <c r="C185" s="237"/>
      <c r="D185" s="237"/>
      <c r="E185" s="237"/>
      <c r="F185" s="237"/>
      <c r="G185" s="237"/>
      <c r="H185" s="238"/>
      <c r="I185" s="168">
        <f>IF($H$10&gt;$R$31,$H$10,$R$31)</f>
        <v>533288000</v>
      </c>
      <c r="J185" s="169"/>
      <c r="K185" s="169"/>
      <c r="L185" s="169"/>
      <c r="M185" s="169"/>
      <c r="N185" s="170"/>
      <c r="P185" s="79">
        <v>0</v>
      </c>
      <c r="Q185" s="79">
        <v>3</v>
      </c>
      <c r="R185" s="79">
        <v>60</v>
      </c>
      <c r="T185" s="113">
        <f t="shared" si="32"/>
        <v>9</v>
      </c>
      <c r="U185" s="113" t="s">
        <v>149</v>
      </c>
      <c r="V185" s="114"/>
      <c r="W185" s="114">
        <f t="shared" si="33"/>
        <v>0</v>
      </c>
      <c r="X185" s="114"/>
      <c r="Y185" s="115">
        <v>0</v>
      </c>
      <c r="Z185" s="116">
        <v>1</v>
      </c>
      <c r="AA185" s="117">
        <f t="shared" si="28"/>
        <v>0</v>
      </c>
      <c r="AB185" s="118">
        <f t="shared" si="29"/>
        <v>1</v>
      </c>
      <c r="AC185" s="118">
        <f t="shared" si="27"/>
        <v>45615</v>
      </c>
      <c r="AD185" s="118">
        <f t="shared" si="30"/>
        <v>-45614</v>
      </c>
      <c r="AE185" s="117">
        <f t="shared" si="31"/>
        <v>0</v>
      </c>
    </row>
    <row r="186" spans="2:31" ht="15.75" customHeight="1" thickBot="1" x14ac:dyDescent="0.3">
      <c r="B186" s="183" t="s">
        <v>212</v>
      </c>
      <c r="C186" s="184"/>
      <c r="D186" s="184"/>
      <c r="E186" s="184"/>
      <c r="F186" s="184"/>
      <c r="G186" s="184"/>
      <c r="H186" s="184"/>
      <c r="I186" s="184"/>
      <c r="J186" s="184"/>
      <c r="K186" s="184"/>
      <c r="L186" s="184"/>
      <c r="M186" s="184"/>
      <c r="N186" s="185"/>
      <c r="P186" s="79">
        <v>3</v>
      </c>
      <c r="Q186" s="79">
        <v>6</v>
      </c>
      <c r="R186" s="79">
        <v>80</v>
      </c>
      <c r="T186" s="113">
        <f t="shared" si="32"/>
        <v>10</v>
      </c>
      <c r="U186" s="113" t="s">
        <v>150</v>
      </c>
      <c r="V186" s="114"/>
      <c r="W186" s="114">
        <f t="shared" si="33"/>
        <v>0</v>
      </c>
      <c r="X186" s="114"/>
      <c r="Y186" s="115">
        <v>0</v>
      </c>
      <c r="Z186" s="116">
        <v>1</v>
      </c>
      <c r="AA186" s="117">
        <f t="shared" si="28"/>
        <v>0</v>
      </c>
      <c r="AB186" s="118">
        <f t="shared" si="29"/>
        <v>1</v>
      </c>
      <c r="AC186" s="118">
        <f t="shared" si="27"/>
        <v>45615</v>
      </c>
      <c r="AD186" s="118">
        <f t="shared" si="30"/>
        <v>-45614</v>
      </c>
      <c r="AE186" s="117">
        <f t="shared" si="31"/>
        <v>0</v>
      </c>
    </row>
    <row r="187" spans="2:31" ht="15.75" customHeight="1" thickBot="1" x14ac:dyDescent="0.3">
      <c r="B187" s="183" t="s">
        <v>133</v>
      </c>
      <c r="C187" s="184"/>
      <c r="D187" s="184"/>
      <c r="E187" s="184"/>
      <c r="F187" s="184"/>
      <c r="G187" s="184"/>
      <c r="H187" s="184"/>
      <c r="I187" s="184"/>
      <c r="J187" s="184"/>
      <c r="K187" s="184"/>
      <c r="L187" s="184"/>
      <c r="M187" s="184"/>
      <c r="N187" s="185"/>
      <c r="P187" s="79">
        <v>6</v>
      </c>
      <c r="Q187" s="79">
        <v>10</v>
      </c>
      <c r="R187" s="79">
        <v>100</v>
      </c>
      <c r="T187" s="113">
        <f t="shared" si="32"/>
        <v>11</v>
      </c>
      <c r="U187" s="113" t="s">
        <v>151</v>
      </c>
      <c r="V187" s="114"/>
      <c r="W187" s="114">
        <f t="shared" si="33"/>
        <v>0</v>
      </c>
      <c r="X187" s="114"/>
      <c r="Y187" s="115">
        <v>0</v>
      </c>
      <c r="Z187" s="116">
        <v>1</v>
      </c>
      <c r="AA187" s="117">
        <f t="shared" si="28"/>
        <v>0</v>
      </c>
      <c r="AB187" s="118">
        <f t="shared" si="29"/>
        <v>1</v>
      </c>
      <c r="AC187" s="118">
        <f t="shared" si="27"/>
        <v>45615</v>
      </c>
      <c r="AD187" s="118">
        <f t="shared" si="30"/>
        <v>-45614</v>
      </c>
      <c r="AE187" s="117">
        <f t="shared" si="31"/>
        <v>0</v>
      </c>
    </row>
    <row r="188" spans="2:31" ht="15.75" customHeight="1" thickBot="1" x14ac:dyDescent="0.25">
      <c r="B188" s="122" t="s">
        <v>135</v>
      </c>
      <c r="C188" s="160" t="s">
        <v>136</v>
      </c>
      <c r="D188" s="122" t="s">
        <v>135</v>
      </c>
      <c r="E188" s="160" t="s">
        <v>136</v>
      </c>
      <c r="F188" s="122" t="s">
        <v>135</v>
      </c>
      <c r="G188" s="160" t="s">
        <v>136</v>
      </c>
      <c r="H188" s="122" t="s">
        <v>135</v>
      </c>
      <c r="I188" s="160" t="s">
        <v>136</v>
      </c>
      <c r="J188" s="122" t="s">
        <v>135</v>
      </c>
      <c r="K188" s="160" t="s">
        <v>136</v>
      </c>
      <c r="L188" s="122" t="s">
        <v>135</v>
      </c>
      <c r="M188" s="160" t="s">
        <v>136</v>
      </c>
      <c r="N188" s="195" t="s">
        <v>137</v>
      </c>
      <c r="P188" s="79">
        <v>10</v>
      </c>
      <c r="Q188" s="79"/>
      <c r="R188" s="79">
        <v>120</v>
      </c>
      <c r="T188" s="113">
        <f t="shared" si="32"/>
        <v>12</v>
      </c>
      <c r="U188" s="113" t="s">
        <v>152</v>
      </c>
      <c r="V188" s="114"/>
      <c r="W188" s="114">
        <f t="shared" si="33"/>
        <v>0</v>
      </c>
      <c r="X188" s="114"/>
      <c r="Y188" s="115">
        <v>0</v>
      </c>
      <c r="Z188" s="116">
        <v>1</v>
      </c>
      <c r="AA188" s="117">
        <f t="shared" si="28"/>
        <v>0</v>
      </c>
      <c r="AB188" s="118">
        <f t="shared" si="29"/>
        <v>1</v>
      </c>
      <c r="AC188" s="118">
        <f t="shared" si="27"/>
        <v>45615</v>
      </c>
      <c r="AD188" s="118">
        <f t="shared" si="30"/>
        <v>-45614</v>
      </c>
      <c r="AE188" s="117">
        <f t="shared" si="31"/>
        <v>0</v>
      </c>
    </row>
    <row r="189" spans="2:31" ht="15.75" customHeight="1" thickBot="1" x14ac:dyDescent="0.25">
      <c r="B189" s="123">
        <v>1</v>
      </c>
      <c r="C189" s="159"/>
      <c r="D189" s="123">
        <v>22</v>
      </c>
      <c r="E189" s="159"/>
      <c r="F189" s="123">
        <v>43</v>
      </c>
      <c r="G189" s="158"/>
      <c r="H189" s="123">
        <v>64</v>
      </c>
      <c r="I189" s="158"/>
      <c r="J189" s="123">
        <v>85</v>
      </c>
      <c r="K189" s="158"/>
      <c r="L189" s="123">
        <v>106</v>
      </c>
      <c r="M189" s="158"/>
      <c r="N189" s="196"/>
      <c r="P189" s="183" t="s">
        <v>153</v>
      </c>
      <c r="Q189" s="185"/>
      <c r="R189" s="99" t="s">
        <v>147</v>
      </c>
      <c r="T189" s="113">
        <f t="shared" si="32"/>
        <v>13</v>
      </c>
      <c r="U189" s="113" t="s">
        <v>154</v>
      </c>
      <c r="V189" s="114"/>
      <c r="W189" s="114">
        <f t="shared" si="33"/>
        <v>0</v>
      </c>
      <c r="X189" s="114"/>
      <c r="Y189" s="115">
        <v>0</v>
      </c>
      <c r="Z189" s="116">
        <v>1</v>
      </c>
      <c r="AA189" s="117">
        <f t="shared" si="28"/>
        <v>0</v>
      </c>
      <c r="AB189" s="118">
        <f t="shared" si="29"/>
        <v>1</v>
      </c>
      <c r="AC189" s="118">
        <f t="shared" si="27"/>
        <v>45615</v>
      </c>
      <c r="AD189" s="118">
        <f t="shared" si="30"/>
        <v>-45614</v>
      </c>
      <c r="AE189" s="117">
        <f t="shared" si="31"/>
        <v>0</v>
      </c>
    </row>
    <row r="190" spans="2:31" ht="15.75" customHeight="1" thickBot="1" x14ac:dyDescent="0.25">
      <c r="B190" s="123">
        <f>+B189+1</f>
        <v>2</v>
      </c>
      <c r="C190" s="159"/>
      <c r="D190" s="123">
        <f>+D189+1</f>
        <v>23</v>
      </c>
      <c r="E190" s="159"/>
      <c r="F190" s="123">
        <f>+F189+1</f>
        <v>44</v>
      </c>
      <c r="G190" s="158"/>
      <c r="H190" s="123">
        <f>+H189+1</f>
        <v>65</v>
      </c>
      <c r="I190" s="158"/>
      <c r="J190" s="123">
        <f>+J189+1</f>
        <v>86</v>
      </c>
      <c r="K190" s="158"/>
      <c r="L190" s="123">
        <f>+L189+1</f>
        <v>107</v>
      </c>
      <c r="M190" s="158"/>
      <c r="N190" s="196"/>
      <c r="P190" s="124">
        <v>0</v>
      </c>
      <c r="Q190" s="124">
        <v>0.5</v>
      </c>
      <c r="R190" s="79">
        <v>20</v>
      </c>
      <c r="T190" s="113">
        <f t="shared" si="32"/>
        <v>14</v>
      </c>
      <c r="U190" s="113" t="s">
        <v>155</v>
      </c>
      <c r="V190" s="114"/>
      <c r="W190" s="114">
        <f t="shared" si="33"/>
        <v>0</v>
      </c>
      <c r="X190" s="114"/>
      <c r="Y190" s="115">
        <v>0</v>
      </c>
      <c r="Z190" s="116">
        <v>1</v>
      </c>
      <c r="AA190" s="117">
        <f t="shared" si="28"/>
        <v>0</v>
      </c>
      <c r="AB190" s="118">
        <f t="shared" si="29"/>
        <v>1</v>
      </c>
      <c r="AC190" s="118">
        <f t="shared" si="27"/>
        <v>45615</v>
      </c>
      <c r="AD190" s="118">
        <f t="shared" si="30"/>
        <v>-45614</v>
      </c>
      <c r="AE190" s="117">
        <f t="shared" si="31"/>
        <v>0</v>
      </c>
    </row>
    <row r="191" spans="2:31" ht="15.75" customHeight="1" thickBot="1" x14ac:dyDescent="0.25">
      <c r="B191" s="123">
        <f t="shared" ref="B191:B209" si="34">+B190+1</f>
        <v>3</v>
      </c>
      <c r="C191" s="159"/>
      <c r="D191" s="123">
        <f t="shared" ref="D191:L209" si="35">+D190+1</f>
        <v>24</v>
      </c>
      <c r="E191" s="159"/>
      <c r="F191" s="123">
        <f t="shared" si="35"/>
        <v>45</v>
      </c>
      <c r="G191" s="158"/>
      <c r="H191" s="123">
        <f t="shared" si="35"/>
        <v>66</v>
      </c>
      <c r="I191" s="158"/>
      <c r="J191" s="123">
        <f t="shared" si="35"/>
        <v>87</v>
      </c>
      <c r="K191" s="158"/>
      <c r="L191" s="123">
        <f t="shared" si="35"/>
        <v>108</v>
      </c>
      <c r="M191" s="158"/>
      <c r="N191" s="196"/>
      <c r="P191" s="124">
        <v>0.5</v>
      </c>
      <c r="Q191" s="124">
        <v>0.75</v>
      </c>
      <c r="R191" s="79">
        <v>25</v>
      </c>
      <c r="T191" s="113">
        <f t="shared" si="32"/>
        <v>15</v>
      </c>
      <c r="U191" s="113" t="s">
        <v>156</v>
      </c>
      <c r="V191" s="114"/>
      <c r="W191" s="114">
        <f t="shared" si="33"/>
        <v>0</v>
      </c>
      <c r="X191" s="114"/>
      <c r="Y191" s="115">
        <v>0</v>
      </c>
      <c r="Z191" s="116">
        <v>1</v>
      </c>
      <c r="AA191" s="117">
        <f t="shared" si="28"/>
        <v>0</v>
      </c>
      <c r="AB191" s="118">
        <f t="shared" si="29"/>
        <v>1</v>
      </c>
      <c r="AC191" s="118">
        <f t="shared" si="27"/>
        <v>45615</v>
      </c>
      <c r="AD191" s="118">
        <f t="shared" si="30"/>
        <v>-45614</v>
      </c>
      <c r="AE191" s="117">
        <f t="shared" si="31"/>
        <v>0</v>
      </c>
    </row>
    <row r="192" spans="2:31" ht="15.75" customHeight="1" thickBot="1" x14ac:dyDescent="0.25">
      <c r="B192" s="123">
        <f t="shared" si="34"/>
        <v>4</v>
      </c>
      <c r="C192" s="159"/>
      <c r="D192" s="123">
        <f t="shared" si="35"/>
        <v>25</v>
      </c>
      <c r="E192" s="159"/>
      <c r="F192" s="123">
        <f t="shared" si="35"/>
        <v>46</v>
      </c>
      <c r="G192" s="158"/>
      <c r="H192" s="123">
        <f t="shared" si="35"/>
        <v>67</v>
      </c>
      <c r="I192" s="158"/>
      <c r="J192" s="123">
        <f t="shared" si="35"/>
        <v>88</v>
      </c>
      <c r="K192" s="158"/>
      <c r="L192" s="123">
        <f t="shared" si="35"/>
        <v>109</v>
      </c>
      <c r="M192" s="158"/>
      <c r="N192" s="196"/>
      <c r="P192" s="124">
        <v>0.75</v>
      </c>
      <c r="Q192" s="124">
        <v>1</v>
      </c>
      <c r="R192" s="79">
        <v>30</v>
      </c>
      <c r="T192" s="113">
        <f t="shared" si="32"/>
        <v>16</v>
      </c>
      <c r="U192" s="113" t="s">
        <v>157</v>
      </c>
      <c r="V192" s="114"/>
      <c r="W192" s="114">
        <f t="shared" si="33"/>
        <v>0</v>
      </c>
      <c r="X192" s="114"/>
      <c r="Y192" s="115">
        <v>0</v>
      </c>
      <c r="Z192" s="116">
        <v>1</v>
      </c>
      <c r="AA192" s="117">
        <f t="shared" si="28"/>
        <v>0</v>
      </c>
      <c r="AB192" s="118">
        <f t="shared" si="29"/>
        <v>1</v>
      </c>
      <c r="AC192" s="118">
        <f t="shared" si="27"/>
        <v>45615</v>
      </c>
      <c r="AD192" s="118">
        <f t="shared" si="30"/>
        <v>-45614</v>
      </c>
      <c r="AE192" s="117">
        <f t="shared" si="31"/>
        <v>0</v>
      </c>
    </row>
    <row r="193" spans="2:31" ht="15.75" customHeight="1" thickBot="1" x14ac:dyDescent="0.25">
      <c r="B193" s="123">
        <f t="shared" si="34"/>
        <v>5</v>
      </c>
      <c r="C193" s="159"/>
      <c r="D193" s="123">
        <f t="shared" si="35"/>
        <v>26</v>
      </c>
      <c r="E193" s="159"/>
      <c r="F193" s="123">
        <f t="shared" si="35"/>
        <v>47</v>
      </c>
      <c r="G193" s="158"/>
      <c r="H193" s="123">
        <f t="shared" si="35"/>
        <v>68</v>
      </c>
      <c r="I193" s="158"/>
      <c r="J193" s="123">
        <f t="shared" si="35"/>
        <v>89</v>
      </c>
      <c r="K193" s="158"/>
      <c r="L193" s="123">
        <f t="shared" si="35"/>
        <v>110</v>
      </c>
      <c r="M193" s="158"/>
      <c r="N193" s="196"/>
      <c r="P193" s="124">
        <v>1</v>
      </c>
      <c r="Q193" s="124">
        <v>1.5</v>
      </c>
      <c r="R193" s="79">
        <v>35</v>
      </c>
      <c r="T193" s="113">
        <f t="shared" si="32"/>
        <v>17</v>
      </c>
      <c r="U193" s="113" t="s">
        <v>158</v>
      </c>
      <c r="V193" s="114"/>
      <c r="W193" s="114">
        <f t="shared" si="33"/>
        <v>0</v>
      </c>
      <c r="X193" s="114"/>
      <c r="Y193" s="115">
        <v>0</v>
      </c>
      <c r="Z193" s="116">
        <v>1</v>
      </c>
      <c r="AA193" s="117">
        <f t="shared" si="28"/>
        <v>0</v>
      </c>
      <c r="AB193" s="118">
        <f t="shared" si="29"/>
        <v>1</v>
      </c>
      <c r="AC193" s="118">
        <f t="shared" si="27"/>
        <v>45615</v>
      </c>
      <c r="AD193" s="118">
        <f t="shared" si="30"/>
        <v>-45614</v>
      </c>
      <c r="AE193" s="117">
        <f t="shared" si="31"/>
        <v>0</v>
      </c>
    </row>
    <row r="194" spans="2:31" ht="15.75" customHeight="1" thickBot="1" x14ac:dyDescent="0.25">
      <c r="B194" s="123">
        <f t="shared" si="34"/>
        <v>6</v>
      </c>
      <c r="C194" s="159"/>
      <c r="D194" s="123">
        <f t="shared" si="35"/>
        <v>27</v>
      </c>
      <c r="E194" s="159"/>
      <c r="F194" s="123">
        <f t="shared" si="35"/>
        <v>48</v>
      </c>
      <c r="G194" s="158"/>
      <c r="H194" s="123">
        <f t="shared" si="35"/>
        <v>69</v>
      </c>
      <c r="I194" s="158"/>
      <c r="J194" s="123">
        <f t="shared" si="35"/>
        <v>90</v>
      </c>
      <c r="K194" s="158"/>
      <c r="L194" s="123">
        <f t="shared" si="35"/>
        <v>111</v>
      </c>
      <c r="M194" s="158"/>
      <c r="N194" s="196"/>
      <c r="P194" s="124">
        <v>1.5</v>
      </c>
      <c r="Q194" s="124"/>
      <c r="R194" s="79">
        <v>40</v>
      </c>
      <c r="T194" s="113">
        <f t="shared" si="32"/>
        <v>18</v>
      </c>
      <c r="U194" s="113" t="s">
        <v>159</v>
      </c>
      <c r="V194" s="114"/>
      <c r="W194" s="114">
        <f t="shared" si="33"/>
        <v>0</v>
      </c>
      <c r="X194" s="114"/>
      <c r="Y194" s="115">
        <v>0</v>
      </c>
      <c r="Z194" s="116">
        <v>1</v>
      </c>
      <c r="AA194" s="117">
        <f t="shared" si="28"/>
        <v>0</v>
      </c>
      <c r="AB194" s="118">
        <f t="shared" si="29"/>
        <v>1</v>
      </c>
      <c r="AC194" s="118">
        <f t="shared" si="27"/>
        <v>45615</v>
      </c>
      <c r="AD194" s="118">
        <f t="shared" si="30"/>
        <v>-45614</v>
      </c>
      <c r="AE194" s="117">
        <f t="shared" si="31"/>
        <v>0</v>
      </c>
    </row>
    <row r="195" spans="2:31" ht="15.75" customHeight="1" thickBot="1" x14ac:dyDescent="0.25">
      <c r="B195" s="123">
        <f t="shared" si="34"/>
        <v>7</v>
      </c>
      <c r="C195" s="159"/>
      <c r="D195" s="123">
        <f t="shared" si="35"/>
        <v>28</v>
      </c>
      <c r="E195" s="159"/>
      <c r="F195" s="123">
        <f t="shared" si="35"/>
        <v>49</v>
      </c>
      <c r="G195" s="158"/>
      <c r="H195" s="123">
        <f t="shared" si="35"/>
        <v>70</v>
      </c>
      <c r="I195" s="158"/>
      <c r="J195" s="123">
        <f t="shared" si="35"/>
        <v>91</v>
      </c>
      <c r="K195" s="158"/>
      <c r="L195" s="123">
        <f t="shared" si="35"/>
        <v>112</v>
      </c>
      <c r="M195" s="158"/>
      <c r="N195" s="196"/>
      <c r="P195" s="183" t="s">
        <v>160</v>
      </c>
      <c r="Q195" s="185"/>
      <c r="R195" s="99" t="s">
        <v>147</v>
      </c>
      <c r="T195" s="113">
        <f t="shared" si="32"/>
        <v>19</v>
      </c>
      <c r="U195" s="113" t="s">
        <v>161</v>
      </c>
      <c r="V195" s="114"/>
      <c r="W195" s="114">
        <f t="shared" si="33"/>
        <v>0</v>
      </c>
      <c r="X195" s="114"/>
      <c r="Y195" s="115">
        <v>0</v>
      </c>
      <c r="Z195" s="116">
        <v>1</v>
      </c>
      <c r="AA195" s="117">
        <f t="shared" si="28"/>
        <v>0</v>
      </c>
      <c r="AB195" s="118">
        <f t="shared" si="29"/>
        <v>1</v>
      </c>
      <c r="AC195" s="118">
        <f t="shared" si="27"/>
        <v>45615</v>
      </c>
      <c r="AD195" s="118">
        <f t="shared" si="30"/>
        <v>-45614</v>
      </c>
      <c r="AE195" s="117">
        <f t="shared" si="31"/>
        <v>0</v>
      </c>
    </row>
    <row r="196" spans="2:31" ht="15.75" customHeight="1" thickBot="1" x14ac:dyDescent="0.25">
      <c r="B196" s="123">
        <f t="shared" si="34"/>
        <v>8</v>
      </c>
      <c r="C196" s="159"/>
      <c r="D196" s="123">
        <f t="shared" si="35"/>
        <v>29</v>
      </c>
      <c r="E196" s="159"/>
      <c r="F196" s="123">
        <f t="shared" si="35"/>
        <v>50</v>
      </c>
      <c r="G196" s="158"/>
      <c r="H196" s="123">
        <f t="shared" si="35"/>
        <v>71</v>
      </c>
      <c r="I196" s="158"/>
      <c r="J196" s="123">
        <f t="shared" si="35"/>
        <v>92</v>
      </c>
      <c r="K196" s="158"/>
      <c r="L196" s="123">
        <f t="shared" si="35"/>
        <v>113</v>
      </c>
      <c r="M196" s="158"/>
      <c r="N196" s="196"/>
      <c r="P196" s="79"/>
      <c r="Q196" s="79"/>
      <c r="R196" s="79">
        <v>0</v>
      </c>
      <c r="T196" s="113">
        <f t="shared" si="32"/>
        <v>20</v>
      </c>
      <c r="U196" s="113" t="s">
        <v>162</v>
      </c>
      <c r="V196" s="114"/>
      <c r="W196" s="114">
        <f t="shared" si="33"/>
        <v>0</v>
      </c>
      <c r="X196" s="114"/>
      <c r="Y196" s="115">
        <v>0</v>
      </c>
      <c r="Z196" s="116">
        <v>1</v>
      </c>
      <c r="AA196" s="117">
        <f t="shared" si="28"/>
        <v>0</v>
      </c>
      <c r="AB196" s="118">
        <f t="shared" si="29"/>
        <v>1</v>
      </c>
      <c r="AC196" s="118">
        <f t="shared" si="27"/>
        <v>45615</v>
      </c>
      <c r="AD196" s="118">
        <f t="shared" si="30"/>
        <v>-45614</v>
      </c>
      <c r="AE196" s="117">
        <f t="shared" si="31"/>
        <v>0</v>
      </c>
    </row>
    <row r="197" spans="2:31" ht="15.75" customHeight="1" thickBot="1" x14ac:dyDescent="0.25">
      <c r="B197" s="123">
        <f t="shared" si="34"/>
        <v>9</v>
      </c>
      <c r="C197" s="159"/>
      <c r="D197" s="123">
        <f t="shared" si="35"/>
        <v>30</v>
      </c>
      <c r="E197" s="159"/>
      <c r="F197" s="123">
        <f t="shared" si="35"/>
        <v>51</v>
      </c>
      <c r="G197" s="158"/>
      <c r="H197" s="123">
        <f t="shared" si="35"/>
        <v>72</v>
      </c>
      <c r="I197" s="158"/>
      <c r="J197" s="123">
        <f t="shared" si="35"/>
        <v>93</v>
      </c>
      <c r="K197" s="158"/>
      <c r="L197" s="123">
        <f t="shared" si="35"/>
        <v>114</v>
      </c>
      <c r="M197" s="158"/>
      <c r="N197" s="196"/>
      <c r="P197" s="79">
        <v>0</v>
      </c>
      <c r="Q197" s="79">
        <v>5</v>
      </c>
      <c r="R197" s="79">
        <v>20</v>
      </c>
      <c r="T197" s="113">
        <f t="shared" si="32"/>
        <v>21</v>
      </c>
      <c r="U197" s="113" t="s">
        <v>163</v>
      </c>
      <c r="V197" s="114"/>
      <c r="W197" s="114">
        <f t="shared" si="33"/>
        <v>0</v>
      </c>
      <c r="X197" s="114"/>
      <c r="Y197" s="115">
        <v>0</v>
      </c>
      <c r="Z197" s="116">
        <v>1</v>
      </c>
      <c r="AA197" s="117">
        <f t="shared" si="28"/>
        <v>0</v>
      </c>
      <c r="AB197" s="118">
        <f t="shared" si="29"/>
        <v>1</v>
      </c>
      <c r="AC197" s="118">
        <f t="shared" si="27"/>
        <v>45615</v>
      </c>
      <c r="AD197" s="118">
        <f t="shared" si="30"/>
        <v>-45614</v>
      </c>
      <c r="AE197" s="117">
        <f t="shared" si="31"/>
        <v>0</v>
      </c>
    </row>
    <row r="198" spans="2:31" ht="15.75" customHeight="1" thickBot="1" x14ac:dyDescent="0.25">
      <c r="B198" s="123">
        <f t="shared" si="34"/>
        <v>10</v>
      </c>
      <c r="C198" s="159"/>
      <c r="D198" s="123">
        <f t="shared" si="35"/>
        <v>31</v>
      </c>
      <c r="E198" s="159"/>
      <c r="F198" s="123">
        <f t="shared" si="35"/>
        <v>52</v>
      </c>
      <c r="G198" s="158"/>
      <c r="H198" s="123">
        <f t="shared" si="35"/>
        <v>73</v>
      </c>
      <c r="I198" s="158"/>
      <c r="J198" s="123">
        <f t="shared" si="35"/>
        <v>94</v>
      </c>
      <c r="K198" s="158"/>
      <c r="L198" s="123">
        <f t="shared" si="35"/>
        <v>115</v>
      </c>
      <c r="M198" s="158"/>
      <c r="N198" s="196"/>
      <c r="P198" s="79">
        <v>5</v>
      </c>
      <c r="Q198" s="79">
        <v>10</v>
      </c>
      <c r="R198" s="79">
        <v>30</v>
      </c>
      <c r="T198" s="113">
        <f t="shared" si="32"/>
        <v>22</v>
      </c>
      <c r="U198" s="113" t="s">
        <v>164</v>
      </c>
      <c r="V198" s="114"/>
      <c r="W198" s="114">
        <f t="shared" si="33"/>
        <v>0</v>
      </c>
      <c r="X198" s="114"/>
      <c r="Y198" s="115">
        <v>0</v>
      </c>
      <c r="Z198" s="116">
        <v>1</v>
      </c>
      <c r="AA198" s="117">
        <f t="shared" si="28"/>
        <v>0</v>
      </c>
      <c r="AB198" s="118">
        <f t="shared" si="29"/>
        <v>1</v>
      </c>
      <c r="AC198" s="118">
        <f t="shared" si="27"/>
        <v>45615</v>
      </c>
      <c r="AD198" s="118">
        <f t="shared" si="30"/>
        <v>-45614</v>
      </c>
      <c r="AE198" s="117">
        <f t="shared" si="31"/>
        <v>0</v>
      </c>
    </row>
    <row r="199" spans="2:31" ht="15.75" customHeight="1" thickBot="1" x14ac:dyDescent="0.25">
      <c r="B199" s="123">
        <f t="shared" si="34"/>
        <v>11</v>
      </c>
      <c r="C199" s="158"/>
      <c r="D199" s="123">
        <f t="shared" si="35"/>
        <v>32</v>
      </c>
      <c r="E199" s="158"/>
      <c r="F199" s="123">
        <f t="shared" si="35"/>
        <v>53</v>
      </c>
      <c r="G199" s="158"/>
      <c r="H199" s="123">
        <f t="shared" si="35"/>
        <v>74</v>
      </c>
      <c r="I199" s="158"/>
      <c r="J199" s="123">
        <f t="shared" si="35"/>
        <v>95</v>
      </c>
      <c r="K199" s="158"/>
      <c r="L199" s="123">
        <f t="shared" si="35"/>
        <v>116</v>
      </c>
      <c r="M199" s="158"/>
      <c r="N199" s="196"/>
      <c r="P199" s="79">
        <v>10</v>
      </c>
      <c r="Q199" s="79"/>
      <c r="R199" s="79">
        <v>40</v>
      </c>
      <c r="T199" s="113">
        <f t="shared" si="32"/>
        <v>23</v>
      </c>
      <c r="U199" s="113" t="s">
        <v>165</v>
      </c>
      <c r="V199" s="114"/>
      <c r="W199" s="114">
        <f t="shared" si="33"/>
        <v>0</v>
      </c>
      <c r="X199" s="114"/>
      <c r="Y199" s="115">
        <v>0</v>
      </c>
      <c r="Z199" s="116">
        <v>1</v>
      </c>
      <c r="AA199" s="117">
        <f t="shared" si="28"/>
        <v>0</v>
      </c>
      <c r="AB199" s="118">
        <f t="shared" si="29"/>
        <v>1</v>
      </c>
      <c r="AC199" s="118">
        <f t="shared" si="27"/>
        <v>45615</v>
      </c>
      <c r="AD199" s="118">
        <f t="shared" si="30"/>
        <v>-45614</v>
      </c>
      <c r="AE199" s="117">
        <f t="shared" si="31"/>
        <v>0</v>
      </c>
    </row>
    <row r="200" spans="2:31" ht="15.75" customHeight="1" thickBot="1" x14ac:dyDescent="0.25">
      <c r="B200" s="123">
        <f t="shared" si="34"/>
        <v>12</v>
      </c>
      <c r="C200" s="158"/>
      <c r="D200" s="123">
        <f t="shared" si="35"/>
        <v>33</v>
      </c>
      <c r="E200" s="158"/>
      <c r="F200" s="123">
        <f t="shared" si="35"/>
        <v>54</v>
      </c>
      <c r="G200" s="158"/>
      <c r="H200" s="123">
        <f t="shared" si="35"/>
        <v>75</v>
      </c>
      <c r="I200" s="158"/>
      <c r="J200" s="123">
        <f t="shared" si="35"/>
        <v>96</v>
      </c>
      <c r="K200" s="158"/>
      <c r="L200" s="123">
        <f t="shared" si="35"/>
        <v>117</v>
      </c>
      <c r="M200" s="158"/>
      <c r="N200" s="196"/>
      <c r="T200" s="113">
        <f t="shared" si="32"/>
        <v>24</v>
      </c>
      <c r="U200" s="113" t="s">
        <v>166</v>
      </c>
      <c r="V200" s="114"/>
      <c r="W200" s="114">
        <f t="shared" si="33"/>
        <v>0</v>
      </c>
      <c r="X200" s="114"/>
      <c r="Y200" s="115">
        <v>0</v>
      </c>
      <c r="Z200" s="116">
        <v>1</v>
      </c>
      <c r="AA200" s="117">
        <f t="shared" si="28"/>
        <v>0</v>
      </c>
      <c r="AB200" s="118">
        <f t="shared" si="29"/>
        <v>1</v>
      </c>
      <c r="AC200" s="118">
        <f t="shared" si="27"/>
        <v>45615</v>
      </c>
      <c r="AD200" s="118">
        <f t="shared" si="30"/>
        <v>-45614</v>
      </c>
      <c r="AE200" s="117">
        <f t="shared" si="31"/>
        <v>0</v>
      </c>
    </row>
    <row r="201" spans="2:31" ht="15.75" customHeight="1" thickBot="1" x14ac:dyDescent="0.25">
      <c r="B201" s="123">
        <f t="shared" si="34"/>
        <v>13</v>
      </c>
      <c r="C201" s="158"/>
      <c r="D201" s="123">
        <f t="shared" si="35"/>
        <v>34</v>
      </c>
      <c r="E201" s="158"/>
      <c r="F201" s="123">
        <f t="shared" si="35"/>
        <v>55</v>
      </c>
      <c r="G201" s="158"/>
      <c r="H201" s="123">
        <f t="shared" si="35"/>
        <v>76</v>
      </c>
      <c r="I201" s="158"/>
      <c r="J201" s="123">
        <f t="shared" si="35"/>
        <v>97</v>
      </c>
      <c r="K201" s="158"/>
      <c r="L201" s="123">
        <f t="shared" si="35"/>
        <v>118</v>
      </c>
      <c r="M201" s="158"/>
      <c r="N201" s="196"/>
      <c r="R201" s="130" t="s">
        <v>213</v>
      </c>
      <c r="T201" s="113">
        <f t="shared" si="32"/>
        <v>25</v>
      </c>
      <c r="U201" s="113" t="s">
        <v>168</v>
      </c>
      <c r="V201" s="114"/>
      <c r="W201" s="114">
        <f t="shared" si="33"/>
        <v>0</v>
      </c>
      <c r="X201" s="114"/>
      <c r="Y201" s="115">
        <v>0</v>
      </c>
      <c r="Z201" s="116">
        <v>1</v>
      </c>
      <c r="AA201" s="117">
        <f t="shared" si="28"/>
        <v>0</v>
      </c>
      <c r="AB201" s="118">
        <f t="shared" si="29"/>
        <v>1</v>
      </c>
      <c r="AC201" s="118">
        <f t="shared" si="27"/>
        <v>45615</v>
      </c>
      <c r="AD201" s="118">
        <f t="shared" si="30"/>
        <v>-45614</v>
      </c>
      <c r="AE201" s="117">
        <f t="shared" si="31"/>
        <v>0</v>
      </c>
    </row>
    <row r="202" spans="2:31" ht="15.75" customHeight="1" thickBot="1" x14ac:dyDescent="0.25">
      <c r="B202" s="123">
        <f t="shared" si="34"/>
        <v>14</v>
      </c>
      <c r="C202" s="158"/>
      <c r="D202" s="123">
        <f t="shared" si="35"/>
        <v>35</v>
      </c>
      <c r="E202" s="158"/>
      <c r="F202" s="123">
        <f t="shared" si="35"/>
        <v>56</v>
      </c>
      <c r="G202" s="158"/>
      <c r="H202" s="123">
        <f t="shared" si="35"/>
        <v>77</v>
      </c>
      <c r="I202" s="158"/>
      <c r="J202" s="123">
        <f t="shared" si="35"/>
        <v>98</v>
      </c>
      <c r="K202" s="158"/>
      <c r="L202" s="123">
        <f t="shared" si="35"/>
        <v>119</v>
      </c>
      <c r="M202" s="158"/>
      <c r="N202" s="196"/>
      <c r="P202" s="82" t="s">
        <v>201</v>
      </c>
      <c r="R202" s="131">
        <v>17282722097</v>
      </c>
      <c r="T202" s="113">
        <f t="shared" si="32"/>
        <v>26</v>
      </c>
      <c r="U202" s="113" t="s">
        <v>170</v>
      </c>
      <c r="V202" s="114"/>
      <c r="W202" s="114">
        <f t="shared" si="33"/>
        <v>0</v>
      </c>
      <c r="X202" s="114"/>
      <c r="Y202" s="115">
        <v>0</v>
      </c>
      <c r="Z202" s="116">
        <v>1</v>
      </c>
      <c r="AA202" s="117">
        <f t="shared" si="28"/>
        <v>0</v>
      </c>
      <c r="AB202" s="118">
        <f t="shared" si="29"/>
        <v>1</v>
      </c>
      <c r="AC202" s="118">
        <f t="shared" si="27"/>
        <v>45615</v>
      </c>
      <c r="AD202" s="118">
        <f t="shared" si="30"/>
        <v>-45614</v>
      </c>
      <c r="AE202" s="117">
        <f t="shared" si="31"/>
        <v>0</v>
      </c>
    </row>
    <row r="203" spans="2:31" ht="15.75" customHeight="1" thickBot="1" x14ac:dyDescent="0.25">
      <c r="B203" s="123">
        <f t="shared" si="34"/>
        <v>15</v>
      </c>
      <c r="C203" s="158"/>
      <c r="D203" s="123">
        <f t="shared" si="35"/>
        <v>36</v>
      </c>
      <c r="E203" s="158"/>
      <c r="F203" s="123">
        <f t="shared" si="35"/>
        <v>57</v>
      </c>
      <c r="G203" s="158"/>
      <c r="H203" s="123">
        <f t="shared" si="35"/>
        <v>78</v>
      </c>
      <c r="I203" s="158"/>
      <c r="J203" s="123">
        <f t="shared" si="35"/>
        <v>99</v>
      </c>
      <c r="K203" s="158"/>
      <c r="L203" s="123">
        <f t="shared" si="35"/>
        <v>120</v>
      </c>
      <c r="M203" s="158"/>
      <c r="N203" s="196"/>
      <c r="O203" s="125"/>
      <c r="P203" s="82" t="s">
        <v>214</v>
      </c>
      <c r="R203" s="131">
        <v>14101948434</v>
      </c>
      <c r="T203" s="113">
        <f t="shared" si="32"/>
        <v>27</v>
      </c>
      <c r="U203" s="113" t="s">
        <v>172</v>
      </c>
      <c r="V203" s="114"/>
      <c r="W203" s="114">
        <f t="shared" si="33"/>
        <v>0</v>
      </c>
      <c r="X203" s="114"/>
      <c r="Y203" s="115">
        <v>0</v>
      </c>
      <c r="Z203" s="116">
        <v>1</v>
      </c>
      <c r="AA203" s="117">
        <f t="shared" si="28"/>
        <v>0</v>
      </c>
      <c r="AB203" s="118">
        <f t="shared" si="29"/>
        <v>1</v>
      </c>
      <c r="AC203" s="118">
        <f t="shared" si="27"/>
        <v>45615</v>
      </c>
      <c r="AD203" s="118">
        <f t="shared" si="30"/>
        <v>-45614</v>
      </c>
      <c r="AE203" s="117">
        <f t="shared" si="31"/>
        <v>0</v>
      </c>
    </row>
    <row r="204" spans="2:31" ht="15.75" customHeight="1" thickBot="1" x14ac:dyDescent="0.25">
      <c r="B204" s="123">
        <f t="shared" si="34"/>
        <v>16</v>
      </c>
      <c r="C204" s="158"/>
      <c r="D204" s="123">
        <f t="shared" si="35"/>
        <v>37</v>
      </c>
      <c r="E204" s="158"/>
      <c r="F204" s="123">
        <f t="shared" si="35"/>
        <v>58</v>
      </c>
      <c r="G204" s="158"/>
      <c r="H204" s="123">
        <f t="shared" si="35"/>
        <v>79</v>
      </c>
      <c r="I204" s="158"/>
      <c r="J204" s="123">
        <f t="shared" si="35"/>
        <v>100</v>
      </c>
      <c r="K204" s="158"/>
      <c r="L204" s="123">
        <f t="shared" si="35"/>
        <v>121</v>
      </c>
      <c r="M204" s="158"/>
      <c r="N204" s="196"/>
      <c r="O204" s="125"/>
      <c r="P204" s="82" t="s">
        <v>202</v>
      </c>
      <c r="R204" s="131">
        <v>8860786921</v>
      </c>
      <c r="T204" s="113">
        <f t="shared" si="32"/>
        <v>28</v>
      </c>
      <c r="U204" s="113" t="s">
        <v>174</v>
      </c>
      <c r="V204" s="114"/>
      <c r="W204" s="114">
        <f t="shared" si="33"/>
        <v>0</v>
      </c>
      <c r="X204" s="114"/>
      <c r="Y204" s="115">
        <v>0</v>
      </c>
      <c r="Z204" s="116">
        <v>1</v>
      </c>
      <c r="AA204" s="117">
        <f t="shared" si="28"/>
        <v>0</v>
      </c>
      <c r="AB204" s="118">
        <f t="shared" si="29"/>
        <v>1</v>
      </c>
      <c r="AC204" s="118">
        <f t="shared" si="27"/>
        <v>45615</v>
      </c>
      <c r="AD204" s="118">
        <f t="shared" si="30"/>
        <v>-45614</v>
      </c>
      <c r="AE204" s="117">
        <f t="shared" si="31"/>
        <v>0</v>
      </c>
    </row>
    <row r="205" spans="2:31" ht="15.75" customHeight="1" thickBot="1" x14ac:dyDescent="0.25">
      <c r="B205" s="123">
        <f t="shared" si="34"/>
        <v>17</v>
      </c>
      <c r="C205" s="158"/>
      <c r="D205" s="123">
        <f t="shared" si="35"/>
        <v>38</v>
      </c>
      <c r="E205" s="158"/>
      <c r="F205" s="123">
        <f t="shared" si="35"/>
        <v>59</v>
      </c>
      <c r="G205" s="158"/>
      <c r="H205" s="123">
        <f t="shared" si="35"/>
        <v>80</v>
      </c>
      <c r="I205" s="158"/>
      <c r="J205" s="123">
        <f t="shared" si="35"/>
        <v>101</v>
      </c>
      <c r="K205" s="158"/>
      <c r="L205" s="123">
        <f t="shared" si="35"/>
        <v>122</v>
      </c>
      <c r="M205" s="158"/>
      <c r="N205" s="196"/>
      <c r="O205" s="125"/>
      <c r="P205" s="82" t="s">
        <v>203</v>
      </c>
      <c r="R205" s="131">
        <v>19587312969</v>
      </c>
      <c r="T205" s="113">
        <f t="shared" si="32"/>
        <v>29</v>
      </c>
      <c r="U205" s="113" t="s">
        <v>176</v>
      </c>
      <c r="V205" s="114"/>
      <c r="W205" s="114">
        <f t="shared" si="33"/>
        <v>0</v>
      </c>
      <c r="X205" s="114"/>
      <c r="Y205" s="115">
        <v>0</v>
      </c>
      <c r="Z205" s="116">
        <v>1</v>
      </c>
      <c r="AA205" s="117">
        <f t="shared" si="28"/>
        <v>0</v>
      </c>
      <c r="AB205" s="118">
        <f t="shared" si="29"/>
        <v>1</v>
      </c>
      <c r="AC205" s="118">
        <f t="shared" si="27"/>
        <v>45615</v>
      </c>
      <c r="AD205" s="118">
        <f t="shared" si="30"/>
        <v>-45614</v>
      </c>
      <c r="AE205" s="117">
        <f t="shared" si="31"/>
        <v>0</v>
      </c>
    </row>
    <row r="206" spans="2:31" ht="15.75" customHeight="1" thickBot="1" x14ac:dyDescent="0.25">
      <c r="B206" s="123">
        <f t="shared" si="34"/>
        <v>18</v>
      </c>
      <c r="C206" s="158"/>
      <c r="D206" s="123">
        <f t="shared" si="35"/>
        <v>39</v>
      </c>
      <c r="E206" s="158"/>
      <c r="F206" s="123">
        <f t="shared" si="35"/>
        <v>60</v>
      </c>
      <c r="G206" s="158"/>
      <c r="H206" s="123">
        <f t="shared" si="35"/>
        <v>81</v>
      </c>
      <c r="I206" s="158"/>
      <c r="J206" s="123">
        <f t="shared" si="35"/>
        <v>102</v>
      </c>
      <c r="K206" s="158"/>
      <c r="L206" s="123">
        <f t="shared" si="35"/>
        <v>123</v>
      </c>
      <c r="M206" s="158"/>
      <c r="N206" s="196"/>
      <c r="O206" s="125"/>
      <c r="P206" s="82" t="s">
        <v>204</v>
      </c>
      <c r="R206" s="131">
        <v>10049355290</v>
      </c>
      <c r="T206" s="113">
        <f t="shared" si="32"/>
        <v>30</v>
      </c>
      <c r="U206" s="113" t="s">
        <v>178</v>
      </c>
      <c r="V206" s="114"/>
      <c r="W206" s="114">
        <f t="shared" si="33"/>
        <v>0</v>
      </c>
      <c r="X206" s="114"/>
      <c r="Y206" s="115">
        <v>0</v>
      </c>
      <c r="Z206" s="116">
        <v>1</v>
      </c>
      <c r="AA206" s="117">
        <f t="shared" si="28"/>
        <v>0</v>
      </c>
      <c r="AB206" s="118">
        <f t="shared" si="29"/>
        <v>1</v>
      </c>
      <c r="AC206" s="118">
        <f t="shared" si="27"/>
        <v>45615</v>
      </c>
      <c r="AD206" s="118">
        <f t="shared" si="30"/>
        <v>-45614</v>
      </c>
      <c r="AE206" s="117">
        <f t="shared" si="31"/>
        <v>0</v>
      </c>
    </row>
    <row r="207" spans="2:31" ht="15.75" customHeight="1" thickBot="1" x14ac:dyDescent="0.25">
      <c r="B207" s="123">
        <f t="shared" si="34"/>
        <v>19</v>
      </c>
      <c r="C207" s="158"/>
      <c r="D207" s="123">
        <f t="shared" si="35"/>
        <v>40</v>
      </c>
      <c r="E207" s="158"/>
      <c r="F207" s="123">
        <f t="shared" si="35"/>
        <v>61</v>
      </c>
      <c r="G207" s="158"/>
      <c r="H207" s="123">
        <f t="shared" si="35"/>
        <v>82</v>
      </c>
      <c r="I207" s="158"/>
      <c r="J207" s="123">
        <f t="shared" si="35"/>
        <v>103</v>
      </c>
      <c r="K207" s="158"/>
      <c r="L207" s="123">
        <f t="shared" si="35"/>
        <v>124</v>
      </c>
      <c r="M207" s="158"/>
      <c r="N207" s="196"/>
      <c r="O207" s="125"/>
      <c r="P207" s="82" t="s">
        <v>205</v>
      </c>
      <c r="R207" s="131">
        <v>16751309190</v>
      </c>
      <c r="T207" s="113">
        <f t="shared" si="32"/>
        <v>31</v>
      </c>
      <c r="U207" s="113" t="s">
        <v>180</v>
      </c>
      <c r="V207" s="114"/>
      <c r="W207" s="114">
        <f t="shared" si="33"/>
        <v>0</v>
      </c>
      <c r="X207" s="114"/>
      <c r="Y207" s="115">
        <v>0</v>
      </c>
      <c r="Z207" s="116">
        <v>1</v>
      </c>
      <c r="AA207" s="117">
        <f t="shared" si="28"/>
        <v>0</v>
      </c>
      <c r="AB207" s="118">
        <f t="shared" si="29"/>
        <v>1</v>
      </c>
      <c r="AC207" s="118">
        <f t="shared" si="27"/>
        <v>45615</v>
      </c>
      <c r="AD207" s="118">
        <f t="shared" si="30"/>
        <v>-45614</v>
      </c>
      <c r="AE207" s="117">
        <f t="shared" si="31"/>
        <v>0</v>
      </c>
    </row>
    <row r="208" spans="2:31" ht="15.75" customHeight="1" thickBot="1" x14ac:dyDescent="0.25">
      <c r="B208" s="123">
        <f t="shared" si="34"/>
        <v>20</v>
      </c>
      <c r="C208" s="158"/>
      <c r="D208" s="123">
        <f t="shared" si="35"/>
        <v>41</v>
      </c>
      <c r="E208" s="158"/>
      <c r="F208" s="123">
        <f t="shared" si="35"/>
        <v>62</v>
      </c>
      <c r="G208" s="158"/>
      <c r="H208" s="123">
        <f t="shared" si="35"/>
        <v>83</v>
      </c>
      <c r="I208" s="158"/>
      <c r="J208" s="123">
        <f t="shared" si="35"/>
        <v>104</v>
      </c>
      <c r="K208" s="158"/>
      <c r="L208" s="123">
        <f t="shared" si="35"/>
        <v>125</v>
      </c>
      <c r="M208" s="158"/>
      <c r="N208" s="196"/>
      <c r="O208" s="125"/>
      <c r="P208" s="82" t="s">
        <v>206</v>
      </c>
      <c r="R208" s="131">
        <v>14142724014</v>
      </c>
      <c r="T208" s="113">
        <f t="shared" si="32"/>
        <v>32</v>
      </c>
      <c r="U208" s="113" t="s">
        <v>182</v>
      </c>
      <c r="V208" s="114"/>
      <c r="W208" s="114">
        <f t="shared" si="33"/>
        <v>0</v>
      </c>
      <c r="X208" s="114"/>
      <c r="Y208" s="115">
        <v>0</v>
      </c>
      <c r="Z208" s="116">
        <v>1</v>
      </c>
      <c r="AA208" s="117">
        <f t="shared" si="28"/>
        <v>0</v>
      </c>
      <c r="AB208" s="118">
        <f t="shared" si="29"/>
        <v>1</v>
      </c>
      <c r="AC208" s="118">
        <f t="shared" si="27"/>
        <v>45615</v>
      </c>
      <c r="AD208" s="118">
        <f t="shared" si="30"/>
        <v>-45614</v>
      </c>
      <c r="AE208" s="117">
        <f t="shared" si="31"/>
        <v>0</v>
      </c>
    </row>
    <row r="209" spans="2:31" ht="15.75" customHeight="1" thickBot="1" x14ac:dyDescent="0.25">
      <c r="B209" s="123">
        <f t="shared" si="34"/>
        <v>21</v>
      </c>
      <c r="C209" s="158"/>
      <c r="D209" s="123">
        <f t="shared" si="35"/>
        <v>42</v>
      </c>
      <c r="E209" s="158"/>
      <c r="F209" s="123">
        <f t="shared" si="35"/>
        <v>63</v>
      </c>
      <c r="G209" s="158"/>
      <c r="H209" s="123">
        <f t="shared" si="35"/>
        <v>84</v>
      </c>
      <c r="I209" s="158"/>
      <c r="J209" s="123">
        <f t="shared" si="35"/>
        <v>105</v>
      </c>
      <c r="K209" s="158"/>
      <c r="L209" s="123">
        <f t="shared" si="35"/>
        <v>126</v>
      </c>
      <c r="M209" s="158"/>
      <c r="N209" s="197"/>
      <c r="T209" s="113">
        <f t="shared" si="32"/>
        <v>33</v>
      </c>
      <c r="U209" s="113" t="s">
        <v>184</v>
      </c>
      <c r="V209" s="114"/>
      <c r="W209" s="114">
        <f t="shared" si="33"/>
        <v>0</v>
      </c>
      <c r="X209" s="114"/>
      <c r="Y209" s="115">
        <v>0</v>
      </c>
      <c r="Z209" s="116">
        <v>1</v>
      </c>
      <c r="AA209" s="117">
        <f t="shared" si="28"/>
        <v>0</v>
      </c>
      <c r="AB209" s="118">
        <f t="shared" si="29"/>
        <v>1</v>
      </c>
      <c r="AC209" s="118">
        <f t="shared" si="27"/>
        <v>45615</v>
      </c>
      <c r="AD209" s="118">
        <f t="shared" si="30"/>
        <v>-45614</v>
      </c>
      <c r="AE209" s="117">
        <f t="shared" si="31"/>
        <v>0</v>
      </c>
    </row>
    <row r="210" spans="2:31" ht="15.75" customHeight="1" thickBot="1" x14ac:dyDescent="0.25">
      <c r="B210" s="161" t="s">
        <v>167</v>
      </c>
      <c r="C210" s="161"/>
      <c r="D210" s="161"/>
      <c r="E210" s="161"/>
      <c r="F210" s="161"/>
      <c r="G210" s="161"/>
      <c r="H210" s="161"/>
      <c r="I210" s="161"/>
      <c r="J210" s="198">
        <f>SUM(C189:C209,G189:G209,K189:K209,E189:E209,I189:I209,K189:K209,M189:M209)</f>
        <v>0</v>
      </c>
      <c r="K210" s="198"/>
      <c r="L210" s="198"/>
      <c r="M210" s="198"/>
      <c r="N210" s="198"/>
      <c r="R210" s="130" t="s">
        <v>216</v>
      </c>
      <c r="T210" s="113">
        <f t="shared" si="32"/>
        <v>34</v>
      </c>
      <c r="U210" s="113" t="s">
        <v>186</v>
      </c>
      <c r="V210" s="114"/>
      <c r="W210" s="114">
        <f t="shared" si="33"/>
        <v>0</v>
      </c>
      <c r="X210" s="114"/>
      <c r="Y210" s="115">
        <v>0</v>
      </c>
      <c r="Z210" s="116">
        <v>1</v>
      </c>
      <c r="AA210" s="117">
        <f t="shared" si="28"/>
        <v>0</v>
      </c>
      <c r="AB210" s="118">
        <f t="shared" si="29"/>
        <v>1</v>
      </c>
      <c r="AC210" s="118">
        <f t="shared" si="27"/>
        <v>45615</v>
      </c>
      <c r="AD210" s="118">
        <f t="shared" si="30"/>
        <v>-45614</v>
      </c>
      <c r="AE210" s="117">
        <f t="shared" si="31"/>
        <v>0</v>
      </c>
    </row>
    <row r="211" spans="2:31" ht="15.75" customHeight="1" thickBot="1" x14ac:dyDescent="0.25">
      <c r="B211" s="411" t="s">
        <v>171</v>
      </c>
      <c r="C211" s="412"/>
      <c r="D211" s="412"/>
      <c r="E211" s="412"/>
      <c r="F211" s="412"/>
      <c r="G211" s="412"/>
      <c r="H211" s="412"/>
      <c r="I211" s="413"/>
      <c r="J211" s="183">
        <f>IFERROR(J210/(($B$23)*I177),0)</f>
        <v>0</v>
      </c>
      <c r="K211" s="184"/>
      <c r="L211" s="184"/>
      <c r="M211" s="184"/>
      <c r="N211" s="185"/>
      <c r="P211" s="82" t="s">
        <v>201</v>
      </c>
      <c r="R211" s="131">
        <v>8053415585</v>
      </c>
      <c r="T211" s="113">
        <f t="shared" si="32"/>
        <v>35</v>
      </c>
      <c r="U211" s="113" t="s">
        <v>187</v>
      </c>
      <c r="V211" s="114"/>
      <c r="W211" s="114">
        <f t="shared" si="33"/>
        <v>0</v>
      </c>
      <c r="X211" s="114"/>
      <c r="Y211" s="115">
        <v>0</v>
      </c>
      <c r="Z211" s="116">
        <v>1</v>
      </c>
      <c r="AA211" s="117">
        <f t="shared" si="28"/>
        <v>0</v>
      </c>
      <c r="AB211" s="118">
        <f t="shared" si="29"/>
        <v>1</v>
      </c>
      <c r="AC211" s="118">
        <f t="shared" si="27"/>
        <v>45615</v>
      </c>
      <c r="AD211" s="118">
        <f t="shared" si="30"/>
        <v>-45614</v>
      </c>
      <c r="AE211" s="117">
        <f t="shared" si="31"/>
        <v>0</v>
      </c>
    </row>
    <row r="212" spans="2:31" ht="15.75" customHeight="1" thickBot="1" x14ac:dyDescent="0.25">
      <c r="B212" s="411" t="s">
        <v>173</v>
      </c>
      <c r="C212" s="412"/>
      <c r="D212" s="412"/>
      <c r="E212" s="412"/>
      <c r="F212" s="412"/>
      <c r="G212" s="412"/>
      <c r="H212" s="412"/>
      <c r="I212" s="412"/>
      <c r="J212" s="412"/>
      <c r="K212" s="413"/>
      <c r="L212" s="414">
        <f>IF(J211&gt;P188,R188,IF(J211&gt;P187,R187,IF(J211&gt;P186,R186,R185)))</f>
        <v>60</v>
      </c>
      <c r="M212" s="415"/>
      <c r="N212" s="416"/>
      <c r="O212" s="125"/>
      <c r="P212" s="82" t="s">
        <v>214</v>
      </c>
      <c r="R212" s="131">
        <v>6562161350</v>
      </c>
      <c r="T212" s="113">
        <f t="shared" si="32"/>
        <v>36</v>
      </c>
      <c r="U212" s="113" t="s">
        <v>189</v>
      </c>
      <c r="V212" s="114"/>
      <c r="W212" s="114">
        <f t="shared" si="33"/>
        <v>0</v>
      </c>
      <c r="X212" s="114"/>
      <c r="Y212" s="115">
        <v>0</v>
      </c>
      <c r="Z212" s="116">
        <v>1</v>
      </c>
      <c r="AA212" s="117">
        <f t="shared" si="28"/>
        <v>0</v>
      </c>
      <c r="AB212" s="118">
        <f t="shared" si="29"/>
        <v>1</v>
      </c>
      <c r="AC212" s="118">
        <f t="shared" si="27"/>
        <v>45615</v>
      </c>
      <c r="AD212" s="118">
        <f t="shared" si="30"/>
        <v>-45614</v>
      </c>
      <c r="AE212" s="117">
        <f t="shared" si="31"/>
        <v>0</v>
      </c>
    </row>
    <row r="213" spans="2:31" ht="15.75" customHeight="1" thickBot="1" x14ac:dyDescent="0.3">
      <c r="B213" s="183" t="s">
        <v>215</v>
      </c>
      <c r="C213" s="184"/>
      <c r="D213" s="184"/>
      <c r="E213" s="184"/>
      <c r="F213" s="184"/>
      <c r="G213" s="184"/>
      <c r="H213" s="184"/>
      <c r="I213" s="184"/>
      <c r="J213" s="184"/>
      <c r="K213" s="184"/>
      <c r="L213" s="184"/>
      <c r="M213" s="184"/>
      <c r="N213" s="185"/>
      <c r="O213" s="125"/>
      <c r="P213" s="82" t="s">
        <v>202</v>
      </c>
      <c r="R213" s="131">
        <v>4132783282</v>
      </c>
      <c r="T213" s="113">
        <f>T212+1</f>
        <v>37</v>
      </c>
      <c r="U213" s="113" t="s">
        <v>190</v>
      </c>
      <c r="V213" s="114"/>
      <c r="W213" s="114">
        <f>W212</f>
        <v>0</v>
      </c>
      <c r="X213" s="114"/>
      <c r="Y213" s="115">
        <v>0</v>
      </c>
      <c r="Z213" s="116">
        <v>1</v>
      </c>
      <c r="AA213" s="117">
        <f t="shared" si="28"/>
        <v>0</v>
      </c>
      <c r="AB213" s="118">
        <f t="shared" si="29"/>
        <v>1</v>
      </c>
      <c r="AC213" s="118">
        <f t="shared" si="27"/>
        <v>45615</v>
      </c>
      <c r="AD213" s="118">
        <f t="shared" si="30"/>
        <v>-45614</v>
      </c>
      <c r="AE213" s="117">
        <f t="shared" si="31"/>
        <v>0</v>
      </c>
    </row>
    <row r="214" spans="2:31" ht="15.75" customHeight="1" thickBot="1" x14ac:dyDescent="0.25">
      <c r="B214" s="186"/>
      <c r="C214" s="187"/>
      <c r="D214" s="187"/>
      <c r="E214" s="187"/>
      <c r="F214" s="187"/>
      <c r="G214" s="188"/>
      <c r="H214" s="428" t="s">
        <v>177</v>
      </c>
      <c r="I214" s="429"/>
      <c r="J214" s="429"/>
      <c r="K214" s="430"/>
      <c r="L214" s="431">
        <f>$I$10</f>
        <v>0</v>
      </c>
      <c r="M214" s="432"/>
      <c r="N214" s="433"/>
      <c r="O214" s="125"/>
      <c r="P214" s="82" t="s">
        <v>203</v>
      </c>
      <c r="R214" s="131">
        <v>9125008249</v>
      </c>
      <c r="T214" s="113">
        <f>T213+1</f>
        <v>38</v>
      </c>
      <c r="U214" s="113" t="s">
        <v>191</v>
      </c>
      <c r="V214" s="114"/>
      <c r="W214" s="114">
        <f>W213</f>
        <v>0</v>
      </c>
      <c r="X214" s="114"/>
      <c r="Y214" s="115">
        <v>0</v>
      </c>
      <c r="Z214" s="116">
        <v>1</v>
      </c>
      <c r="AA214" s="117">
        <f t="shared" si="28"/>
        <v>0</v>
      </c>
      <c r="AB214" s="118">
        <f t="shared" si="29"/>
        <v>1</v>
      </c>
      <c r="AC214" s="118">
        <f t="shared" si="27"/>
        <v>45615</v>
      </c>
      <c r="AD214" s="118">
        <f t="shared" si="30"/>
        <v>-45614</v>
      </c>
      <c r="AE214" s="117">
        <f t="shared" si="31"/>
        <v>0</v>
      </c>
    </row>
    <row r="215" spans="2:31" ht="15.75" customHeight="1" thickBot="1" x14ac:dyDescent="0.25">
      <c r="B215" s="189"/>
      <c r="C215" s="190"/>
      <c r="D215" s="190"/>
      <c r="E215" s="190"/>
      <c r="F215" s="190"/>
      <c r="G215" s="191"/>
      <c r="H215" s="428" t="s">
        <v>179</v>
      </c>
      <c r="I215" s="429"/>
      <c r="J215" s="429"/>
      <c r="K215" s="430"/>
      <c r="L215" s="431">
        <f>$J$10</f>
        <v>0</v>
      </c>
      <c r="M215" s="432"/>
      <c r="N215" s="433"/>
      <c r="O215" s="125"/>
      <c r="P215" s="82" t="s">
        <v>204</v>
      </c>
      <c r="R215" s="131">
        <v>4685421355</v>
      </c>
      <c r="T215" s="113">
        <f t="shared" si="32"/>
        <v>39</v>
      </c>
      <c r="U215" s="113" t="s">
        <v>192</v>
      </c>
      <c r="V215" s="114"/>
      <c r="W215" s="114">
        <f t="shared" si="33"/>
        <v>0</v>
      </c>
      <c r="X215" s="114"/>
      <c r="Y215" s="115">
        <v>0</v>
      </c>
      <c r="Z215" s="116">
        <v>1</v>
      </c>
      <c r="AA215" s="117">
        <f t="shared" si="28"/>
        <v>0</v>
      </c>
      <c r="AB215" s="118">
        <f t="shared" si="29"/>
        <v>1</v>
      </c>
      <c r="AC215" s="118">
        <f t="shared" si="27"/>
        <v>45615</v>
      </c>
      <c r="AD215" s="118">
        <f t="shared" si="30"/>
        <v>-45614</v>
      </c>
      <c r="AE215" s="117">
        <f t="shared" si="31"/>
        <v>0</v>
      </c>
    </row>
    <row r="216" spans="2:31" ht="15.75" customHeight="1" thickBot="1" x14ac:dyDescent="0.25">
      <c r="B216" s="192"/>
      <c r="C216" s="193"/>
      <c r="D216" s="193"/>
      <c r="E216" s="193"/>
      <c r="F216" s="193"/>
      <c r="G216" s="194"/>
      <c r="H216" s="411" t="s">
        <v>181</v>
      </c>
      <c r="I216" s="412"/>
      <c r="J216" s="412"/>
      <c r="K216" s="413"/>
      <c r="L216" s="420">
        <f>IFERROR(ROUND(L214/L215,2),0)</f>
        <v>0</v>
      </c>
      <c r="M216" s="421"/>
      <c r="N216" s="422"/>
      <c r="O216" s="125"/>
      <c r="P216" s="82" t="s">
        <v>205</v>
      </c>
      <c r="R216" s="131">
        <v>7832191370</v>
      </c>
      <c r="T216" s="113">
        <f t="shared" si="32"/>
        <v>40</v>
      </c>
      <c r="U216" s="113" t="s">
        <v>193</v>
      </c>
      <c r="V216" s="114"/>
      <c r="W216" s="114">
        <f t="shared" si="33"/>
        <v>0</v>
      </c>
      <c r="X216" s="114"/>
      <c r="Y216" s="115">
        <v>0</v>
      </c>
      <c r="Z216" s="116">
        <v>1</v>
      </c>
      <c r="AA216" s="117">
        <f t="shared" si="28"/>
        <v>0</v>
      </c>
      <c r="AB216" s="118">
        <f t="shared" si="29"/>
        <v>1</v>
      </c>
      <c r="AC216" s="118">
        <f t="shared" si="27"/>
        <v>45615</v>
      </c>
      <c r="AD216" s="118">
        <f t="shared" si="30"/>
        <v>-45614</v>
      </c>
      <c r="AE216" s="117">
        <f t="shared" si="31"/>
        <v>0</v>
      </c>
    </row>
    <row r="217" spans="2:31" ht="15.75" customHeight="1" thickBot="1" x14ac:dyDescent="0.25">
      <c r="B217" s="411" t="s">
        <v>183</v>
      </c>
      <c r="C217" s="412"/>
      <c r="D217" s="412"/>
      <c r="E217" s="412"/>
      <c r="F217" s="412"/>
      <c r="G217" s="412"/>
      <c r="H217" s="412"/>
      <c r="I217" s="412"/>
      <c r="J217" s="412"/>
      <c r="K217" s="413"/>
      <c r="L217" s="414">
        <f>IF(L216&gt;P194,R194,IF(L216&gt;P193,R193,IF(L216&gt;P192,R192,IF(L216&gt;P191,R191,R190))))</f>
        <v>20</v>
      </c>
      <c r="M217" s="415"/>
      <c r="N217" s="416"/>
      <c r="O217" s="125"/>
      <c r="P217" s="82" t="s">
        <v>206</v>
      </c>
      <c r="R217" s="131">
        <v>6568014622</v>
      </c>
      <c r="T217" s="113">
        <f t="shared" si="32"/>
        <v>41</v>
      </c>
      <c r="U217" s="113" t="s">
        <v>194</v>
      </c>
      <c r="V217" s="114"/>
      <c r="W217" s="114">
        <f t="shared" si="33"/>
        <v>0</v>
      </c>
      <c r="X217" s="114"/>
      <c r="Y217" s="115">
        <v>0</v>
      </c>
      <c r="Z217" s="116">
        <v>1</v>
      </c>
      <c r="AA217" s="117">
        <f t="shared" si="28"/>
        <v>0</v>
      </c>
      <c r="AB217" s="118">
        <f t="shared" si="29"/>
        <v>1</v>
      </c>
      <c r="AC217" s="118">
        <f t="shared" si="27"/>
        <v>45615</v>
      </c>
      <c r="AD217" s="118">
        <f t="shared" si="30"/>
        <v>-45614</v>
      </c>
      <c r="AE217" s="117">
        <f t="shared" si="31"/>
        <v>0</v>
      </c>
    </row>
    <row r="218" spans="2:31" ht="15.75" customHeight="1" thickBot="1" x14ac:dyDescent="0.3">
      <c r="B218" s="183" t="s">
        <v>185</v>
      </c>
      <c r="C218" s="184"/>
      <c r="D218" s="184"/>
      <c r="E218" s="184"/>
      <c r="F218" s="184"/>
      <c r="G218" s="184"/>
      <c r="H218" s="184"/>
      <c r="I218" s="184"/>
      <c r="J218" s="184"/>
      <c r="K218" s="184"/>
      <c r="L218" s="184"/>
      <c r="M218" s="184"/>
      <c r="N218" s="185"/>
      <c r="T218" s="113">
        <f t="shared" si="32"/>
        <v>42</v>
      </c>
      <c r="U218" s="113" t="s">
        <v>195</v>
      </c>
      <c r="V218" s="114"/>
      <c r="W218" s="114">
        <f t="shared" si="33"/>
        <v>0</v>
      </c>
      <c r="X218" s="114"/>
      <c r="Y218" s="115">
        <v>0</v>
      </c>
      <c r="Z218" s="116">
        <v>1</v>
      </c>
      <c r="AA218" s="117">
        <f t="shared" si="28"/>
        <v>0</v>
      </c>
      <c r="AB218" s="118">
        <f t="shared" si="29"/>
        <v>1</v>
      </c>
      <c r="AC218" s="118">
        <f t="shared" si="27"/>
        <v>45615</v>
      </c>
      <c r="AD218" s="118">
        <f t="shared" si="30"/>
        <v>-45614</v>
      </c>
      <c r="AE218" s="117">
        <f t="shared" si="31"/>
        <v>0</v>
      </c>
    </row>
    <row r="219" spans="2:31" ht="13.5" thickBot="1" x14ac:dyDescent="0.3">
      <c r="B219" s="423" t="s">
        <v>94</v>
      </c>
      <c r="C219" s="424"/>
      <c r="D219" s="424"/>
      <c r="E219" s="424"/>
      <c r="F219" s="424"/>
      <c r="G219" s="424"/>
      <c r="H219" s="424"/>
      <c r="I219" s="424"/>
      <c r="J219" s="424"/>
      <c r="K219" s="424"/>
      <c r="L219" s="425"/>
      <c r="M219" s="426">
        <f>$K$10</f>
        <v>0</v>
      </c>
      <c r="N219" s="427"/>
      <c r="R219" s="130" t="s">
        <v>200</v>
      </c>
      <c r="T219" s="113">
        <f t="shared" si="32"/>
        <v>43</v>
      </c>
      <c r="U219" s="113" t="s">
        <v>198</v>
      </c>
      <c r="V219" s="114"/>
      <c r="W219" s="114">
        <f t="shared" si="33"/>
        <v>0</v>
      </c>
      <c r="X219" s="114"/>
      <c r="Y219" s="115">
        <v>0</v>
      </c>
      <c r="Z219" s="116">
        <v>1</v>
      </c>
      <c r="AA219" s="117">
        <f t="shared" si="28"/>
        <v>0</v>
      </c>
      <c r="AB219" s="118">
        <f t="shared" si="29"/>
        <v>1</v>
      </c>
      <c r="AC219" s="118">
        <f t="shared" si="27"/>
        <v>45615</v>
      </c>
      <c r="AD219" s="118">
        <f t="shared" si="30"/>
        <v>-45614</v>
      </c>
      <c r="AE219" s="117">
        <f t="shared" si="31"/>
        <v>0</v>
      </c>
    </row>
    <row r="220" spans="2:31" ht="15.75" customHeight="1" thickBot="1" x14ac:dyDescent="0.25">
      <c r="B220" s="411" t="s">
        <v>188</v>
      </c>
      <c r="C220" s="412"/>
      <c r="D220" s="412"/>
      <c r="E220" s="412"/>
      <c r="F220" s="412"/>
      <c r="G220" s="412"/>
      <c r="H220" s="412"/>
      <c r="I220" s="412"/>
      <c r="J220" s="412"/>
      <c r="K220" s="413"/>
      <c r="L220" s="414">
        <f>IF(M219&gt;P199,R199,IF(M219&gt;P198,R198,IF(M219&gt;P197,R197,R196)))</f>
        <v>0</v>
      </c>
      <c r="M220" s="415"/>
      <c r="N220" s="416"/>
      <c r="P220" s="82" t="s">
        <v>201</v>
      </c>
      <c r="R220" s="83">
        <v>16</v>
      </c>
      <c r="Z220" s="417" t="s">
        <v>199</v>
      </c>
      <c r="AA220" s="418"/>
      <c r="AB220" s="418"/>
      <c r="AC220" s="418"/>
      <c r="AD220" s="419"/>
      <c r="AE220" s="126">
        <f>SUM(AE177:AE219)</f>
        <v>25000000</v>
      </c>
    </row>
    <row r="221" spans="2:31" ht="15.75" customHeight="1" x14ac:dyDescent="0.25">
      <c r="P221" s="82"/>
      <c r="R221" s="83"/>
      <c r="Z221" s="132"/>
      <c r="AA221" s="132"/>
      <c r="AB221" s="132"/>
      <c r="AC221" s="132"/>
      <c r="AD221" s="132"/>
      <c r="AE221" s="133"/>
    </row>
    <row r="222" spans="2:31" ht="15.75" customHeight="1" x14ac:dyDescent="0.2">
      <c r="B222" s="411" t="str">
        <f>"CAPACIDAD DE CONTRATACIÓN "&amp;$F$126</f>
        <v xml:space="preserve">CAPACIDAD DE CONTRATACIÓN </v>
      </c>
      <c r="C222" s="412"/>
      <c r="D222" s="412"/>
      <c r="E222" s="412"/>
      <c r="F222" s="412"/>
      <c r="G222" s="412"/>
      <c r="H222" s="412"/>
      <c r="I222" s="412"/>
      <c r="J222" s="412"/>
      <c r="K222" s="413"/>
      <c r="L222" s="168">
        <f>I185*((L212+L217+L220)/100)</f>
        <v>426630400</v>
      </c>
      <c r="M222" s="169"/>
      <c r="N222" s="170"/>
      <c r="P222" s="82" t="s">
        <v>202</v>
      </c>
      <c r="R222" s="83">
        <v>15</v>
      </c>
    </row>
    <row r="223" spans="2:31" ht="15.75" customHeight="1" x14ac:dyDescent="0.2">
      <c r="B223" s="411" t="str">
        <f>"SALDO DE LOS CONTRATOS EN EJECUCIÓN "&amp;$F$126</f>
        <v xml:space="preserve">SALDO DE LOS CONTRATOS EN EJECUCIÓN </v>
      </c>
      <c r="C223" s="412"/>
      <c r="D223" s="412"/>
      <c r="E223" s="412"/>
      <c r="F223" s="412"/>
      <c r="G223" s="412"/>
      <c r="H223" s="412"/>
      <c r="I223" s="412"/>
      <c r="J223" s="412"/>
      <c r="K223" s="413"/>
      <c r="L223" s="168">
        <f>$M$10</f>
        <v>0</v>
      </c>
      <c r="M223" s="169"/>
      <c r="N223" s="170"/>
      <c r="P223" s="82"/>
      <c r="R223" s="83"/>
    </row>
    <row r="224" spans="2:31" ht="15.75" customHeight="1" x14ac:dyDescent="0.2">
      <c r="B224" s="411" t="str">
        <f>"CAPACIDAD RESIDUAL DE CONTRATACIÓN "&amp;$F$126</f>
        <v xml:space="preserve">CAPACIDAD RESIDUAL DE CONTRATACIÓN </v>
      </c>
      <c r="C224" s="412"/>
      <c r="D224" s="412"/>
      <c r="E224" s="412"/>
      <c r="F224" s="412"/>
      <c r="G224" s="412"/>
      <c r="H224" s="412"/>
      <c r="I224" s="412"/>
      <c r="J224" s="412"/>
      <c r="K224" s="413"/>
      <c r="L224" s="168">
        <f>L222-L223</f>
        <v>426630400</v>
      </c>
      <c r="M224" s="169"/>
      <c r="N224" s="170"/>
      <c r="P224" s="82"/>
      <c r="R224" s="83"/>
    </row>
    <row r="225" spans="2:31" ht="15.75" customHeight="1" x14ac:dyDescent="0.2">
      <c r="B225" s="127"/>
      <c r="C225" s="127"/>
      <c r="D225" s="127"/>
      <c r="E225" s="127"/>
      <c r="F225" s="127"/>
      <c r="G225" s="127"/>
      <c r="H225" s="127"/>
      <c r="I225" s="127"/>
      <c r="J225" s="127"/>
      <c r="K225" s="127"/>
      <c r="L225" s="128"/>
      <c r="M225" s="128"/>
      <c r="N225" s="128"/>
      <c r="P225" s="82"/>
      <c r="R225" s="83"/>
    </row>
    <row r="226" spans="2:31" ht="15.75" customHeight="1" thickBot="1" x14ac:dyDescent="0.3">
      <c r="B226" s="180" t="str">
        <f>"INTEGRANTE 5: "&amp;$C$11</f>
        <v>INTEGRANTE 5: 0</v>
      </c>
      <c r="C226" s="181"/>
      <c r="D226" s="181"/>
      <c r="E226" s="181"/>
      <c r="F226" s="181"/>
      <c r="G226" s="181"/>
      <c r="H226" s="181"/>
      <c r="I226" s="181"/>
      <c r="J226" s="181"/>
      <c r="K226" s="181"/>
      <c r="L226" s="181"/>
      <c r="M226" s="181"/>
      <c r="N226" s="182"/>
      <c r="Q226" s="108" t="e">
        <f>#REF!</f>
        <v>#REF!</v>
      </c>
    </row>
    <row r="227" spans="2:31" ht="15.75" customHeight="1" thickBot="1" x14ac:dyDescent="0.3">
      <c r="B227" s="168" t="s">
        <v>102</v>
      </c>
      <c r="C227" s="169"/>
      <c r="D227" s="169"/>
      <c r="E227" s="169"/>
      <c r="F227" s="169"/>
      <c r="G227" s="169"/>
      <c r="H227" s="170"/>
      <c r="I227" s="438">
        <f>$G$11</f>
        <v>0</v>
      </c>
      <c r="J227" s="439"/>
      <c r="K227" s="439"/>
      <c r="L227" s="439"/>
      <c r="M227" s="439"/>
      <c r="N227" s="440"/>
      <c r="T227" s="113">
        <v>1</v>
      </c>
      <c r="U227" s="113" t="s">
        <v>128</v>
      </c>
      <c r="V227" s="114">
        <v>42095</v>
      </c>
      <c r="W227" s="114">
        <v>42124</v>
      </c>
      <c r="X227" s="114">
        <v>42099</v>
      </c>
      <c r="Y227" s="115">
        <v>30000000</v>
      </c>
      <c r="Z227" s="116">
        <v>1</v>
      </c>
      <c r="AA227" s="117">
        <f>Y227*Z227</f>
        <v>30000000</v>
      </c>
      <c r="AB227" s="118">
        <f>DAYS360(V227,W227)+1</f>
        <v>30</v>
      </c>
      <c r="AC227" s="118">
        <f t="shared" ref="AC227:AC269" si="36">IF(X227&gt;$R$45,(X227-V227)+1,($U$22-V227)+1)</f>
        <v>5</v>
      </c>
      <c r="AD227" s="118">
        <f>IF((AB227-AC227)&gt;$P$28,$P$28,(AB227-AC227))</f>
        <v>25</v>
      </c>
      <c r="AE227" s="117">
        <f>ROUND((AA227/AB227)*AD227,0)</f>
        <v>25000000</v>
      </c>
    </row>
    <row r="228" spans="2:31" ht="15.75" customHeight="1" thickBot="1" x14ac:dyDescent="0.3">
      <c r="B228" s="183" t="s">
        <v>103</v>
      </c>
      <c r="C228" s="184"/>
      <c r="D228" s="184"/>
      <c r="E228" s="184"/>
      <c r="F228" s="184"/>
      <c r="G228" s="185"/>
      <c r="H228" s="183" t="s">
        <v>104</v>
      </c>
      <c r="I228" s="184"/>
      <c r="J228" s="184"/>
      <c r="K228" s="184"/>
      <c r="L228" s="184"/>
      <c r="M228" s="185"/>
      <c r="N228" s="91" t="s">
        <v>105</v>
      </c>
      <c r="P228" s="99" t="s">
        <v>130</v>
      </c>
      <c r="Q228" s="99" t="s">
        <v>0</v>
      </c>
      <c r="R228" s="99" t="s">
        <v>131</v>
      </c>
      <c r="T228" s="113">
        <f>T227+1</f>
        <v>2</v>
      </c>
      <c r="U228" s="113" t="s">
        <v>132</v>
      </c>
      <c r="V228" s="114"/>
      <c r="W228" s="114">
        <f>U223</f>
        <v>0</v>
      </c>
      <c r="X228" s="114"/>
      <c r="Y228" s="115">
        <v>0</v>
      </c>
      <c r="Z228" s="116">
        <v>1</v>
      </c>
      <c r="AA228" s="117">
        <f t="shared" ref="AA228:AA269" si="37">Y228*Z228</f>
        <v>0</v>
      </c>
      <c r="AB228" s="118">
        <f t="shared" ref="AB228:AB269" si="38">DAYS360(V228,W228)+1</f>
        <v>1</v>
      </c>
      <c r="AC228" s="118">
        <f t="shared" si="36"/>
        <v>45615</v>
      </c>
      <c r="AD228" s="118">
        <f t="shared" ref="AD228:AD269" si="39">IF((AB228-AC228)&gt;$P$28,$P$28,(AB228-AC228))</f>
        <v>-45614</v>
      </c>
      <c r="AE228" s="117">
        <f t="shared" ref="AE228:AE269" si="40">ROUND((AA228/AB228)*AD228,0)</f>
        <v>0</v>
      </c>
    </row>
    <row r="229" spans="2:31" ht="15.75" customHeight="1" thickBot="1" x14ac:dyDescent="0.3">
      <c r="B229" s="186"/>
      <c r="C229" s="187"/>
      <c r="D229" s="187"/>
      <c r="E229" s="187"/>
      <c r="F229" s="187"/>
      <c r="G229" s="188"/>
      <c r="H229" s="434" t="s">
        <v>106</v>
      </c>
      <c r="I229" s="435"/>
      <c r="J229" s="435"/>
      <c r="K229" s="435"/>
      <c r="L229" s="435"/>
      <c r="M229" s="436"/>
      <c r="N229" s="79">
        <v>120</v>
      </c>
      <c r="P229" s="79">
        <v>360</v>
      </c>
      <c r="Q229" s="79" t="s">
        <v>3</v>
      </c>
      <c r="R229" s="79">
        <v>12</v>
      </c>
      <c r="T229" s="113">
        <f t="shared" ref="T229:T269" si="41">T228+1</f>
        <v>3</v>
      </c>
      <c r="U229" s="113" t="s">
        <v>134</v>
      </c>
      <c r="V229" s="114"/>
      <c r="W229" s="114">
        <f t="shared" ref="W229:W269" si="42">W228</f>
        <v>0</v>
      </c>
      <c r="X229" s="114"/>
      <c r="Y229" s="115">
        <v>0</v>
      </c>
      <c r="Z229" s="116">
        <v>1</v>
      </c>
      <c r="AA229" s="117">
        <f t="shared" si="37"/>
        <v>0</v>
      </c>
      <c r="AB229" s="118">
        <f t="shared" si="38"/>
        <v>1</v>
      </c>
      <c r="AC229" s="118">
        <f t="shared" si="36"/>
        <v>45615</v>
      </c>
      <c r="AD229" s="118">
        <f t="shared" si="39"/>
        <v>-45614</v>
      </c>
      <c r="AE229" s="117">
        <f t="shared" si="40"/>
        <v>0</v>
      </c>
    </row>
    <row r="230" spans="2:31" ht="15.75" customHeight="1" thickBot="1" x14ac:dyDescent="0.3">
      <c r="B230" s="189"/>
      <c r="C230" s="190"/>
      <c r="D230" s="190"/>
      <c r="E230" s="190"/>
      <c r="F230" s="190"/>
      <c r="G230" s="191"/>
      <c r="H230" s="434" t="s">
        <v>107</v>
      </c>
      <c r="I230" s="435"/>
      <c r="J230" s="435"/>
      <c r="K230" s="435"/>
      <c r="L230" s="435"/>
      <c r="M230" s="436"/>
      <c r="N230" s="79">
        <v>40</v>
      </c>
      <c r="T230" s="113">
        <f t="shared" si="41"/>
        <v>4</v>
      </c>
      <c r="U230" s="113" t="s">
        <v>138</v>
      </c>
      <c r="V230" s="114"/>
      <c r="W230" s="114">
        <f t="shared" si="42"/>
        <v>0</v>
      </c>
      <c r="X230" s="114"/>
      <c r="Y230" s="115">
        <v>0</v>
      </c>
      <c r="Z230" s="116">
        <v>1</v>
      </c>
      <c r="AA230" s="117">
        <f t="shared" si="37"/>
        <v>0</v>
      </c>
      <c r="AB230" s="118">
        <f t="shared" si="38"/>
        <v>1</v>
      </c>
      <c r="AC230" s="118">
        <f t="shared" si="36"/>
        <v>45615</v>
      </c>
      <c r="AD230" s="118">
        <f t="shared" si="39"/>
        <v>-45614</v>
      </c>
      <c r="AE230" s="117">
        <f t="shared" si="40"/>
        <v>0</v>
      </c>
    </row>
    <row r="231" spans="2:31" ht="15.75" customHeight="1" thickBot="1" x14ac:dyDescent="0.3">
      <c r="B231" s="189"/>
      <c r="C231" s="190"/>
      <c r="D231" s="190"/>
      <c r="E231" s="190"/>
      <c r="F231" s="190"/>
      <c r="G231" s="191"/>
      <c r="H231" s="434" t="s">
        <v>109</v>
      </c>
      <c r="I231" s="435"/>
      <c r="J231" s="435"/>
      <c r="K231" s="435"/>
      <c r="L231" s="435"/>
      <c r="M231" s="436"/>
      <c r="N231" s="79">
        <v>40</v>
      </c>
      <c r="O231" s="119"/>
      <c r="P231" s="99" t="s">
        <v>139</v>
      </c>
      <c r="Q231" s="99" t="s">
        <v>140</v>
      </c>
      <c r="R231" s="99" t="s">
        <v>141</v>
      </c>
      <c r="T231" s="113">
        <f t="shared" si="41"/>
        <v>5</v>
      </c>
      <c r="U231" s="113" t="s">
        <v>142</v>
      </c>
      <c r="V231" s="114"/>
      <c r="W231" s="114">
        <f t="shared" si="42"/>
        <v>0</v>
      </c>
      <c r="X231" s="114"/>
      <c r="Y231" s="115">
        <v>0</v>
      </c>
      <c r="Z231" s="116">
        <v>1</v>
      </c>
      <c r="AA231" s="117">
        <f t="shared" si="37"/>
        <v>0</v>
      </c>
      <c r="AB231" s="118">
        <f t="shared" si="38"/>
        <v>1</v>
      </c>
      <c r="AC231" s="118">
        <f t="shared" si="36"/>
        <v>45615</v>
      </c>
      <c r="AD231" s="118">
        <f t="shared" si="39"/>
        <v>-45614</v>
      </c>
      <c r="AE231" s="117">
        <f t="shared" si="40"/>
        <v>0</v>
      </c>
    </row>
    <row r="232" spans="2:31" ht="15.75" customHeight="1" thickBot="1" x14ac:dyDescent="0.3">
      <c r="B232" s="192"/>
      <c r="C232" s="193"/>
      <c r="D232" s="193"/>
      <c r="E232" s="193"/>
      <c r="F232" s="193"/>
      <c r="G232" s="194"/>
      <c r="H232" s="183" t="s">
        <v>44</v>
      </c>
      <c r="I232" s="184"/>
      <c r="J232" s="184"/>
      <c r="K232" s="184"/>
      <c r="L232" s="184"/>
      <c r="M232" s="185"/>
      <c r="N232" s="79">
        <f>SUM(N229:N231)</f>
        <v>200</v>
      </c>
      <c r="O232" s="119"/>
      <c r="P232" s="121">
        <v>125000</v>
      </c>
      <c r="Q232" s="108">
        <f>533287768/P232</f>
        <v>4266.3021440000002</v>
      </c>
      <c r="R232" s="108">
        <f>ROUNDUP(P232*Q232,-3)</f>
        <v>533288000</v>
      </c>
      <c r="T232" s="113">
        <f t="shared" si="41"/>
        <v>6</v>
      </c>
      <c r="U232" s="113" t="s">
        <v>143</v>
      </c>
      <c r="V232" s="114"/>
      <c r="W232" s="114">
        <f t="shared" si="42"/>
        <v>0</v>
      </c>
      <c r="X232" s="114"/>
      <c r="Y232" s="115">
        <v>0</v>
      </c>
      <c r="Z232" s="116">
        <v>1</v>
      </c>
      <c r="AA232" s="117">
        <f t="shared" si="37"/>
        <v>0</v>
      </c>
      <c r="AB232" s="118">
        <f t="shared" si="38"/>
        <v>1</v>
      </c>
      <c r="AC232" s="118">
        <f t="shared" si="36"/>
        <v>45615</v>
      </c>
      <c r="AD232" s="118">
        <f t="shared" si="39"/>
        <v>-45614</v>
      </c>
      <c r="AE232" s="117">
        <f t="shared" si="40"/>
        <v>0</v>
      </c>
    </row>
    <row r="233" spans="2:31" ht="15.75" customHeight="1" thickBot="1" x14ac:dyDescent="0.3">
      <c r="B233" s="183" t="s">
        <v>211</v>
      </c>
      <c r="C233" s="184"/>
      <c r="D233" s="184"/>
      <c r="E233" s="184"/>
      <c r="F233" s="184"/>
      <c r="G233" s="184"/>
      <c r="H233" s="184"/>
      <c r="I233" s="184"/>
      <c r="J233" s="184"/>
      <c r="K233" s="184"/>
      <c r="L233" s="184"/>
      <c r="M233" s="184"/>
      <c r="N233" s="185"/>
      <c r="O233" s="119"/>
      <c r="Q233" s="81" t="s">
        <v>144</v>
      </c>
      <c r="T233" s="113">
        <f t="shared" si="41"/>
        <v>7</v>
      </c>
      <c r="U233" s="113" t="s">
        <v>145</v>
      </c>
      <c r="V233" s="114"/>
      <c r="W233" s="114">
        <f t="shared" si="42"/>
        <v>0</v>
      </c>
      <c r="X233" s="114"/>
      <c r="Y233" s="115">
        <v>0</v>
      </c>
      <c r="Z233" s="116">
        <v>1</v>
      </c>
      <c r="AA233" s="117">
        <f t="shared" si="37"/>
        <v>0</v>
      </c>
      <c r="AB233" s="118">
        <f t="shared" si="38"/>
        <v>1</v>
      </c>
      <c r="AC233" s="118">
        <f t="shared" si="36"/>
        <v>45615</v>
      </c>
      <c r="AD233" s="118">
        <f t="shared" si="39"/>
        <v>-45614</v>
      </c>
      <c r="AE233" s="117">
        <f t="shared" si="40"/>
        <v>0</v>
      </c>
    </row>
    <row r="234" spans="2:31" ht="15.75" customHeight="1" thickBot="1" x14ac:dyDescent="0.3">
      <c r="B234" s="239" t="s">
        <v>125</v>
      </c>
      <c r="C234" s="240"/>
      <c r="D234" s="240"/>
      <c r="E234" s="240"/>
      <c r="F234" s="240"/>
      <c r="G234" s="240"/>
      <c r="H234" s="241"/>
      <c r="I234" s="183" t="s">
        <v>126</v>
      </c>
      <c r="J234" s="184"/>
      <c r="K234" s="184"/>
      <c r="L234" s="184"/>
      <c r="M234" s="184"/>
      <c r="N234" s="185"/>
      <c r="P234" s="183" t="s">
        <v>146</v>
      </c>
      <c r="Q234" s="185"/>
      <c r="R234" s="99" t="s">
        <v>147</v>
      </c>
      <c r="T234" s="113">
        <f t="shared" si="41"/>
        <v>8</v>
      </c>
      <c r="U234" s="113" t="s">
        <v>148</v>
      </c>
      <c r="V234" s="114"/>
      <c r="W234" s="114">
        <f t="shared" si="42"/>
        <v>0</v>
      </c>
      <c r="X234" s="114"/>
      <c r="Y234" s="115">
        <v>0</v>
      </c>
      <c r="Z234" s="116">
        <v>1</v>
      </c>
      <c r="AA234" s="117">
        <f t="shared" si="37"/>
        <v>0</v>
      </c>
      <c r="AB234" s="118">
        <f t="shared" si="38"/>
        <v>1</v>
      </c>
      <c r="AC234" s="118">
        <f t="shared" si="36"/>
        <v>45615</v>
      </c>
      <c r="AD234" s="118">
        <f t="shared" si="39"/>
        <v>-45614</v>
      </c>
      <c r="AE234" s="117">
        <f t="shared" si="40"/>
        <v>0</v>
      </c>
    </row>
    <row r="235" spans="2:31" ht="15.75" customHeight="1" thickBot="1" x14ac:dyDescent="0.3">
      <c r="B235" s="236" t="s">
        <v>127</v>
      </c>
      <c r="C235" s="237"/>
      <c r="D235" s="237"/>
      <c r="E235" s="237"/>
      <c r="F235" s="237"/>
      <c r="G235" s="237"/>
      <c r="H235" s="238"/>
      <c r="I235" s="168">
        <f>IF($H$11&gt;$R$31,$H$11,$R$31)</f>
        <v>533288000</v>
      </c>
      <c r="J235" s="169"/>
      <c r="K235" s="169"/>
      <c r="L235" s="169"/>
      <c r="M235" s="169"/>
      <c r="N235" s="170"/>
      <c r="P235" s="79">
        <v>0</v>
      </c>
      <c r="Q235" s="79">
        <v>3</v>
      </c>
      <c r="R235" s="79">
        <v>60</v>
      </c>
      <c r="T235" s="113">
        <f t="shared" si="41"/>
        <v>9</v>
      </c>
      <c r="U235" s="113" t="s">
        <v>149</v>
      </c>
      <c r="V235" s="114"/>
      <c r="W235" s="114">
        <f t="shared" si="42"/>
        <v>0</v>
      </c>
      <c r="X235" s="114"/>
      <c r="Y235" s="115">
        <v>0</v>
      </c>
      <c r="Z235" s="116">
        <v>1</v>
      </c>
      <c r="AA235" s="117">
        <f t="shared" si="37"/>
        <v>0</v>
      </c>
      <c r="AB235" s="118">
        <f t="shared" si="38"/>
        <v>1</v>
      </c>
      <c r="AC235" s="118">
        <f t="shared" si="36"/>
        <v>45615</v>
      </c>
      <c r="AD235" s="118">
        <f t="shared" si="39"/>
        <v>-45614</v>
      </c>
      <c r="AE235" s="117">
        <f t="shared" si="40"/>
        <v>0</v>
      </c>
    </row>
    <row r="236" spans="2:31" ht="15.75" customHeight="1" thickBot="1" x14ac:dyDescent="0.3">
      <c r="B236" s="183" t="s">
        <v>212</v>
      </c>
      <c r="C236" s="184"/>
      <c r="D236" s="184"/>
      <c r="E236" s="184"/>
      <c r="F236" s="184"/>
      <c r="G236" s="184"/>
      <c r="H236" s="184"/>
      <c r="I236" s="184"/>
      <c r="J236" s="184"/>
      <c r="K236" s="184"/>
      <c r="L236" s="184"/>
      <c r="M236" s="184"/>
      <c r="N236" s="185"/>
      <c r="P236" s="79">
        <v>3</v>
      </c>
      <c r="Q236" s="79">
        <v>6</v>
      </c>
      <c r="R236" s="79">
        <v>80</v>
      </c>
      <c r="T236" s="113">
        <f t="shared" si="41"/>
        <v>10</v>
      </c>
      <c r="U236" s="113" t="s">
        <v>150</v>
      </c>
      <c r="V236" s="114"/>
      <c r="W236" s="114">
        <f t="shared" si="42"/>
        <v>0</v>
      </c>
      <c r="X236" s="114"/>
      <c r="Y236" s="115">
        <v>0</v>
      </c>
      <c r="Z236" s="116">
        <v>1</v>
      </c>
      <c r="AA236" s="117">
        <f t="shared" si="37"/>
        <v>0</v>
      </c>
      <c r="AB236" s="118">
        <f t="shared" si="38"/>
        <v>1</v>
      </c>
      <c r="AC236" s="118">
        <f t="shared" si="36"/>
        <v>45615</v>
      </c>
      <c r="AD236" s="118">
        <f t="shared" si="39"/>
        <v>-45614</v>
      </c>
      <c r="AE236" s="117">
        <f t="shared" si="40"/>
        <v>0</v>
      </c>
    </row>
    <row r="237" spans="2:31" ht="15.75" customHeight="1" thickBot="1" x14ac:dyDescent="0.3">
      <c r="B237" s="183" t="s">
        <v>133</v>
      </c>
      <c r="C237" s="184"/>
      <c r="D237" s="184"/>
      <c r="E237" s="184"/>
      <c r="F237" s="184"/>
      <c r="G237" s="184"/>
      <c r="H237" s="184"/>
      <c r="I237" s="184"/>
      <c r="J237" s="184"/>
      <c r="K237" s="184"/>
      <c r="L237" s="184"/>
      <c r="M237" s="184"/>
      <c r="N237" s="185"/>
      <c r="P237" s="79">
        <v>6</v>
      </c>
      <c r="Q237" s="79">
        <v>10</v>
      </c>
      <c r="R237" s="79">
        <v>100</v>
      </c>
      <c r="T237" s="113">
        <f t="shared" si="41"/>
        <v>11</v>
      </c>
      <c r="U237" s="113" t="s">
        <v>151</v>
      </c>
      <c r="V237" s="114"/>
      <c r="W237" s="114">
        <f t="shared" si="42"/>
        <v>0</v>
      </c>
      <c r="X237" s="114"/>
      <c r="Y237" s="115">
        <v>0</v>
      </c>
      <c r="Z237" s="116">
        <v>1</v>
      </c>
      <c r="AA237" s="117">
        <f t="shared" si="37"/>
        <v>0</v>
      </c>
      <c r="AB237" s="118">
        <f t="shared" si="38"/>
        <v>1</v>
      </c>
      <c r="AC237" s="118">
        <f t="shared" si="36"/>
        <v>45615</v>
      </c>
      <c r="AD237" s="118">
        <f t="shared" si="39"/>
        <v>-45614</v>
      </c>
      <c r="AE237" s="117">
        <f t="shared" si="40"/>
        <v>0</v>
      </c>
    </row>
    <row r="238" spans="2:31" ht="15.75" customHeight="1" thickBot="1" x14ac:dyDescent="0.25">
      <c r="B238" s="122" t="s">
        <v>135</v>
      </c>
      <c r="C238" s="160" t="s">
        <v>136</v>
      </c>
      <c r="D238" s="122" t="s">
        <v>135</v>
      </c>
      <c r="E238" s="160" t="s">
        <v>136</v>
      </c>
      <c r="F238" s="122" t="s">
        <v>135</v>
      </c>
      <c r="G238" s="160" t="s">
        <v>136</v>
      </c>
      <c r="H238" s="122" t="s">
        <v>135</v>
      </c>
      <c r="I238" s="160" t="s">
        <v>136</v>
      </c>
      <c r="J238" s="122" t="s">
        <v>135</v>
      </c>
      <c r="K238" s="160" t="s">
        <v>136</v>
      </c>
      <c r="L238" s="122" t="s">
        <v>135</v>
      </c>
      <c r="M238" s="160" t="s">
        <v>136</v>
      </c>
      <c r="N238" s="195" t="s">
        <v>137</v>
      </c>
      <c r="P238" s="79">
        <v>10</v>
      </c>
      <c r="Q238" s="79"/>
      <c r="R238" s="79">
        <v>120</v>
      </c>
      <c r="T238" s="113">
        <f t="shared" si="41"/>
        <v>12</v>
      </c>
      <c r="U238" s="113" t="s">
        <v>152</v>
      </c>
      <c r="V238" s="114"/>
      <c r="W238" s="114">
        <f t="shared" si="42"/>
        <v>0</v>
      </c>
      <c r="X238" s="114"/>
      <c r="Y238" s="115">
        <v>0</v>
      </c>
      <c r="Z238" s="116">
        <v>1</v>
      </c>
      <c r="AA238" s="117">
        <f t="shared" si="37"/>
        <v>0</v>
      </c>
      <c r="AB238" s="118">
        <f t="shared" si="38"/>
        <v>1</v>
      </c>
      <c r="AC238" s="118">
        <f t="shared" si="36"/>
        <v>45615</v>
      </c>
      <c r="AD238" s="118">
        <f t="shared" si="39"/>
        <v>-45614</v>
      </c>
      <c r="AE238" s="117">
        <f t="shared" si="40"/>
        <v>0</v>
      </c>
    </row>
    <row r="239" spans="2:31" ht="15.75" customHeight="1" thickBot="1" x14ac:dyDescent="0.25">
      <c r="B239" s="123">
        <v>1</v>
      </c>
      <c r="C239" s="159"/>
      <c r="D239" s="123">
        <v>22</v>
      </c>
      <c r="E239" s="159"/>
      <c r="F239" s="123">
        <v>43</v>
      </c>
      <c r="G239" s="158"/>
      <c r="H239" s="123">
        <v>64</v>
      </c>
      <c r="I239" s="158"/>
      <c r="J239" s="123">
        <v>85</v>
      </c>
      <c r="K239" s="158"/>
      <c r="L239" s="123">
        <v>106</v>
      </c>
      <c r="M239" s="158"/>
      <c r="N239" s="196"/>
      <c r="P239" s="183" t="s">
        <v>153</v>
      </c>
      <c r="Q239" s="185"/>
      <c r="R239" s="99" t="s">
        <v>147</v>
      </c>
      <c r="T239" s="113">
        <f t="shared" si="41"/>
        <v>13</v>
      </c>
      <c r="U239" s="113" t="s">
        <v>154</v>
      </c>
      <c r="V239" s="114"/>
      <c r="W239" s="114">
        <f t="shared" si="42"/>
        <v>0</v>
      </c>
      <c r="X239" s="114"/>
      <c r="Y239" s="115">
        <v>0</v>
      </c>
      <c r="Z239" s="116">
        <v>1</v>
      </c>
      <c r="AA239" s="117">
        <f t="shared" si="37"/>
        <v>0</v>
      </c>
      <c r="AB239" s="118">
        <f t="shared" si="38"/>
        <v>1</v>
      </c>
      <c r="AC239" s="118">
        <f t="shared" si="36"/>
        <v>45615</v>
      </c>
      <c r="AD239" s="118">
        <f t="shared" si="39"/>
        <v>-45614</v>
      </c>
      <c r="AE239" s="117">
        <f t="shared" si="40"/>
        <v>0</v>
      </c>
    </row>
    <row r="240" spans="2:31" ht="15.75" customHeight="1" thickBot="1" x14ac:dyDescent="0.25">
      <c r="B240" s="123">
        <f>+B239+1</f>
        <v>2</v>
      </c>
      <c r="C240" s="159"/>
      <c r="D240" s="123">
        <f>+D239+1</f>
        <v>23</v>
      </c>
      <c r="E240" s="159"/>
      <c r="F240" s="123">
        <f>+F239+1</f>
        <v>44</v>
      </c>
      <c r="G240" s="158"/>
      <c r="H240" s="123">
        <f>+H239+1</f>
        <v>65</v>
      </c>
      <c r="I240" s="158"/>
      <c r="J240" s="123">
        <f>+J239+1</f>
        <v>86</v>
      </c>
      <c r="K240" s="158"/>
      <c r="L240" s="123">
        <f>+L239+1</f>
        <v>107</v>
      </c>
      <c r="M240" s="158"/>
      <c r="N240" s="196"/>
      <c r="P240" s="124">
        <v>0</v>
      </c>
      <c r="Q240" s="124">
        <v>0.5</v>
      </c>
      <c r="R240" s="79">
        <v>20</v>
      </c>
      <c r="T240" s="113">
        <f t="shared" si="41"/>
        <v>14</v>
      </c>
      <c r="U240" s="113" t="s">
        <v>155</v>
      </c>
      <c r="V240" s="114"/>
      <c r="W240" s="114">
        <f t="shared" si="42"/>
        <v>0</v>
      </c>
      <c r="X240" s="114"/>
      <c r="Y240" s="115">
        <v>0</v>
      </c>
      <c r="Z240" s="116">
        <v>1</v>
      </c>
      <c r="AA240" s="117">
        <f t="shared" si="37"/>
        <v>0</v>
      </c>
      <c r="AB240" s="118">
        <f t="shared" si="38"/>
        <v>1</v>
      </c>
      <c r="AC240" s="118">
        <f t="shared" si="36"/>
        <v>45615</v>
      </c>
      <c r="AD240" s="118">
        <f t="shared" si="39"/>
        <v>-45614</v>
      </c>
      <c r="AE240" s="117">
        <f t="shared" si="40"/>
        <v>0</v>
      </c>
    </row>
    <row r="241" spans="2:31" ht="15.75" customHeight="1" thickBot="1" x14ac:dyDescent="0.25">
      <c r="B241" s="123">
        <f t="shared" ref="B241:B259" si="43">+B240+1</f>
        <v>3</v>
      </c>
      <c r="C241" s="159"/>
      <c r="D241" s="123">
        <f t="shared" ref="D241:L259" si="44">+D240+1</f>
        <v>24</v>
      </c>
      <c r="E241" s="159"/>
      <c r="F241" s="123">
        <f t="shared" si="44"/>
        <v>45</v>
      </c>
      <c r="G241" s="158"/>
      <c r="H241" s="123">
        <f t="shared" si="44"/>
        <v>66</v>
      </c>
      <c r="I241" s="158"/>
      <c r="J241" s="123">
        <f t="shared" si="44"/>
        <v>87</v>
      </c>
      <c r="K241" s="158"/>
      <c r="L241" s="123">
        <f t="shared" si="44"/>
        <v>108</v>
      </c>
      <c r="M241" s="158"/>
      <c r="N241" s="196"/>
      <c r="P241" s="124">
        <v>0.5</v>
      </c>
      <c r="Q241" s="124">
        <v>0.75</v>
      </c>
      <c r="R241" s="79">
        <v>25</v>
      </c>
      <c r="T241" s="113">
        <f t="shared" si="41"/>
        <v>15</v>
      </c>
      <c r="U241" s="113" t="s">
        <v>156</v>
      </c>
      <c r="V241" s="114"/>
      <c r="W241" s="114">
        <f t="shared" si="42"/>
        <v>0</v>
      </c>
      <c r="X241" s="114"/>
      <c r="Y241" s="115">
        <v>0</v>
      </c>
      <c r="Z241" s="116">
        <v>1</v>
      </c>
      <c r="AA241" s="117">
        <f t="shared" si="37"/>
        <v>0</v>
      </c>
      <c r="AB241" s="118">
        <f t="shared" si="38"/>
        <v>1</v>
      </c>
      <c r="AC241" s="118">
        <f t="shared" si="36"/>
        <v>45615</v>
      </c>
      <c r="AD241" s="118">
        <f t="shared" si="39"/>
        <v>-45614</v>
      </c>
      <c r="AE241" s="117">
        <f t="shared" si="40"/>
        <v>0</v>
      </c>
    </row>
    <row r="242" spans="2:31" ht="15.75" customHeight="1" thickBot="1" x14ac:dyDescent="0.25">
      <c r="B242" s="123">
        <f t="shared" si="43"/>
        <v>4</v>
      </c>
      <c r="C242" s="159"/>
      <c r="D242" s="123">
        <f t="shared" si="44"/>
        <v>25</v>
      </c>
      <c r="E242" s="159"/>
      <c r="F242" s="123">
        <f t="shared" si="44"/>
        <v>46</v>
      </c>
      <c r="G242" s="158"/>
      <c r="H242" s="123">
        <f t="shared" si="44"/>
        <v>67</v>
      </c>
      <c r="I242" s="158"/>
      <c r="J242" s="123">
        <f t="shared" si="44"/>
        <v>88</v>
      </c>
      <c r="K242" s="158"/>
      <c r="L242" s="123">
        <f t="shared" si="44"/>
        <v>109</v>
      </c>
      <c r="M242" s="158"/>
      <c r="N242" s="196"/>
      <c r="P242" s="124">
        <v>0.75</v>
      </c>
      <c r="Q242" s="124">
        <v>1</v>
      </c>
      <c r="R242" s="79">
        <v>30</v>
      </c>
      <c r="T242" s="113">
        <f t="shared" si="41"/>
        <v>16</v>
      </c>
      <c r="U242" s="113" t="s">
        <v>157</v>
      </c>
      <c r="V242" s="114"/>
      <c r="W242" s="114">
        <f t="shared" si="42"/>
        <v>0</v>
      </c>
      <c r="X242" s="114"/>
      <c r="Y242" s="115">
        <v>0</v>
      </c>
      <c r="Z242" s="116">
        <v>1</v>
      </c>
      <c r="AA242" s="117">
        <f t="shared" si="37"/>
        <v>0</v>
      </c>
      <c r="AB242" s="118">
        <f t="shared" si="38"/>
        <v>1</v>
      </c>
      <c r="AC242" s="118">
        <f t="shared" si="36"/>
        <v>45615</v>
      </c>
      <c r="AD242" s="118">
        <f t="shared" si="39"/>
        <v>-45614</v>
      </c>
      <c r="AE242" s="117">
        <f t="shared" si="40"/>
        <v>0</v>
      </c>
    </row>
    <row r="243" spans="2:31" ht="15.75" customHeight="1" thickBot="1" x14ac:dyDescent="0.25">
      <c r="B243" s="123">
        <f t="shared" si="43"/>
        <v>5</v>
      </c>
      <c r="C243" s="159"/>
      <c r="D243" s="123">
        <f t="shared" si="44"/>
        <v>26</v>
      </c>
      <c r="E243" s="159"/>
      <c r="F243" s="123">
        <f t="shared" si="44"/>
        <v>47</v>
      </c>
      <c r="G243" s="158"/>
      <c r="H243" s="123">
        <f t="shared" si="44"/>
        <v>68</v>
      </c>
      <c r="I243" s="158"/>
      <c r="J243" s="123">
        <f t="shared" si="44"/>
        <v>89</v>
      </c>
      <c r="K243" s="158"/>
      <c r="L243" s="123">
        <f t="shared" si="44"/>
        <v>110</v>
      </c>
      <c r="M243" s="158"/>
      <c r="N243" s="196"/>
      <c r="P243" s="124">
        <v>1</v>
      </c>
      <c r="Q243" s="124">
        <v>1.5</v>
      </c>
      <c r="R243" s="79">
        <v>35</v>
      </c>
      <c r="T243" s="113">
        <f t="shared" si="41"/>
        <v>17</v>
      </c>
      <c r="U243" s="113" t="s">
        <v>158</v>
      </c>
      <c r="V243" s="114"/>
      <c r="W243" s="114">
        <f t="shared" si="42"/>
        <v>0</v>
      </c>
      <c r="X243" s="114"/>
      <c r="Y243" s="115">
        <v>0</v>
      </c>
      <c r="Z243" s="116">
        <v>1</v>
      </c>
      <c r="AA243" s="117">
        <f t="shared" si="37"/>
        <v>0</v>
      </c>
      <c r="AB243" s="118">
        <f t="shared" si="38"/>
        <v>1</v>
      </c>
      <c r="AC243" s="118">
        <f t="shared" si="36"/>
        <v>45615</v>
      </c>
      <c r="AD243" s="118">
        <f t="shared" si="39"/>
        <v>-45614</v>
      </c>
      <c r="AE243" s="117">
        <f t="shared" si="40"/>
        <v>0</v>
      </c>
    </row>
    <row r="244" spans="2:31" ht="15.75" customHeight="1" thickBot="1" x14ac:dyDescent="0.25">
      <c r="B244" s="123">
        <f t="shared" si="43"/>
        <v>6</v>
      </c>
      <c r="C244" s="159"/>
      <c r="D244" s="123">
        <f t="shared" si="44"/>
        <v>27</v>
      </c>
      <c r="E244" s="159"/>
      <c r="F244" s="123">
        <f t="shared" si="44"/>
        <v>48</v>
      </c>
      <c r="G244" s="158"/>
      <c r="H244" s="123">
        <f t="shared" si="44"/>
        <v>69</v>
      </c>
      <c r="I244" s="158"/>
      <c r="J244" s="123">
        <f t="shared" si="44"/>
        <v>90</v>
      </c>
      <c r="K244" s="158"/>
      <c r="L244" s="123">
        <f t="shared" si="44"/>
        <v>111</v>
      </c>
      <c r="M244" s="158"/>
      <c r="N244" s="196"/>
      <c r="P244" s="124">
        <v>1.5</v>
      </c>
      <c r="Q244" s="124"/>
      <c r="R244" s="79">
        <v>40</v>
      </c>
      <c r="T244" s="113">
        <f t="shared" si="41"/>
        <v>18</v>
      </c>
      <c r="U244" s="113" t="s">
        <v>159</v>
      </c>
      <c r="V244" s="114"/>
      <c r="W244" s="114">
        <f t="shared" si="42"/>
        <v>0</v>
      </c>
      <c r="X244" s="114"/>
      <c r="Y244" s="115">
        <v>0</v>
      </c>
      <c r="Z244" s="116">
        <v>1</v>
      </c>
      <c r="AA244" s="117">
        <f t="shared" si="37"/>
        <v>0</v>
      </c>
      <c r="AB244" s="118">
        <f t="shared" si="38"/>
        <v>1</v>
      </c>
      <c r="AC244" s="118">
        <f t="shared" si="36"/>
        <v>45615</v>
      </c>
      <c r="AD244" s="118">
        <f t="shared" si="39"/>
        <v>-45614</v>
      </c>
      <c r="AE244" s="117">
        <f t="shared" si="40"/>
        <v>0</v>
      </c>
    </row>
    <row r="245" spans="2:31" ht="15.75" customHeight="1" thickBot="1" x14ac:dyDescent="0.25">
      <c r="B245" s="123">
        <f t="shared" si="43"/>
        <v>7</v>
      </c>
      <c r="C245" s="159"/>
      <c r="D245" s="123">
        <f t="shared" si="44"/>
        <v>28</v>
      </c>
      <c r="E245" s="159"/>
      <c r="F245" s="123">
        <f t="shared" si="44"/>
        <v>49</v>
      </c>
      <c r="G245" s="158"/>
      <c r="H245" s="123">
        <f t="shared" si="44"/>
        <v>70</v>
      </c>
      <c r="I245" s="158"/>
      <c r="J245" s="123">
        <f t="shared" si="44"/>
        <v>91</v>
      </c>
      <c r="K245" s="158"/>
      <c r="L245" s="123">
        <f t="shared" si="44"/>
        <v>112</v>
      </c>
      <c r="M245" s="158"/>
      <c r="N245" s="196"/>
      <c r="P245" s="183" t="s">
        <v>160</v>
      </c>
      <c r="Q245" s="185"/>
      <c r="R245" s="99" t="s">
        <v>147</v>
      </c>
      <c r="T245" s="113">
        <f t="shared" si="41"/>
        <v>19</v>
      </c>
      <c r="U245" s="113" t="s">
        <v>161</v>
      </c>
      <c r="V245" s="114"/>
      <c r="W245" s="114">
        <f t="shared" si="42"/>
        <v>0</v>
      </c>
      <c r="X245" s="114"/>
      <c r="Y245" s="115">
        <v>0</v>
      </c>
      <c r="Z245" s="116">
        <v>1</v>
      </c>
      <c r="AA245" s="117">
        <f t="shared" si="37"/>
        <v>0</v>
      </c>
      <c r="AB245" s="118">
        <f t="shared" si="38"/>
        <v>1</v>
      </c>
      <c r="AC245" s="118">
        <f t="shared" si="36"/>
        <v>45615</v>
      </c>
      <c r="AD245" s="118">
        <f t="shared" si="39"/>
        <v>-45614</v>
      </c>
      <c r="AE245" s="117">
        <f t="shared" si="40"/>
        <v>0</v>
      </c>
    </row>
    <row r="246" spans="2:31" ht="15.75" customHeight="1" thickBot="1" x14ac:dyDescent="0.25">
      <c r="B246" s="123">
        <f t="shared" si="43"/>
        <v>8</v>
      </c>
      <c r="C246" s="159"/>
      <c r="D246" s="123">
        <f t="shared" si="44"/>
        <v>29</v>
      </c>
      <c r="E246" s="159"/>
      <c r="F246" s="123">
        <f t="shared" si="44"/>
        <v>50</v>
      </c>
      <c r="G246" s="158"/>
      <c r="H246" s="123">
        <f t="shared" si="44"/>
        <v>71</v>
      </c>
      <c r="I246" s="158"/>
      <c r="J246" s="123">
        <f t="shared" si="44"/>
        <v>92</v>
      </c>
      <c r="K246" s="158"/>
      <c r="L246" s="123">
        <f t="shared" si="44"/>
        <v>113</v>
      </c>
      <c r="M246" s="158"/>
      <c r="N246" s="196"/>
      <c r="P246" s="79"/>
      <c r="Q246" s="79"/>
      <c r="R246" s="79">
        <v>0</v>
      </c>
      <c r="T246" s="113">
        <f t="shared" si="41"/>
        <v>20</v>
      </c>
      <c r="U246" s="113" t="s">
        <v>162</v>
      </c>
      <c r="V246" s="114"/>
      <c r="W246" s="114">
        <f t="shared" si="42"/>
        <v>0</v>
      </c>
      <c r="X246" s="114"/>
      <c r="Y246" s="115">
        <v>0</v>
      </c>
      <c r="Z246" s="116">
        <v>1</v>
      </c>
      <c r="AA246" s="117">
        <f t="shared" si="37"/>
        <v>0</v>
      </c>
      <c r="AB246" s="118">
        <f t="shared" si="38"/>
        <v>1</v>
      </c>
      <c r="AC246" s="118">
        <f t="shared" si="36"/>
        <v>45615</v>
      </c>
      <c r="AD246" s="118">
        <f t="shared" si="39"/>
        <v>-45614</v>
      </c>
      <c r="AE246" s="117">
        <f t="shared" si="40"/>
        <v>0</v>
      </c>
    </row>
    <row r="247" spans="2:31" ht="15.75" customHeight="1" thickBot="1" x14ac:dyDescent="0.25">
      <c r="B247" s="123">
        <f t="shared" si="43"/>
        <v>9</v>
      </c>
      <c r="C247" s="159"/>
      <c r="D247" s="123">
        <f t="shared" si="44"/>
        <v>30</v>
      </c>
      <c r="E247" s="159"/>
      <c r="F247" s="123">
        <f t="shared" si="44"/>
        <v>51</v>
      </c>
      <c r="G247" s="158"/>
      <c r="H247" s="123">
        <f t="shared" si="44"/>
        <v>72</v>
      </c>
      <c r="I247" s="158"/>
      <c r="J247" s="123">
        <f t="shared" si="44"/>
        <v>93</v>
      </c>
      <c r="K247" s="158"/>
      <c r="L247" s="123">
        <f t="shared" si="44"/>
        <v>114</v>
      </c>
      <c r="M247" s="158"/>
      <c r="N247" s="196"/>
      <c r="P247" s="79">
        <v>0</v>
      </c>
      <c r="Q247" s="79">
        <v>5</v>
      </c>
      <c r="R247" s="79">
        <v>20</v>
      </c>
      <c r="T247" s="113">
        <f t="shared" si="41"/>
        <v>21</v>
      </c>
      <c r="U247" s="113" t="s">
        <v>163</v>
      </c>
      <c r="V247" s="114"/>
      <c r="W247" s="114">
        <f t="shared" si="42"/>
        <v>0</v>
      </c>
      <c r="X247" s="114"/>
      <c r="Y247" s="115">
        <v>0</v>
      </c>
      <c r="Z247" s="116">
        <v>1</v>
      </c>
      <c r="AA247" s="117">
        <f t="shared" si="37"/>
        <v>0</v>
      </c>
      <c r="AB247" s="118">
        <f t="shared" si="38"/>
        <v>1</v>
      </c>
      <c r="AC247" s="118">
        <f t="shared" si="36"/>
        <v>45615</v>
      </c>
      <c r="AD247" s="118">
        <f t="shared" si="39"/>
        <v>-45614</v>
      </c>
      <c r="AE247" s="117">
        <f t="shared" si="40"/>
        <v>0</v>
      </c>
    </row>
    <row r="248" spans="2:31" ht="15.75" customHeight="1" thickBot="1" x14ac:dyDescent="0.25">
      <c r="B248" s="123">
        <f t="shared" si="43"/>
        <v>10</v>
      </c>
      <c r="C248" s="159"/>
      <c r="D248" s="123">
        <f t="shared" si="44"/>
        <v>31</v>
      </c>
      <c r="E248" s="159"/>
      <c r="F248" s="123">
        <f t="shared" si="44"/>
        <v>52</v>
      </c>
      <c r="G248" s="158"/>
      <c r="H248" s="123">
        <f t="shared" si="44"/>
        <v>73</v>
      </c>
      <c r="I248" s="158"/>
      <c r="J248" s="123">
        <f t="shared" si="44"/>
        <v>94</v>
      </c>
      <c r="K248" s="158"/>
      <c r="L248" s="123">
        <f t="shared" si="44"/>
        <v>115</v>
      </c>
      <c r="M248" s="158"/>
      <c r="N248" s="196"/>
      <c r="P248" s="79">
        <v>5</v>
      </c>
      <c r="Q248" s="79">
        <v>10</v>
      </c>
      <c r="R248" s="79">
        <v>30</v>
      </c>
      <c r="T248" s="113">
        <f t="shared" si="41"/>
        <v>22</v>
      </c>
      <c r="U248" s="113" t="s">
        <v>164</v>
      </c>
      <c r="V248" s="114"/>
      <c r="W248" s="114">
        <f t="shared" si="42"/>
        <v>0</v>
      </c>
      <c r="X248" s="114"/>
      <c r="Y248" s="115">
        <v>0</v>
      </c>
      <c r="Z248" s="116">
        <v>1</v>
      </c>
      <c r="AA248" s="117">
        <f t="shared" si="37"/>
        <v>0</v>
      </c>
      <c r="AB248" s="118">
        <f t="shared" si="38"/>
        <v>1</v>
      </c>
      <c r="AC248" s="118">
        <f t="shared" si="36"/>
        <v>45615</v>
      </c>
      <c r="AD248" s="118">
        <f t="shared" si="39"/>
        <v>-45614</v>
      </c>
      <c r="AE248" s="117">
        <f t="shared" si="40"/>
        <v>0</v>
      </c>
    </row>
    <row r="249" spans="2:31" ht="15.75" customHeight="1" thickBot="1" x14ac:dyDescent="0.25">
      <c r="B249" s="123">
        <f t="shared" si="43"/>
        <v>11</v>
      </c>
      <c r="C249" s="158"/>
      <c r="D249" s="123">
        <f t="shared" si="44"/>
        <v>32</v>
      </c>
      <c r="E249" s="158"/>
      <c r="F249" s="123">
        <f t="shared" si="44"/>
        <v>53</v>
      </c>
      <c r="G249" s="158"/>
      <c r="H249" s="123">
        <f t="shared" si="44"/>
        <v>74</v>
      </c>
      <c r="I249" s="158"/>
      <c r="J249" s="123">
        <f t="shared" si="44"/>
        <v>95</v>
      </c>
      <c r="K249" s="158"/>
      <c r="L249" s="123">
        <f t="shared" si="44"/>
        <v>116</v>
      </c>
      <c r="M249" s="158"/>
      <c r="N249" s="196"/>
      <c r="P249" s="79">
        <v>10</v>
      </c>
      <c r="Q249" s="79"/>
      <c r="R249" s="79">
        <v>40</v>
      </c>
      <c r="T249" s="113">
        <f t="shared" si="41"/>
        <v>23</v>
      </c>
      <c r="U249" s="113" t="s">
        <v>165</v>
      </c>
      <c r="V249" s="114"/>
      <c r="W249" s="114">
        <f t="shared" si="42"/>
        <v>0</v>
      </c>
      <c r="X249" s="114"/>
      <c r="Y249" s="115">
        <v>0</v>
      </c>
      <c r="Z249" s="116">
        <v>1</v>
      </c>
      <c r="AA249" s="117">
        <f t="shared" si="37"/>
        <v>0</v>
      </c>
      <c r="AB249" s="118">
        <f t="shared" si="38"/>
        <v>1</v>
      </c>
      <c r="AC249" s="118">
        <f t="shared" si="36"/>
        <v>45615</v>
      </c>
      <c r="AD249" s="118">
        <f t="shared" si="39"/>
        <v>-45614</v>
      </c>
      <c r="AE249" s="117">
        <f t="shared" si="40"/>
        <v>0</v>
      </c>
    </row>
    <row r="250" spans="2:31" ht="15.75" customHeight="1" thickBot="1" x14ac:dyDescent="0.25">
      <c r="B250" s="123">
        <f t="shared" si="43"/>
        <v>12</v>
      </c>
      <c r="C250" s="158"/>
      <c r="D250" s="123">
        <f t="shared" si="44"/>
        <v>33</v>
      </c>
      <c r="E250" s="158"/>
      <c r="F250" s="123">
        <f t="shared" si="44"/>
        <v>54</v>
      </c>
      <c r="G250" s="158"/>
      <c r="H250" s="123">
        <f t="shared" si="44"/>
        <v>75</v>
      </c>
      <c r="I250" s="158"/>
      <c r="J250" s="123">
        <f t="shared" si="44"/>
        <v>96</v>
      </c>
      <c r="K250" s="158"/>
      <c r="L250" s="123">
        <f t="shared" si="44"/>
        <v>117</v>
      </c>
      <c r="M250" s="158"/>
      <c r="N250" s="196"/>
      <c r="T250" s="113">
        <f t="shared" si="41"/>
        <v>24</v>
      </c>
      <c r="U250" s="113" t="s">
        <v>166</v>
      </c>
      <c r="V250" s="114"/>
      <c r="W250" s="114">
        <f t="shared" si="42"/>
        <v>0</v>
      </c>
      <c r="X250" s="114"/>
      <c r="Y250" s="115">
        <v>0</v>
      </c>
      <c r="Z250" s="116">
        <v>1</v>
      </c>
      <c r="AA250" s="117">
        <f t="shared" si="37"/>
        <v>0</v>
      </c>
      <c r="AB250" s="118">
        <f t="shared" si="38"/>
        <v>1</v>
      </c>
      <c r="AC250" s="118">
        <f t="shared" si="36"/>
        <v>45615</v>
      </c>
      <c r="AD250" s="118">
        <f t="shared" si="39"/>
        <v>-45614</v>
      </c>
      <c r="AE250" s="117">
        <f t="shared" si="40"/>
        <v>0</v>
      </c>
    </row>
    <row r="251" spans="2:31" ht="15.75" customHeight="1" thickBot="1" x14ac:dyDescent="0.25">
      <c r="B251" s="123">
        <f t="shared" si="43"/>
        <v>13</v>
      </c>
      <c r="C251" s="158"/>
      <c r="D251" s="123">
        <f t="shared" si="44"/>
        <v>34</v>
      </c>
      <c r="E251" s="158"/>
      <c r="F251" s="123">
        <f t="shared" si="44"/>
        <v>55</v>
      </c>
      <c r="G251" s="158"/>
      <c r="H251" s="123">
        <f t="shared" si="44"/>
        <v>76</v>
      </c>
      <c r="I251" s="158"/>
      <c r="J251" s="123">
        <f t="shared" si="44"/>
        <v>97</v>
      </c>
      <c r="K251" s="158"/>
      <c r="L251" s="123">
        <f t="shared" si="44"/>
        <v>118</v>
      </c>
      <c r="M251" s="158"/>
      <c r="N251" s="196"/>
      <c r="R251" s="130" t="s">
        <v>213</v>
      </c>
      <c r="T251" s="113">
        <f t="shared" si="41"/>
        <v>25</v>
      </c>
      <c r="U251" s="113" t="s">
        <v>168</v>
      </c>
      <c r="V251" s="114"/>
      <c r="W251" s="114">
        <f t="shared" si="42"/>
        <v>0</v>
      </c>
      <c r="X251" s="114"/>
      <c r="Y251" s="115">
        <v>0</v>
      </c>
      <c r="Z251" s="116">
        <v>1</v>
      </c>
      <c r="AA251" s="117">
        <f t="shared" si="37"/>
        <v>0</v>
      </c>
      <c r="AB251" s="118">
        <f t="shared" si="38"/>
        <v>1</v>
      </c>
      <c r="AC251" s="118">
        <f t="shared" si="36"/>
        <v>45615</v>
      </c>
      <c r="AD251" s="118">
        <f t="shared" si="39"/>
        <v>-45614</v>
      </c>
      <c r="AE251" s="117">
        <f t="shared" si="40"/>
        <v>0</v>
      </c>
    </row>
    <row r="252" spans="2:31" ht="15.75" customHeight="1" thickBot="1" x14ac:dyDescent="0.25">
      <c r="B252" s="123">
        <f t="shared" si="43"/>
        <v>14</v>
      </c>
      <c r="C252" s="158"/>
      <c r="D252" s="123">
        <f t="shared" si="44"/>
        <v>35</v>
      </c>
      <c r="E252" s="158"/>
      <c r="F252" s="123">
        <f t="shared" si="44"/>
        <v>56</v>
      </c>
      <c r="G252" s="158"/>
      <c r="H252" s="123">
        <f t="shared" si="44"/>
        <v>77</v>
      </c>
      <c r="I252" s="158"/>
      <c r="J252" s="123">
        <f t="shared" si="44"/>
        <v>98</v>
      </c>
      <c r="K252" s="158"/>
      <c r="L252" s="123">
        <f t="shared" si="44"/>
        <v>119</v>
      </c>
      <c r="M252" s="158"/>
      <c r="N252" s="196"/>
      <c r="P252" s="82" t="s">
        <v>201</v>
      </c>
      <c r="R252" s="131">
        <v>17282722097</v>
      </c>
      <c r="T252" s="113">
        <f t="shared" si="41"/>
        <v>26</v>
      </c>
      <c r="U252" s="113" t="s">
        <v>170</v>
      </c>
      <c r="V252" s="114"/>
      <c r="W252" s="114">
        <f t="shared" si="42"/>
        <v>0</v>
      </c>
      <c r="X252" s="114"/>
      <c r="Y252" s="115">
        <v>0</v>
      </c>
      <c r="Z252" s="116">
        <v>1</v>
      </c>
      <c r="AA252" s="117">
        <f t="shared" si="37"/>
        <v>0</v>
      </c>
      <c r="AB252" s="118">
        <f t="shared" si="38"/>
        <v>1</v>
      </c>
      <c r="AC252" s="118">
        <f t="shared" si="36"/>
        <v>45615</v>
      </c>
      <c r="AD252" s="118">
        <f t="shared" si="39"/>
        <v>-45614</v>
      </c>
      <c r="AE252" s="117">
        <f t="shared" si="40"/>
        <v>0</v>
      </c>
    </row>
    <row r="253" spans="2:31" ht="15.75" customHeight="1" thickBot="1" x14ac:dyDescent="0.25">
      <c r="B253" s="123">
        <f t="shared" si="43"/>
        <v>15</v>
      </c>
      <c r="C253" s="158"/>
      <c r="D253" s="123">
        <f t="shared" si="44"/>
        <v>36</v>
      </c>
      <c r="E253" s="158"/>
      <c r="F253" s="123">
        <f t="shared" si="44"/>
        <v>57</v>
      </c>
      <c r="G253" s="158"/>
      <c r="H253" s="123">
        <f t="shared" si="44"/>
        <v>78</v>
      </c>
      <c r="I253" s="158"/>
      <c r="J253" s="123">
        <f t="shared" si="44"/>
        <v>99</v>
      </c>
      <c r="K253" s="158"/>
      <c r="L253" s="123">
        <f t="shared" si="44"/>
        <v>120</v>
      </c>
      <c r="M253" s="158"/>
      <c r="N253" s="196"/>
      <c r="O253" s="125"/>
      <c r="P253" s="82" t="s">
        <v>214</v>
      </c>
      <c r="R253" s="131">
        <v>14101948434</v>
      </c>
      <c r="T253" s="113">
        <f t="shared" si="41"/>
        <v>27</v>
      </c>
      <c r="U253" s="113" t="s">
        <v>172</v>
      </c>
      <c r="V253" s="114"/>
      <c r="W253" s="114">
        <f t="shared" si="42"/>
        <v>0</v>
      </c>
      <c r="X253" s="114"/>
      <c r="Y253" s="115">
        <v>0</v>
      </c>
      <c r="Z253" s="116">
        <v>1</v>
      </c>
      <c r="AA253" s="117">
        <f t="shared" si="37"/>
        <v>0</v>
      </c>
      <c r="AB253" s="118">
        <f t="shared" si="38"/>
        <v>1</v>
      </c>
      <c r="AC253" s="118">
        <f t="shared" si="36"/>
        <v>45615</v>
      </c>
      <c r="AD253" s="118">
        <f t="shared" si="39"/>
        <v>-45614</v>
      </c>
      <c r="AE253" s="117">
        <f t="shared" si="40"/>
        <v>0</v>
      </c>
    </row>
    <row r="254" spans="2:31" ht="15.75" customHeight="1" thickBot="1" x14ac:dyDescent="0.25">
      <c r="B254" s="123">
        <f t="shared" si="43"/>
        <v>16</v>
      </c>
      <c r="C254" s="158"/>
      <c r="D254" s="123">
        <f t="shared" si="44"/>
        <v>37</v>
      </c>
      <c r="E254" s="158"/>
      <c r="F254" s="123">
        <f t="shared" si="44"/>
        <v>58</v>
      </c>
      <c r="G254" s="158"/>
      <c r="H254" s="123">
        <f t="shared" si="44"/>
        <v>79</v>
      </c>
      <c r="I254" s="158"/>
      <c r="J254" s="123">
        <f t="shared" si="44"/>
        <v>100</v>
      </c>
      <c r="K254" s="158"/>
      <c r="L254" s="123">
        <f t="shared" si="44"/>
        <v>121</v>
      </c>
      <c r="M254" s="158"/>
      <c r="N254" s="196"/>
      <c r="O254" s="125"/>
      <c r="P254" s="82" t="s">
        <v>202</v>
      </c>
      <c r="R254" s="131">
        <v>8860786921</v>
      </c>
      <c r="T254" s="113">
        <f t="shared" si="41"/>
        <v>28</v>
      </c>
      <c r="U254" s="113" t="s">
        <v>174</v>
      </c>
      <c r="V254" s="114"/>
      <c r="W254" s="114">
        <f t="shared" si="42"/>
        <v>0</v>
      </c>
      <c r="X254" s="114"/>
      <c r="Y254" s="115">
        <v>0</v>
      </c>
      <c r="Z254" s="116">
        <v>1</v>
      </c>
      <c r="AA254" s="117">
        <f t="shared" si="37"/>
        <v>0</v>
      </c>
      <c r="AB254" s="118">
        <f t="shared" si="38"/>
        <v>1</v>
      </c>
      <c r="AC254" s="118">
        <f t="shared" si="36"/>
        <v>45615</v>
      </c>
      <c r="AD254" s="118">
        <f t="shared" si="39"/>
        <v>-45614</v>
      </c>
      <c r="AE254" s="117">
        <f t="shared" si="40"/>
        <v>0</v>
      </c>
    </row>
    <row r="255" spans="2:31" ht="15.75" customHeight="1" thickBot="1" x14ac:dyDescent="0.25">
      <c r="B255" s="123">
        <f t="shared" si="43"/>
        <v>17</v>
      </c>
      <c r="C255" s="158"/>
      <c r="D255" s="123">
        <f t="shared" si="44"/>
        <v>38</v>
      </c>
      <c r="E255" s="158"/>
      <c r="F255" s="123">
        <f t="shared" si="44"/>
        <v>59</v>
      </c>
      <c r="G255" s="158"/>
      <c r="H255" s="123">
        <f t="shared" si="44"/>
        <v>80</v>
      </c>
      <c r="I255" s="158"/>
      <c r="J255" s="123">
        <f t="shared" si="44"/>
        <v>101</v>
      </c>
      <c r="K255" s="158"/>
      <c r="L255" s="123">
        <f t="shared" si="44"/>
        <v>122</v>
      </c>
      <c r="M255" s="158"/>
      <c r="N255" s="196"/>
      <c r="O255" s="125"/>
      <c r="P255" s="82" t="s">
        <v>203</v>
      </c>
      <c r="R255" s="131">
        <v>19587312969</v>
      </c>
      <c r="T255" s="113">
        <f t="shared" si="41"/>
        <v>29</v>
      </c>
      <c r="U255" s="113" t="s">
        <v>176</v>
      </c>
      <c r="V255" s="114"/>
      <c r="W255" s="114">
        <f t="shared" si="42"/>
        <v>0</v>
      </c>
      <c r="X255" s="114"/>
      <c r="Y255" s="115">
        <v>0</v>
      </c>
      <c r="Z255" s="116">
        <v>1</v>
      </c>
      <c r="AA255" s="117">
        <f t="shared" si="37"/>
        <v>0</v>
      </c>
      <c r="AB255" s="118">
        <f t="shared" si="38"/>
        <v>1</v>
      </c>
      <c r="AC255" s="118">
        <f t="shared" si="36"/>
        <v>45615</v>
      </c>
      <c r="AD255" s="118">
        <f t="shared" si="39"/>
        <v>-45614</v>
      </c>
      <c r="AE255" s="117">
        <f t="shared" si="40"/>
        <v>0</v>
      </c>
    </row>
    <row r="256" spans="2:31" ht="15.75" customHeight="1" thickBot="1" x14ac:dyDescent="0.25">
      <c r="B256" s="123">
        <f t="shared" si="43"/>
        <v>18</v>
      </c>
      <c r="C256" s="158"/>
      <c r="D256" s="123">
        <f t="shared" si="44"/>
        <v>39</v>
      </c>
      <c r="E256" s="158"/>
      <c r="F256" s="123">
        <f t="shared" si="44"/>
        <v>60</v>
      </c>
      <c r="G256" s="158"/>
      <c r="H256" s="123">
        <f t="shared" si="44"/>
        <v>81</v>
      </c>
      <c r="I256" s="158"/>
      <c r="J256" s="123">
        <f t="shared" si="44"/>
        <v>102</v>
      </c>
      <c r="K256" s="158"/>
      <c r="L256" s="123">
        <f t="shared" si="44"/>
        <v>123</v>
      </c>
      <c r="M256" s="158"/>
      <c r="N256" s="196"/>
      <c r="O256" s="125"/>
      <c r="P256" s="82" t="s">
        <v>204</v>
      </c>
      <c r="R256" s="131">
        <v>10049355290</v>
      </c>
      <c r="T256" s="113">
        <f t="shared" si="41"/>
        <v>30</v>
      </c>
      <c r="U256" s="113" t="s">
        <v>178</v>
      </c>
      <c r="V256" s="114"/>
      <c r="W256" s="114">
        <f t="shared" si="42"/>
        <v>0</v>
      </c>
      <c r="X256" s="114"/>
      <c r="Y256" s="115">
        <v>0</v>
      </c>
      <c r="Z256" s="116">
        <v>1</v>
      </c>
      <c r="AA256" s="117">
        <f t="shared" si="37"/>
        <v>0</v>
      </c>
      <c r="AB256" s="118">
        <f t="shared" si="38"/>
        <v>1</v>
      </c>
      <c r="AC256" s="118">
        <f t="shared" si="36"/>
        <v>45615</v>
      </c>
      <c r="AD256" s="118">
        <f t="shared" si="39"/>
        <v>-45614</v>
      </c>
      <c r="AE256" s="117">
        <f t="shared" si="40"/>
        <v>0</v>
      </c>
    </row>
    <row r="257" spans="2:31" ht="15.75" customHeight="1" thickBot="1" x14ac:dyDescent="0.25">
      <c r="B257" s="123">
        <f t="shared" si="43"/>
        <v>19</v>
      </c>
      <c r="C257" s="158"/>
      <c r="D257" s="123">
        <f t="shared" si="44"/>
        <v>40</v>
      </c>
      <c r="E257" s="158"/>
      <c r="F257" s="123">
        <f t="shared" si="44"/>
        <v>61</v>
      </c>
      <c r="G257" s="158"/>
      <c r="H257" s="123">
        <f t="shared" si="44"/>
        <v>82</v>
      </c>
      <c r="I257" s="158"/>
      <c r="J257" s="123">
        <f t="shared" si="44"/>
        <v>103</v>
      </c>
      <c r="K257" s="158"/>
      <c r="L257" s="123">
        <f t="shared" si="44"/>
        <v>124</v>
      </c>
      <c r="M257" s="158"/>
      <c r="N257" s="196"/>
      <c r="O257" s="125"/>
      <c r="P257" s="82" t="s">
        <v>205</v>
      </c>
      <c r="R257" s="131">
        <v>16751309190</v>
      </c>
      <c r="T257" s="113">
        <f t="shared" si="41"/>
        <v>31</v>
      </c>
      <c r="U257" s="113" t="s">
        <v>180</v>
      </c>
      <c r="V257" s="114"/>
      <c r="W257" s="114">
        <f t="shared" si="42"/>
        <v>0</v>
      </c>
      <c r="X257" s="114"/>
      <c r="Y257" s="115">
        <v>0</v>
      </c>
      <c r="Z257" s="116">
        <v>1</v>
      </c>
      <c r="AA257" s="117">
        <f t="shared" si="37"/>
        <v>0</v>
      </c>
      <c r="AB257" s="118">
        <f t="shared" si="38"/>
        <v>1</v>
      </c>
      <c r="AC257" s="118">
        <f t="shared" si="36"/>
        <v>45615</v>
      </c>
      <c r="AD257" s="118">
        <f t="shared" si="39"/>
        <v>-45614</v>
      </c>
      <c r="AE257" s="117">
        <f t="shared" si="40"/>
        <v>0</v>
      </c>
    </row>
    <row r="258" spans="2:31" ht="15.75" customHeight="1" thickBot="1" x14ac:dyDescent="0.25">
      <c r="B258" s="123">
        <f t="shared" si="43"/>
        <v>20</v>
      </c>
      <c r="C258" s="158"/>
      <c r="D258" s="123">
        <f t="shared" si="44"/>
        <v>41</v>
      </c>
      <c r="E258" s="158"/>
      <c r="F258" s="123">
        <f t="shared" si="44"/>
        <v>62</v>
      </c>
      <c r="G258" s="158"/>
      <c r="H258" s="123">
        <f t="shared" si="44"/>
        <v>83</v>
      </c>
      <c r="I258" s="158"/>
      <c r="J258" s="123">
        <f t="shared" si="44"/>
        <v>104</v>
      </c>
      <c r="K258" s="158"/>
      <c r="L258" s="123">
        <f t="shared" si="44"/>
        <v>125</v>
      </c>
      <c r="M258" s="158"/>
      <c r="N258" s="196"/>
      <c r="O258" s="125"/>
      <c r="P258" s="82" t="s">
        <v>206</v>
      </c>
      <c r="R258" s="131">
        <v>14142724014</v>
      </c>
      <c r="T258" s="113">
        <f t="shared" si="41"/>
        <v>32</v>
      </c>
      <c r="U258" s="113" t="s">
        <v>182</v>
      </c>
      <c r="V258" s="114"/>
      <c r="W258" s="114">
        <f t="shared" si="42"/>
        <v>0</v>
      </c>
      <c r="X258" s="114"/>
      <c r="Y258" s="115">
        <v>0</v>
      </c>
      <c r="Z258" s="116">
        <v>1</v>
      </c>
      <c r="AA258" s="117">
        <f t="shared" si="37"/>
        <v>0</v>
      </c>
      <c r="AB258" s="118">
        <f t="shared" si="38"/>
        <v>1</v>
      </c>
      <c r="AC258" s="118">
        <f t="shared" si="36"/>
        <v>45615</v>
      </c>
      <c r="AD258" s="118">
        <f t="shared" si="39"/>
        <v>-45614</v>
      </c>
      <c r="AE258" s="117">
        <f t="shared" si="40"/>
        <v>0</v>
      </c>
    </row>
    <row r="259" spans="2:31" ht="15.75" customHeight="1" thickBot="1" x14ac:dyDescent="0.25">
      <c r="B259" s="123">
        <f t="shared" si="43"/>
        <v>21</v>
      </c>
      <c r="C259" s="158"/>
      <c r="D259" s="123">
        <f t="shared" si="44"/>
        <v>42</v>
      </c>
      <c r="E259" s="158"/>
      <c r="F259" s="123">
        <f t="shared" si="44"/>
        <v>63</v>
      </c>
      <c r="G259" s="158"/>
      <c r="H259" s="123">
        <f t="shared" si="44"/>
        <v>84</v>
      </c>
      <c r="I259" s="158"/>
      <c r="J259" s="123">
        <f t="shared" si="44"/>
        <v>105</v>
      </c>
      <c r="K259" s="158"/>
      <c r="L259" s="123">
        <f t="shared" si="44"/>
        <v>126</v>
      </c>
      <c r="M259" s="158"/>
      <c r="N259" s="197"/>
      <c r="T259" s="113">
        <f t="shared" si="41"/>
        <v>33</v>
      </c>
      <c r="U259" s="113" t="s">
        <v>184</v>
      </c>
      <c r="V259" s="114"/>
      <c r="W259" s="114">
        <f t="shared" si="42"/>
        <v>0</v>
      </c>
      <c r="X259" s="114"/>
      <c r="Y259" s="115">
        <v>0</v>
      </c>
      <c r="Z259" s="116">
        <v>1</v>
      </c>
      <c r="AA259" s="117">
        <f t="shared" si="37"/>
        <v>0</v>
      </c>
      <c r="AB259" s="118">
        <f t="shared" si="38"/>
        <v>1</v>
      </c>
      <c r="AC259" s="118">
        <f t="shared" si="36"/>
        <v>45615</v>
      </c>
      <c r="AD259" s="118">
        <f t="shared" si="39"/>
        <v>-45614</v>
      </c>
      <c r="AE259" s="117">
        <f t="shared" si="40"/>
        <v>0</v>
      </c>
    </row>
    <row r="260" spans="2:31" ht="15.75" customHeight="1" thickBot="1" x14ac:dyDescent="0.25">
      <c r="B260" s="161" t="s">
        <v>167</v>
      </c>
      <c r="C260" s="161"/>
      <c r="D260" s="161"/>
      <c r="E260" s="161"/>
      <c r="F260" s="161"/>
      <c r="G260" s="161"/>
      <c r="H260" s="161"/>
      <c r="I260" s="161"/>
      <c r="J260" s="198">
        <f>SUM(C239:C259,G239:G259,K239:K259,E239:E259,I239:I259,K239:K259,M239:M259)</f>
        <v>0</v>
      </c>
      <c r="K260" s="198"/>
      <c r="L260" s="198"/>
      <c r="M260" s="198"/>
      <c r="N260" s="198"/>
      <c r="R260" s="130" t="s">
        <v>216</v>
      </c>
      <c r="T260" s="113">
        <f t="shared" si="41"/>
        <v>34</v>
      </c>
      <c r="U260" s="113" t="s">
        <v>186</v>
      </c>
      <c r="V260" s="114"/>
      <c r="W260" s="114">
        <f t="shared" si="42"/>
        <v>0</v>
      </c>
      <c r="X260" s="114"/>
      <c r="Y260" s="115">
        <v>0</v>
      </c>
      <c r="Z260" s="116">
        <v>1</v>
      </c>
      <c r="AA260" s="117">
        <f t="shared" si="37"/>
        <v>0</v>
      </c>
      <c r="AB260" s="118">
        <f t="shared" si="38"/>
        <v>1</v>
      </c>
      <c r="AC260" s="118">
        <f t="shared" si="36"/>
        <v>45615</v>
      </c>
      <c r="AD260" s="118">
        <f t="shared" si="39"/>
        <v>-45614</v>
      </c>
      <c r="AE260" s="117">
        <f t="shared" si="40"/>
        <v>0</v>
      </c>
    </row>
    <row r="261" spans="2:31" ht="15.75" customHeight="1" thickBot="1" x14ac:dyDescent="0.25">
      <c r="B261" s="411" t="s">
        <v>171</v>
      </c>
      <c r="C261" s="412"/>
      <c r="D261" s="412"/>
      <c r="E261" s="412"/>
      <c r="F261" s="412"/>
      <c r="G261" s="412"/>
      <c r="H261" s="412"/>
      <c r="I261" s="413"/>
      <c r="J261" s="183">
        <f>IFERROR(J260/(($B$23)*I227),0)</f>
        <v>0</v>
      </c>
      <c r="K261" s="184"/>
      <c r="L261" s="184"/>
      <c r="M261" s="184"/>
      <c r="N261" s="185"/>
      <c r="P261" s="82" t="s">
        <v>201</v>
      </c>
      <c r="R261" s="131">
        <v>8053415585</v>
      </c>
      <c r="T261" s="113">
        <f t="shared" si="41"/>
        <v>35</v>
      </c>
      <c r="U261" s="113" t="s">
        <v>187</v>
      </c>
      <c r="V261" s="114"/>
      <c r="W261" s="114">
        <f t="shared" si="42"/>
        <v>0</v>
      </c>
      <c r="X261" s="114"/>
      <c r="Y261" s="115">
        <v>0</v>
      </c>
      <c r="Z261" s="116">
        <v>1</v>
      </c>
      <c r="AA261" s="117">
        <f t="shared" si="37"/>
        <v>0</v>
      </c>
      <c r="AB261" s="118">
        <f t="shared" si="38"/>
        <v>1</v>
      </c>
      <c r="AC261" s="118">
        <f t="shared" si="36"/>
        <v>45615</v>
      </c>
      <c r="AD261" s="118">
        <f t="shared" si="39"/>
        <v>-45614</v>
      </c>
      <c r="AE261" s="117">
        <f t="shared" si="40"/>
        <v>0</v>
      </c>
    </row>
    <row r="262" spans="2:31" ht="15.75" customHeight="1" thickBot="1" x14ac:dyDescent="0.25">
      <c r="B262" s="411" t="s">
        <v>173</v>
      </c>
      <c r="C262" s="412"/>
      <c r="D262" s="412"/>
      <c r="E262" s="412"/>
      <c r="F262" s="412"/>
      <c r="G262" s="412"/>
      <c r="H262" s="412"/>
      <c r="I262" s="412"/>
      <c r="J262" s="412"/>
      <c r="K262" s="413"/>
      <c r="L262" s="414">
        <f>IF(J261&gt;P238,R238,IF(J261&gt;P237,R237,IF(J261&gt;P236,R236,R235)))</f>
        <v>60</v>
      </c>
      <c r="M262" s="415"/>
      <c r="N262" s="416"/>
      <c r="O262" s="125"/>
      <c r="P262" s="82" t="s">
        <v>214</v>
      </c>
      <c r="R262" s="131">
        <v>6562161350</v>
      </c>
      <c r="T262" s="113">
        <f t="shared" si="41"/>
        <v>36</v>
      </c>
      <c r="U262" s="113" t="s">
        <v>189</v>
      </c>
      <c r="V262" s="114"/>
      <c r="W262" s="114">
        <f t="shared" si="42"/>
        <v>0</v>
      </c>
      <c r="X262" s="114"/>
      <c r="Y262" s="115">
        <v>0</v>
      </c>
      <c r="Z262" s="116">
        <v>1</v>
      </c>
      <c r="AA262" s="117">
        <f t="shared" si="37"/>
        <v>0</v>
      </c>
      <c r="AB262" s="118">
        <f t="shared" si="38"/>
        <v>1</v>
      </c>
      <c r="AC262" s="118">
        <f t="shared" si="36"/>
        <v>45615</v>
      </c>
      <c r="AD262" s="118">
        <f t="shared" si="39"/>
        <v>-45614</v>
      </c>
      <c r="AE262" s="117">
        <f t="shared" si="40"/>
        <v>0</v>
      </c>
    </row>
    <row r="263" spans="2:31" ht="15.75" customHeight="1" thickBot="1" x14ac:dyDescent="0.3">
      <c r="B263" s="183" t="s">
        <v>215</v>
      </c>
      <c r="C263" s="184"/>
      <c r="D263" s="184"/>
      <c r="E263" s="184"/>
      <c r="F263" s="184"/>
      <c r="G263" s="184"/>
      <c r="H263" s="184"/>
      <c r="I263" s="184"/>
      <c r="J263" s="184"/>
      <c r="K263" s="184"/>
      <c r="L263" s="184"/>
      <c r="M263" s="184"/>
      <c r="N263" s="185"/>
      <c r="O263" s="125"/>
      <c r="P263" s="82" t="s">
        <v>202</v>
      </c>
      <c r="R263" s="131">
        <v>4132783282</v>
      </c>
      <c r="T263" s="113">
        <f>T262+1</f>
        <v>37</v>
      </c>
      <c r="U263" s="113" t="s">
        <v>190</v>
      </c>
      <c r="V263" s="114"/>
      <c r="W263" s="114">
        <f>W262</f>
        <v>0</v>
      </c>
      <c r="X263" s="114"/>
      <c r="Y263" s="115">
        <v>0</v>
      </c>
      <c r="Z263" s="116">
        <v>1</v>
      </c>
      <c r="AA263" s="117">
        <f t="shared" si="37"/>
        <v>0</v>
      </c>
      <c r="AB263" s="118">
        <f t="shared" si="38"/>
        <v>1</v>
      </c>
      <c r="AC263" s="118">
        <f t="shared" si="36"/>
        <v>45615</v>
      </c>
      <c r="AD263" s="118">
        <f t="shared" si="39"/>
        <v>-45614</v>
      </c>
      <c r="AE263" s="117">
        <f t="shared" si="40"/>
        <v>0</v>
      </c>
    </row>
    <row r="264" spans="2:31" ht="15.75" customHeight="1" thickBot="1" x14ac:dyDescent="0.25">
      <c r="B264" s="186"/>
      <c r="C264" s="187"/>
      <c r="D264" s="187"/>
      <c r="E264" s="187"/>
      <c r="F264" s="187"/>
      <c r="G264" s="188"/>
      <c r="H264" s="428" t="s">
        <v>177</v>
      </c>
      <c r="I264" s="429"/>
      <c r="J264" s="429"/>
      <c r="K264" s="430"/>
      <c r="L264" s="431">
        <f>$I$11</f>
        <v>0</v>
      </c>
      <c r="M264" s="432"/>
      <c r="N264" s="433"/>
      <c r="O264" s="125"/>
      <c r="P264" s="82" t="s">
        <v>203</v>
      </c>
      <c r="R264" s="131">
        <v>9125008249</v>
      </c>
      <c r="T264" s="113">
        <f>T263+1</f>
        <v>38</v>
      </c>
      <c r="U264" s="113" t="s">
        <v>191</v>
      </c>
      <c r="V264" s="114"/>
      <c r="W264" s="114">
        <f>W263</f>
        <v>0</v>
      </c>
      <c r="X264" s="114"/>
      <c r="Y264" s="115">
        <v>0</v>
      </c>
      <c r="Z264" s="116">
        <v>1</v>
      </c>
      <c r="AA264" s="117">
        <f t="shared" si="37"/>
        <v>0</v>
      </c>
      <c r="AB264" s="118">
        <f t="shared" si="38"/>
        <v>1</v>
      </c>
      <c r="AC264" s="118">
        <f t="shared" si="36"/>
        <v>45615</v>
      </c>
      <c r="AD264" s="118">
        <f t="shared" si="39"/>
        <v>-45614</v>
      </c>
      <c r="AE264" s="117">
        <f t="shared" si="40"/>
        <v>0</v>
      </c>
    </row>
    <row r="265" spans="2:31" ht="15.75" customHeight="1" thickBot="1" x14ac:dyDescent="0.25">
      <c r="B265" s="189"/>
      <c r="C265" s="190"/>
      <c r="D265" s="190"/>
      <c r="E265" s="190"/>
      <c r="F265" s="190"/>
      <c r="G265" s="191"/>
      <c r="H265" s="428" t="s">
        <v>179</v>
      </c>
      <c r="I265" s="429"/>
      <c r="J265" s="429"/>
      <c r="K265" s="430"/>
      <c r="L265" s="431">
        <f>$J$11</f>
        <v>0</v>
      </c>
      <c r="M265" s="432"/>
      <c r="N265" s="433"/>
      <c r="O265" s="125"/>
      <c r="P265" s="82" t="s">
        <v>204</v>
      </c>
      <c r="R265" s="131">
        <v>4685421355</v>
      </c>
      <c r="T265" s="113">
        <f t="shared" si="41"/>
        <v>39</v>
      </c>
      <c r="U265" s="113" t="s">
        <v>192</v>
      </c>
      <c r="V265" s="114"/>
      <c r="W265" s="114">
        <f t="shared" si="42"/>
        <v>0</v>
      </c>
      <c r="X265" s="114"/>
      <c r="Y265" s="115">
        <v>0</v>
      </c>
      <c r="Z265" s="116">
        <v>1</v>
      </c>
      <c r="AA265" s="117">
        <f t="shared" si="37"/>
        <v>0</v>
      </c>
      <c r="AB265" s="118">
        <f t="shared" si="38"/>
        <v>1</v>
      </c>
      <c r="AC265" s="118">
        <f t="shared" si="36"/>
        <v>45615</v>
      </c>
      <c r="AD265" s="118">
        <f t="shared" si="39"/>
        <v>-45614</v>
      </c>
      <c r="AE265" s="117">
        <f t="shared" si="40"/>
        <v>0</v>
      </c>
    </row>
    <row r="266" spans="2:31" ht="15.75" customHeight="1" thickBot="1" x14ac:dyDescent="0.25">
      <c r="B266" s="192"/>
      <c r="C266" s="193"/>
      <c r="D266" s="193"/>
      <c r="E266" s="193"/>
      <c r="F266" s="193"/>
      <c r="G266" s="194"/>
      <c r="H266" s="411" t="s">
        <v>181</v>
      </c>
      <c r="I266" s="412"/>
      <c r="J266" s="412"/>
      <c r="K266" s="413"/>
      <c r="L266" s="420">
        <f>IFERROR(ROUND(L264/L265,2),0)</f>
        <v>0</v>
      </c>
      <c r="M266" s="421"/>
      <c r="N266" s="422"/>
      <c r="O266" s="125"/>
      <c r="P266" s="82" t="s">
        <v>205</v>
      </c>
      <c r="R266" s="131">
        <v>7832191370</v>
      </c>
      <c r="T266" s="113">
        <f t="shared" si="41"/>
        <v>40</v>
      </c>
      <c r="U266" s="113" t="s">
        <v>193</v>
      </c>
      <c r="V266" s="114"/>
      <c r="W266" s="114">
        <f t="shared" si="42"/>
        <v>0</v>
      </c>
      <c r="X266" s="114"/>
      <c r="Y266" s="115">
        <v>0</v>
      </c>
      <c r="Z266" s="116">
        <v>1</v>
      </c>
      <c r="AA266" s="117">
        <f t="shared" si="37"/>
        <v>0</v>
      </c>
      <c r="AB266" s="118">
        <f t="shared" si="38"/>
        <v>1</v>
      </c>
      <c r="AC266" s="118">
        <f t="shared" si="36"/>
        <v>45615</v>
      </c>
      <c r="AD266" s="118">
        <f t="shared" si="39"/>
        <v>-45614</v>
      </c>
      <c r="AE266" s="117">
        <f t="shared" si="40"/>
        <v>0</v>
      </c>
    </row>
    <row r="267" spans="2:31" ht="15.75" customHeight="1" thickBot="1" x14ac:dyDescent="0.25">
      <c r="B267" s="411" t="s">
        <v>183</v>
      </c>
      <c r="C267" s="412"/>
      <c r="D267" s="412"/>
      <c r="E267" s="412"/>
      <c r="F267" s="412"/>
      <c r="G267" s="412"/>
      <c r="H267" s="412"/>
      <c r="I267" s="412"/>
      <c r="J267" s="412"/>
      <c r="K267" s="413"/>
      <c r="L267" s="414">
        <f>IF(L266&gt;P244,R244,IF(L266&gt;P243,R243,IF(L266&gt;P242,R242,IF(L266&gt;P241,R241,R240))))</f>
        <v>20</v>
      </c>
      <c r="M267" s="415"/>
      <c r="N267" s="416"/>
      <c r="O267" s="125"/>
      <c r="P267" s="82" t="s">
        <v>206</v>
      </c>
      <c r="R267" s="131">
        <v>6568014622</v>
      </c>
      <c r="T267" s="113">
        <f t="shared" si="41"/>
        <v>41</v>
      </c>
      <c r="U267" s="113" t="s">
        <v>194</v>
      </c>
      <c r="V267" s="114"/>
      <c r="W267" s="114">
        <f t="shared" si="42"/>
        <v>0</v>
      </c>
      <c r="X267" s="114"/>
      <c r="Y267" s="115">
        <v>0</v>
      </c>
      <c r="Z267" s="116">
        <v>1</v>
      </c>
      <c r="AA267" s="117">
        <f t="shared" si="37"/>
        <v>0</v>
      </c>
      <c r="AB267" s="118">
        <f t="shared" si="38"/>
        <v>1</v>
      </c>
      <c r="AC267" s="118">
        <f t="shared" si="36"/>
        <v>45615</v>
      </c>
      <c r="AD267" s="118">
        <f t="shared" si="39"/>
        <v>-45614</v>
      </c>
      <c r="AE267" s="117">
        <f t="shared" si="40"/>
        <v>0</v>
      </c>
    </row>
    <row r="268" spans="2:31" ht="15.75" customHeight="1" thickBot="1" x14ac:dyDescent="0.3">
      <c r="B268" s="183" t="s">
        <v>185</v>
      </c>
      <c r="C268" s="184"/>
      <c r="D268" s="184"/>
      <c r="E268" s="184"/>
      <c r="F268" s="184"/>
      <c r="G268" s="184"/>
      <c r="H268" s="184"/>
      <c r="I268" s="184"/>
      <c r="J268" s="184"/>
      <c r="K268" s="184"/>
      <c r="L268" s="184"/>
      <c r="M268" s="184"/>
      <c r="N268" s="185"/>
      <c r="T268" s="113">
        <f t="shared" si="41"/>
        <v>42</v>
      </c>
      <c r="U268" s="113" t="s">
        <v>195</v>
      </c>
      <c r="V268" s="114"/>
      <c r="W268" s="114">
        <f t="shared" si="42"/>
        <v>0</v>
      </c>
      <c r="X268" s="114"/>
      <c r="Y268" s="115">
        <v>0</v>
      </c>
      <c r="Z268" s="116">
        <v>1</v>
      </c>
      <c r="AA268" s="117">
        <f t="shared" si="37"/>
        <v>0</v>
      </c>
      <c r="AB268" s="118">
        <f t="shared" si="38"/>
        <v>1</v>
      </c>
      <c r="AC268" s="118">
        <f t="shared" si="36"/>
        <v>45615</v>
      </c>
      <c r="AD268" s="118">
        <f t="shared" si="39"/>
        <v>-45614</v>
      </c>
      <c r="AE268" s="117">
        <f t="shared" si="40"/>
        <v>0</v>
      </c>
    </row>
    <row r="269" spans="2:31" ht="13.5" thickBot="1" x14ac:dyDescent="0.3">
      <c r="B269" s="423" t="s">
        <v>94</v>
      </c>
      <c r="C269" s="424"/>
      <c r="D269" s="424"/>
      <c r="E269" s="424"/>
      <c r="F269" s="424"/>
      <c r="G269" s="424"/>
      <c r="H269" s="424"/>
      <c r="I269" s="424"/>
      <c r="J269" s="424"/>
      <c r="K269" s="424"/>
      <c r="L269" s="425"/>
      <c r="M269" s="426">
        <f>$K$11</f>
        <v>0</v>
      </c>
      <c r="N269" s="427"/>
      <c r="R269" s="130" t="s">
        <v>200</v>
      </c>
      <c r="T269" s="113">
        <f t="shared" si="41"/>
        <v>43</v>
      </c>
      <c r="U269" s="113" t="s">
        <v>198</v>
      </c>
      <c r="V269" s="114"/>
      <c r="W269" s="114">
        <f t="shared" si="42"/>
        <v>0</v>
      </c>
      <c r="X269" s="114"/>
      <c r="Y269" s="115">
        <v>0</v>
      </c>
      <c r="Z269" s="116">
        <v>1</v>
      </c>
      <c r="AA269" s="117">
        <f t="shared" si="37"/>
        <v>0</v>
      </c>
      <c r="AB269" s="118">
        <f t="shared" si="38"/>
        <v>1</v>
      </c>
      <c r="AC269" s="118">
        <f t="shared" si="36"/>
        <v>45615</v>
      </c>
      <c r="AD269" s="118">
        <f t="shared" si="39"/>
        <v>-45614</v>
      </c>
      <c r="AE269" s="117">
        <f t="shared" si="40"/>
        <v>0</v>
      </c>
    </row>
    <row r="270" spans="2:31" ht="15.75" customHeight="1" thickBot="1" x14ac:dyDescent="0.25">
      <c r="B270" s="411" t="s">
        <v>188</v>
      </c>
      <c r="C270" s="412"/>
      <c r="D270" s="412"/>
      <c r="E270" s="412"/>
      <c r="F270" s="412"/>
      <c r="G270" s="412"/>
      <c r="H270" s="412"/>
      <c r="I270" s="412"/>
      <c r="J270" s="412"/>
      <c r="K270" s="413"/>
      <c r="L270" s="414">
        <f>IF(M269&gt;P249,R249,IF(M269&gt;P248,R248,IF(M269&gt;P247,R247,R246)))</f>
        <v>0</v>
      </c>
      <c r="M270" s="415"/>
      <c r="N270" s="416"/>
      <c r="P270" s="82" t="s">
        <v>201</v>
      </c>
      <c r="R270" s="83">
        <v>16</v>
      </c>
      <c r="Z270" s="417" t="s">
        <v>199</v>
      </c>
      <c r="AA270" s="418"/>
      <c r="AB270" s="418"/>
      <c r="AC270" s="418"/>
      <c r="AD270" s="419"/>
      <c r="AE270" s="126">
        <f>SUM(AE227:AE269)</f>
        <v>25000000</v>
      </c>
    </row>
    <row r="271" spans="2:31" ht="15.75" customHeight="1" x14ac:dyDescent="0.25">
      <c r="P271" s="82"/>
      <c r="R271" s="83"/>
      <c r="Z271" s="132"/>
      <c r="AA271" s="132"/>
      <c r="AB271" s="132"/>
      <c r="AC271" s="132"/>
      <c r="AD271" s="132"/>
      <c r="AE271" s="133"/>
    </row>
    <row r="272" spans="2:31" ht="15.75" customHeight="1" x14ac:dyDescent="0.2">
      <c r="B272" s="411" t="str">
        <f>"CAPACIDAD DE CONTRATACIÓN "&amp;$F$126</f>
        <v xml:space="preserve">CAPACIDAD DE CONTRATACIÓN </v>
      </c>
      <c r="C272" s="412"/>
      <c r="D272" s="412"/>
      <c r="E272" s="412"/>
      <c r="F272" s="412"/>
      <c r="G272" s="412"/>
      <c r="H272" s="412"/>
      <c r="I272" s="412"/>
      <c r="J272" s="412"/>
      <c r="K272" s="413"/>
      <c r="L272" s="168">
        <f>I235*((L262+L267+L270)/100)</f>
        <v>426630400</v>
      </c>
      <c r="M272" s="169"/>
      <c r="N272" s="170"/>
      <c r="P272" s="82" t="s">
        <v>202</v>
      </c>
      <c r="R272" s="83">
        <v>15</v>
      </c>
    </row>
    <row r="273" spans="2:18" ht="15.75" customHeight="1" x14ac:dyDescent="0.2">
      <c r="B273" s="411" t="str">
        <f>"SALDO DE LOS CONTRATOS EN EJECUCIÓN "&amp;$F$126</f>
        <v xml:space="preserve">SALDO DE LOS CONTRATOS EN EJECUCIÓN </v>
      </c>
      <c r="C273" s="412"/>
      <c r="D273" s="412"/>
      <c r="E273" s="412"/>
      <c r="F273" s="412"/>
      <c r="G273" s="412"/>
      <c r="H273" s="412"/>
      <c r="I273" s="412"/>
      <c r="J273" s="412"/>
      <c r="K273" s="413"/>
      <c r="L273" s="168">
        <f>$M$11</f>
        <v>0</v>
      </c>
      <c r="M273" s="169"/>
      <c r="N273" s="170"/>
      <c r="P273" s="82"/>
      <c r="R273" s="83"/>
    </row>
    <row r="274" spans="2:18" ht="15.75" customHeight="1" x14ac:dyDescent="0.2">
      <c r="B274" s="411" t="str">
        <f>"CAPACIDAD RESIDUAL DE CONTRATACIÓN "&amp;$F$126</f>
        <v xml:space="preserve">CAPACIDAD RESIDUAL DE CONTRATACIÓN </v>
      </c>
      <c r="C274" s="412"/>
      <c r="D274" s="412"/>
      <c r="E274" s="412"/>
      <c r="F274" s="412"/>
      <c r="G274" s="412"/>
      <c r="H274" s="412"/>
      <c r="I274" s="412"/>
      <c r="J274" s="412"/>
      <c r="K274" s="413"/>
      <c r="L274" s="168">
        <f>L272-L273</f>
        <v>426630400</v>
      </c>
      <c r="M274" s="169"/>
      <c r="N274" s="170"/>
      <c r="P274" s="82"/>
      <c r="R274" s="83"/>
    </row>
    <row r="275" spans="2:18" ht="15.75" customHeight="1" x14ac:dyDescent="0.2">
      <c r="B275" s="127"/>
      <c r="C275" s="127"/>
      <c r="D275" s="127"/>
      <c r="E275" s="127"/>
      <c r="F275" s="127"/>
      <c r="G275" s="127"/>
      <c r="H275" s="127"/>
      <c r="I275" s="127"/>
      <c r="J275" s="127"/>
      <c r="K275" s="127"/>
      <c r="L275" s="128"/>
      <c r="M275" s="128"/>
      <c r="N275" s="128"/>
      <c r="P275" s="82"/>
      <c r="R275" s="83"/>
    </row>
    <row r="276" spans="2:18" ht="12.75" x14ac:dyDescent="0.2">
      <c r="B276" s="127"/>
      <c r="C276" s="127"/>
      <c r="D276" s="127"/>
      <c r="E276" s="127"/>
      <c r="F276" s="127"/>
      <c r="G276" s="127"/>
      <c r="H276" s="127"/>
      <c r="I276" s="127"/>
      <c r="J276" s="127"/>
      <c r="K276" s="127"/>
      <c r="L276" s="128"/>
      <c r="M276" s="128"/>
      <c r="N276" s="128"/>
      <c r="P276" s="82" t="s">
        <v>204</v>
      </c>
      <c r="R276" s="83">
        <v>17</v>
      </c>
    </row>
    <row r="277" spans="2:18" ht="15.75" customHeight="1" x14ac:dyDescent="0.25">
      <c r="B277" s="213" t="str">
        <f>"INTEGRANTE 1: "&amp;$C$7&amp;" PRESENTA ESTADOS FINANCIEROS DICTAMINADOS"</f>
        <v>INTEGRANTE 1: Juan Pablo Dorado Martínez PRESENTA ESTADOS FINANCIEROS DICTAMINADOS</v>
      </c>
      <c r="C277" s="214"/>
      <c r="D277" s="214"/>
      <c r="E277" s="214"/>
      <c r="F277" s="214"/>
      <c r="G277" s="214"/>
      <c r="H277" s="214"/>
      <c r="I277" s="214"/>
      <c r="J277" s="214"/>
      <c r="K277" s="407"/>
      <c r="L277" s="215" t="str">
        <f>IF(L278="","",IF(L279="","",IF(AND(L278="si",L279="si")=TRUE,"CUMPLE","NO CUMPLE")))</f>
        <v/>
      </c>
      <c r="M277" s="215"/>
      <c r="N277" s="215"/>
      <c r="P277" s="82" t="s">
        <v>205</v>
      </c>
      <c r="R277" s="83">
        <v>19</v>
      </c>
    </row>
    <row r="278" spans="2:18" ht="56.25" customHeight="1" x14ac:dyDescent="0.25">
      <c r="B278" s="163" t="s">
        <v>196</v>
      </c>
      <c r="C278" s="163"/>
      <c r="D278" s="163"/>
      <c r="E278" s="163"/>
      <c r="F278" s="163"/>
      <c r="G278" s="163"/>
      <c r="H278" s="163"/>
      <c r="I278" s="163"/>
      <c r="J278" s="163"/>
      <c r="K278" s="163"/>
      <c r="L278" s="164"/>
      <c r="M278" s="164"/>
      <c r="N278" s="164"/>
      <c r="P278" s="82"/>
      <c r="R278" s="83"/>
    </row>
    <row r="279" spans="2:18" ht="30" customHeight="1" x14ac:dyDescent="0.25">
      <c r="B279" s="163" t="s">
        <v>197</v>
      </c>
      <c r="C279" s="163"/>
      <c r="D279" s="163"/>
      <c r="E279" s="163"/>
      <c r="F279" s="163"/>
      <c r="G279" s="163"/>
      <c r="H279" s="163"/>
      <c r="I279" s="163"/>
      <c r="J279" s="163"/>
      <c r="K279" s="163"/>
      <c r="L279" s="164"/>
      <c r="M279" s="164"/>
      <c r="N279" s="164"/>
      <c r="P279" s="82"/>
      <c r="R279" s="83"/>
    </row>
    <row r="280" spans="2:18" ht="12.75" x14ac:dyDescent="0.25">
      <c r="B280" s="213" t="str">
        <f>"INTEGRANTE 2: "&amp;$C$8&amp;" PRESENTA ESTADOS FINANCIEROS DICTAMINADOS"</f>
        <v>INTEGRANTE 2: Dorado Asociados SAS PRESENTA ESTADOS FINANCIEROS DICTAMINADOS</v>
      </c>
      <c r="C280" s="214"/>
      <c r="D280" s="214"/>
      <c r="E280" s="214"/>
      <c r="F280" s="214"/>
      <c r="G280" s="214"/>
      <c r="H280" s="214"/>
      <c r="I280" s="214"/>
      <c r="J280" s="214"/>
      <c r="K280" s="407"/>
      <c r="L280" s="215" t="str">
        <f>IF(L281="","",IF(L282="","",IF(AND(L281="si",L282="si")=TRUE,"CUMPLE","NO CUMPLE")))</f>
        <v/>
      </c>
      <c r="M280" s="215"/>
      <c r="N280" s="215"/>
      <c r="P280" s="82" t="s">
        <v>206</v>
      </c>
      <c r="R280" s="83">
        <v>19</v>
      </c>
    </row>
    <row r="281" spans="2:18" ht="56.25" customHeight="1" x14ac:dyDescent="0.25">
      <c r="B281" s="163" t="s">
        <v>196</v>
      </c>
      <c r="C281" s="163"/>
      <c r="D281" s="163"/>
      <c r="E281" s="163"/>
      <c r="F281" s="163"/>
      <c r="G281" s="163"/>
      <c r="H281" s="163"/>
      <c r="I281" s="163"/>
      <c r="J281" s="163"/>
      <c r="K281" s="163"/>
      <c r="L281" s="164"/>
      <c r="M281" s="164"/>
      <c r="N281" s="164"/>
      <c r="P281" s="84"/>
      <c r="R281" s="85"/>
    </row>
    <row r="282" spans="2:18" ht="30" customHeight="1" x14ac:dyDescent="0.25">
      <c r="B282" s="163" t="s">
        <v>197</v>
      </c>
      <c r="C282" s="163"/>
      <c r="D282" s="163"/>
      <c r="E282" s="163"/>
      <c r="F282" s="163"/>
      <c r="G282" s="163"/>
      <c r="H282" s="163"/>
      <c r="I282" s="163"/>
      <c r="J282" s="163"/>
      <c r="K282" s="163"/>
      <c r="L282" s="164"/>
      <c r="M282" s="164"/>
      <c r="N282" s="164"/>
      <c r="P282" s="84"/>
      <c r="R282" s="85"/>
    </row>
    <row r="283" spans="2:18" ht="12.75" x14ac:dyDescent="0.25">
      <c r="B283" s="213" t="str">
        <f>"INTEGRANTE 3: "&amp;$C$9&amp;" PRESENTA ESTADOS FINANCIEROS DICTAMINADOS"</f>
        <v>INTEGRANTE 3: 0 PRESENTA ESTADOS FINANCIEROS DICTAMINADOS</v>
      </c>
      <c r="C283" s="214"/>
      <c r="D283" s="214"/>
      <c r="E283" s="214"/>
      <c r="F283" s="214"/>
      <c r="G283" s="214"/>
      <c r="H283" s="214"/>
      <c r="I283" s="214"/>
      <c r="J283" s="214"/>
      <c r="K283" s="407"/>
      <c r="L283" s="215" t="str">
        <f>IF(L284="","",IF(L285="","",IF(AND(L284="si",L285="si")=TRUE,"CUMPLE","NO CUMPLE")))</f>
        <v/>
      </c>
      <c r="M283" s="215"/>
      <c r="N283" s="215"/>
      <c r="P283" s="84"/>
      <c r="R283" s="85"/>
    </row>
    <row r="284" spans="2:18" ht="56.25" customHeight="1" x14ac:dyDescent="0.25">
      <c r="B284" s="163" t="s">
        <v>196</v>
      </c>
      <c r="C284" s="163"/>
      <c r="D284" s="163"/>
      <c r="E284" s="163"/>
      <c r="F284" s="163"/>
      <c r="G284" s="163"/>
      <c r="H284" s="163"/>
      <c r="I284" s="163"/>
      <c r="J284" s="163"/>
      <c r="K284" s="163"/>
      <c r="L284" s="164"/>
      <c r="M284" s="164"/>
      <c r="N284" s="164"/>
      <c r="P284" s="84"/>
      <c r="R284" s="85"/>
    </row>
    <row r="285" spans="2:18" ht="30" customHeight="1" x14ac:dyDescent="0.25">
      <c r="B285" s="163" t="s">
        <v>197</v>
      </c>
      <c r="C285" s="163"/>
      <c r="D285" s="163"/>
      <c r="E285" s="163"/>
      <c r="F285" s="163"/>
      <c r="G285" s="163"/>
      <c r="H285" s="163"/>
      <c r="I285" s="163"/>
      <c r="J285" s="163"/>
      <c r="K285" s="163"/>
      <c r="L285" s="164"/>
      <c r="M285" s="164"/>
      <c r="N285" s="164"/>
      <c r="P285" s="84"/>
      <c r="R285" s="85"/>
    </row>
    <row r="286" spans="2:18" ht="15.75" customHeight="1" x14ac:dyDescent="0.25">
      <c r="B286" s="213" t="str">
        <f>"INTEGRANTE 4: "&amp;$C$10&amp;" PRESENTA ESTADOS FINANCIEROS DICTAMINADOS"</f>
        <v>INTEGRANTE 4: 0 PRESENTA ESTADOS FINANCIEROS DICTAMINADOS</v>
      </c>
      <c r="C286" s="214"/>
      <c r="D286" s="214"/>
      <c r="E286" s="214"/>
      <c r="F286" s="214"/>
      <c r="G286" s="214"/>
      <c r="H286" s="214"/>
      <c r="I286" s="214"/>
      <c r="J286" s="214"/>
      <c r="K286" s="407"/>
      <c r="L286" s="215" t="str">
        <f>IF(L287="","",IF(L288="","",IF(AND(L287="si",L288="si")=TRUE,"CUMPLE","NO CUMPLE")))</f>
        <v/>
      </c>
      <c r="M286" s="215"/>
      <c r="N286" s="215"/>
    </row>
    <row r="287" spans="2:18" ht="56.25" customHeight="1" x14ac:dyDescent="0.25">
      <c r="B287" s="163" t="s">
        <v>196</v>
      </c>
      <c r="C287" s="163"/>
      <c r="D287" s="163"/>
      <c r="E287" s="163"/>
      <c r="F287" s="163"/>
      <c r="G287" s="163"/>
      <c r="H287" s="163"/>
      <c r="I287" s="163"/>
      <c r="J287" s="163"/>
      <c r="K287" s="163"/>
      <c r="L287" s="164"/>
      <c r="M287" s="164"/>
      <c r="N287" s="164"/>
    </row>
    <row r="288" spans="2:18" ht="30" customHeight="1" x14ac:dyDescent="0.25">
      <c r="B288" s="163" t="s">
        <v>197</v>
      </c>
      <c r="C288" s="163"/>
      <c r="D288" s="163"/>
      <c r="E288" s="163"/>
      <c r="F288" s="163"/>
      <c r="G288" s="163"/>
      <c r="H288" s="163"/>
      <c r="I288" s="163"/>
      <c r="J288" s="163"/>
      <c r="K288" s="163"/>
      <c r="L288" s="164"/>
      <c r="M288" s="164"/>
      <c r="N288" s="164"/>
    </row>
    <row r="289" spans="2:14" ht="15.75" customHeight="1" x14ac:dyDescent="0.25">
      <c r="B289" s="213" t="str">
        <f>"INTEGRANTE 5: "&amp;$C$11&amp;" PRESENTA ESTADOS FINANCIEROS DICTAMINADOS"</f>
        <v>INTEGRANTE 5: 0 PRESENTA ESTADOS FINANCIEROS DICTAMINADOS</v>
      </c>
      <c r="C289" s="214"/>
      <c r="D289" s="214"/>
      <c r="E289" s="214"/>
      <c r="F289" s="214"/>
      <c r="G289" s="214"/>
      <c r="H289" s="214"/>
      <c r="I289" s="214"/>
      <c r="J289" s="214"/>
      <c r="K289" s="407"/>
      <c r="L289" s="215" t="str">
        <f>IF(L290="","",IF(L291="","",IF(AND(L290="si",L291="si")=TRUE,"CUMPLE","NO CUMPLE")))</f>
        <v/>
      </c>
      <c r="M289" s="215"/>
      <c r="N289" s="215"/>
    </row>
    <row r="290" spans="2:14" ht="56.25" customHeight="1" x14ac:dyDescent="0.25">
      <c r="B290" s="163" t="s">
        <v>196</v>
      </c>
      <c r="C290" s="163"/>
      <c r="D290" s="163"/>
      <c r="E290" s="163"/>
      <c r="F290" s="163"/>
      <c r="G290" s="163"/>
      <c r="H290" s="163"/>
      <c r="I290" s="163"/>
      <c r="J290" s="163"/>
      <c r="K290" s="163"/>
      <c r="L290" s="164"/>
      <c r="M290" s="164"/>
      <c r="N290" s="164"/>
    </row>
    <row r="291" spans="2:14" ht="30" customHeight="1" x14ac:dyDescent="0.25">
      <c r="B291" s="163" t="s">
        <v>197</v>
      </c>
      <c r="C291" s="163"/>
      <c r="D291" s="163"/>
      <c r="E291" s="163"/>
      <c r="F291" s="163"/>
      <c r="G291" s="163"/>
      <c r="H291" s="163"/>
      <c r="I291" s="163"/>
      <c r="J291" s="163"/>
      <c r="K291" s="163"/>
      <c r="L291" s="164"/>
      <c r="M291" s="164"/>
      <c r="N291" s="164"/>
    </row>
    <row r="292" spans="2:14" ht="12.75" x14ac:dyDescent="0.25"/>
    <row r="293" spans="2:14" ht="12.75" x14ac:dyDescent="0.25">
      <c r="B293" s="441" t="s">
        <v>50</v>
      </c>
      <c r="C293" s="442"/>
      <c r="D293" s="442"/>
      <c r="E293" s="442"/>
      <c r="F293" s="442"/>
      <c r="G293" s="442"/>
      <c r="H293" s="442"/>
      <c r="I293" s="442"/>
      <c r="J293" s="442"/>
      <c r="K293" s="442"/>
      <c r="L293" s="442"/>
      <c r="M293" s="442"/>
      <c r="N293" s="443"/>
    </row>
    <row r="294" spans="2:14" ht="94.5" customHeight="1" x14ac:dyDescent="0.25">
      <c r="B294" s="242"/>
      <c r="C294" s="243"/>
      <c r="D294" s="243"/>
      <c r="E294" s="243"/>
      <c r="F294" s="243"/>
      <c r="G294" s="243"/>
      <c r="H294" s="243"/>
      <c r="I294" s="243"/>
      <c r="J294" s="243"/>
      <c r="K294" s="243"/>
      <c r="L294" s="243"/>
      <c r="M294" s="243"/>
      <c r="N294" s="244"/>
    </row>
    <row r="296" spans="2:14" ht="12.75" x14ac:dyDescent="0.25"/>
  </sheetData>
  <sheetProtection selectLockedCells="1"/>
  <mergeCells count="376">
    <mergeCell ref="B2:N2"/>
    <mergeCell ref="B4:E4"/>
    <mergeCell ref="F4:N4"/>
    <mergeCell ref="B5:N5"/>
    <mergeCell ref="B6:F6"/>
    <mergeCell ref="K6:L6"/>
    <mergeCell ref="M6:N6"/>
    <mergeCell ref="C9:F9"/>
    <mergeCell ref="K9:L9"/>
    <mergeCell ref="M9:N9"/>
    <mergeCell ref="C10:F10"/>
    <mergeCell ref="K10:L10"/>
    <mergeCell ref="M10:N10"/>
    <mergeCell ref="C7:F7"/>
    <mergeCell ref="K7:L7"/>
    <mergeCell ref="M7:N7"/>
    <mergeCell ref="C8:F8"/>
    <mergeCell ref="K8:L8"/>
    <mergeCell ref="M8:N8"/>
    <mergeCell ref="B16:K16"/>
    <mergeCell ref="L16:N16"/>
    <mergeCell ref="B18:K18"/>
    <mergeCell ref="L18:N18"/>
    <mergeCell ref="B19:K19"/>
    <mergeCell ref="L19:N19"/>
    <mergeCell ref="B13:K13"/>
    <mergeCell ref="L13:N13"/>
    <mergeCell ref="B14:K14"/>
    <mergeCell ref="L14:N14"/>
    <mergeCell ref="B15:K15"/>
    <mergeCell ref="L15:N15"/>
    <mergeCell ref="T21:U21"/>
    <mergeCell ref="V21:AA21"/>
    <mergeCell ref="B24:H24"/>
    <mergeCell ref="I24:N24"/>
    <mergeCell ref="B26:N26"/>
    <mergeCell ref="T24:T25"/>
    <mergeCell ref="U24:U25"/>
    <mergeCell ref="V24:V25"/>
    <mergeCell ref="W24:W25"/>
    <mergeCell ref="X24:X25"/>
    <mergeCell ref="B21:N21"/>
    <mergeCell ref="B22:E22"/>
    <mergeCell ref="F22:G22"/>
    <mergeCell ref="I22:N22"/>
    <mergeCell ref="B23:E23"/>
    <mergeCell ref="F23:G23"/>
    <mergeCell ref="I23:N23"/>
    <mergeCell ref="AE24:AE25"/>
    <mergeCell ref="B27:H27"/>
    <mergeCell ref="I27:N27"/>
    <mergeCell ref="B28:G28"/>
    <mergeCell ref="H28:M28"/>
    <mergeCell ref="B29:G32"/>
    <mergeCell ref="H29:M29"/>
    <mergeCell ref="H30:M30"/>
    <mergeCell ref="H31:M31"/>
    <mergeCell ref="H32:M32"/>
    <mergeCell ref="Y24:Y25"/>
    <mergeCell ref="Z24:Z25"/>
    <mergeCell ref="AA24:AA25"/>
    <mergeCell ref="AB24:AB25"/>
    <mergeCell ref="AC24:AC25"/>
    <mergeCell ref="AD24:AD25"/>
    <mergeCell ref="B60:I60"/>
    <mergeCell ref="J60:N60"/>
    <mergeCell ref="N38:N59"/>
    <mergeCell ref="P38:Q38"/>
    <mergeCell ref="P44:Q44"/>
    <mergeCell ref="B36:N36"/>
    <mergeCell ref="B37:N37"/>
    <mergeCell ref="B33:N33"/>
    <mergeCell ref="B34:H34"/>
    <mergeCell ref="I34:N34"/>
    <mergeCell ref="B35:H35"/>
    <mergeCell ref="I35:N35"/>
    <mergeCell ref="P33:Q33"/>
    <mergeCell ref="B61:I61"/>
    <mergeCell ref="J61:N61"/>
    <mergeCell ref="B62:K62"/>
    <mergeCell ref="L62:N62"/>
    <mergeCell ref="B63:N63"/>
    <mergeCell ref="B64:G66"/>
    <mergeCell ref="H64:K64"/>
    <mergeCell ref="L64:N64"/>
    <mergeCell ref="H65:K65"/>
    <mergeCell ref="L65:N65"/>
    <mergeCell ref="B70:K70"/>
    <mergeCell ref="L70:N70"/>
    <mergeCell ref="Z69:AD69"/>
    <mergeCell ref="B72:K72"/>
    <mergeCell ref="L72:N72"/>
    <mergeCell ref="B73:K73"/>
    <mergeCell ref="L73:N73"/>
    <mergeCell ref="H66:K66"/>
    <mergeCell ref="L66:N66"/>
    <mergeCell ref="B67:K67"/>
    <mergeCell ref="L67:N67"/>
    <mergeCell ref="B68:N68"/>
    <mergeCell ref="B69:L69"/>
    <mergeCell ref="M69:N69"/>
    <mergeCell ref="B74:K74"/>
    <mergeCell ref="L74:N74"/>
    <mergeCell ref="T72:U72"/>
    <mergeCell ref="V72:AA72"/>
    <mergeCell ref="B76:N76"/>
    <mergeCell ref="B77:H77"/>
    <mergeCell ref="I77:N77"/>
    <mergeCell ref="T75:T76"/>
    <mergeCell ref="U75:U76"/>
    <mergeCell ref="V75:V76"/>
    <mergeCell ref="AC75:AC76"/>
    <mergeCell ref="AD75:AD76"/>
    <mergeCell ref="AE75:AE76"/>
    <mergeCell ref="B78:G78"/>
    <mergeCell ref="H78:M78"/>
    <mergeCell ref="B79:G82"/>
    <mergeCell ref="H79:M79"/>
    <mergeCell ref="H80:M80"/>
    <mergeCell ref="H81:M81"/>
    <mergeCell ref="H82:M82"/>
    <mergeCell ref="W75:W76"/>
    <mergeCell ref="X75:X76"/>
    <mergeCell ref="Y75:Y76"/>
    <mergeCell ref="Z75:Z76"/>
    <mergeCell ref="AA75:AA76"/>
    <mergeCell ref="AB75:AB76"/>
    <mergeCell ref="B110:I110"/>
    <mergeCell ref="J110:N110"/>
    <mergeCell ref="N88:N109"/>
    <mergeCell ref="P95:Q95"/>
    <mergeCell ref="P89:Q89"/>
    <mergeCell ref="P84:Q84"/>
    <mergeCell ref="B87:N87"/>
    <mergeCell ref="B83:N83"/>
    <mergeCell ref="B84:H84"/>
    <mergeCell ref="I84:N84"/>
    <mergeCell ref="B85:H85"/>
    <mergeCell ref="I85:N85"/>
    <mergeCell ref="B86:N86"/>
    <mergeCell ref="B111:I111"/>
    <mergeCell ref="J111:N111"/>
    <mergeCell ref="B112:K112"/>
    <mergeCell ref="L112:N112"/>
    <mergeCell ref="B113:N113"/>
    <mergeCell ref="B114:G116"/>
    <mergeCell ref="H114:K114"/>
    <mergeCell ref="L114:N114"/>
    <mergeCell ref="H115:K115"/>
    <mergeCell ref="L115:N115"/>
    <mergeCell ref="B120:K120"/>
    <mergeCell ref="L120:N120"/>
    <mergeCell ref="B122:K122"/>
    <mergeCell ref="L122:N122"/>
    <mergeCell ref="Z120:AD120"/>
    <mergeCell ref="B123:K123"/>
    <mergeCell ref="L123:N123"/>
    <mergeCell ref="H116:K116"/>
    <mergeCell ref="L116:N116"/>
    <mergeCell ref="B117:K117"/>
    <mergeCell ref="L117:N117"/>
    <mergeCell ref="B118:N118"/>
    <mergeCell ref="B119:L119"/>
    <mergeCell ref="M119:N119"/>
    <mergeCell ref="B124:K124"/>
    <mergeCell ref="L124:N124"/>
    <mergeCell ref="T122:U122"/>
    <mergeCell ref="V122:AA122"/>
    <mergeCell ref="B126:N126"/>
    <mergeCell ref="B127:H127"/>
    <mergeCell ref="I127:N127"/>
    <mergeCell ref="T125:T126"/>
    <mergeCell ref="U125:U126"/>
    <mergeCell ref="V125:V126"/>
    <mergeCell ref="AC125:AC126"/>
    <mergeCell ref="AD125:AD126"/>
    <mergeCell ref="AE125:AE126"/>
    <mergeCell ref="B128:G128"/>
    <mergeCell ref="H128:M128"/>
    <mergeCell ref="B129:G132"/>
    <mergeCell ref="H129:M129"/>
    <mergeCell ref="H130:M130"/>
    <mergeCell ref="H131:M131"/>
    <mergeCell ref="H132:M132"/>
    <mergeCell ref="W125:W126"/>
    <mergeCell ref="X125:X126"/>
    <mergeCell ref="Y125:Y126"/>
    <mergeCell ref="Z125:Z126"/>
    <mergeCell ref="AA125:AA126"/>
    <mergeCell ref="AB125:AB126"/>
    <mergeCell ref="B160:I160"/>
    <mergeCell ref="J160:N160"/>
    <mergeCell ref="N138:N159"/>
    <mergeCell ref="P145:Q145"/>
    <mergeCell ref="P139:Q139"/>
    <mergeCell ref="P134:Q134"/>
    <mergeCell ref="B137:N137"/>
    <mergeCell ref="B133:N133"/>
    <mergeCell ref="B134:H134"/>
    <mergeCell ref="I134:N134"/>
    <mergeCell ref="B135:H135"/>
    <mergeCell ref="I135:N135"/>
    <mergeCell ref="B136:N136"/>
    <mergeCell ref="B161:I161"/>
    <mergeCell ref="J161:N161"/>
    <mergeCell ref="B162:K162"/>
    <mergeCell ref="L162:N162"/>
    <mergeCell ref="B163:N163"/>
    <mergeCell ref="B164:G166"/>
    <mergeCell ref="H164:K164"/>
    <mergeCell ref="L164:N164"/>
    <mergeCell ref="H165:K165"/>
    <mergeCell ref="L165:N165"/>
    <mergeCell ref="Z170:AD170"/>
    <mergeCell ref="B173:K173"/>
    <mergeCell ref="L173:N173"/>
    <mergeCell ref="H166:K166"/>
    <mergeCell ref="L166:N166"/>
    <mergeCell ref="B167:K167"/>
    <mergeCell ref="L167:N167"/>
    <mergeCell ref="B168:N168"/>
    <mergeCell ref="B169:L169"/>
    <mergeCell ref="M169:N169"/>
    <mergeCell ref="B174:K174"/>
    <mergeCell ref="L174:N174"/>
    <mergeCell ref="B176:N176"/>
    <mergeCell ref="B177:H177"/>
    <mergeCell ref="I177:N177"/>
    <mergeCell ref="T175:T176"/>
    <mergeCell ref="B170:K170"/>
    <mergeCell ref="L170:N170"/>
    <mergeCell ref="B172:K172"/>
    <mergeCell ref="L172:N172"/>
    <mergeCell ref="AA175:AA176"/>
    <mergeCell ref="AB175:AB176"/>
    <mergeCell ref="AC175:AC176"/>
    <mergeCell ref="AD175:AD176"/>
    <mergeCell ref="AE175:AE176"/>
    <mergeCell ref="B178:G178"/>
    <mergeCell ref="H178:M178"/>
    <mergeCell ref="U175:U176"/>
    <mergeCell ref="V175:V176"/>
    <mergeCell ref="W175:W176"/>
    <mergeCell ref="X175:X176"/>
    <mergeCell ref="Y175:Y176"/>
    <mergeCell ref="Z175:Z176"/>
    <mergeCell ref="B187:N187"/>
    <mergeCell ref="B184:H184"/>
    <mergeCell ref="I184:N184"/>
    <mergeCell ref="B185:H185"/>
    <mergeCell ref="I185:N185"/>
    <mergeCell ref="B186:N186"/>
    <mergeCell ref="P184:Q184"/>
    <mergeCell ref="B179:G182"/>
    <mergeCell ref="H179:M179"/>
    <mergeCell ref="H180:M180"/>
    <mergeCell ref="H181:M181"/>
    <mergeCell ref="H182:M182"/>
    <mergeCell ref="B183:N183"/>
    <mergeCell ref="H216:K216"/>
    <mergeCell ref="L216:N216"/>
    <mergeCell ref="B210:I210"/>
    <mergeCell ref="J210:N210"/>
    <mergeCell ref="B211:I211"/>
    <mergeCell ref="J211:N211"/>
    <mergeCell ref="N188:N209"/>
    <mergeCell ref="P195:Q195"/>
    <mergeCell ref="P189:Q189"/>
    <mergeCell ref="Z220:AD220"/>
    <mergeCell ref="B223:K223"/>
    <mergeCell ref="L223:N223"/>
    <mergeCell ref="B224:K224"/>
    <mergeCell ref="L224:N224"/>
    <mergeCell ref="B217:K217"/>
    <mergeCell ref="L217:N217"/>
    <mergeCell ref="B218:N218"/>
    <mergeCell ref="B219:L219"/>
    <mergeCell ref="M219:N219"/>
    <mergeCell ref="B220:K220"/>
    <mergeCell ref="L220:N220"/>
    <mergeCell ref="B293:N293"/>
    <mergeCell ref="B294:N294"/>
    <mergeCell ref="C11:F11"/>
    <mergeCell ref="K11:L11"/>
    <mergeCell ref="M11:N11"/>
    <mergeCell ref="B17:K17"/>
    <mergeCell ref="L17:N17"/>
    <mergeCell ref="B226:N226"/>
    <mergeCell ref="B277:K277"/>
    <mergeCell ref="L277:N277"/>
    <mergeCell ref="B280:K280"/>
    <mergeCell ref="L280:N280"/>
    <mergeCell ref="B283:K283"/>
    <mergeCell ref="L283:N283"/>
    <mergeCell ref="B222:K222"/>
    <mergeCell ref="L222:N222"/>
    <mergeCell ref="B212:K212"/>
    <mergeCell ref="L212:N212"/>
    <mergeCell ref="B213:N213"/>
    <mergeCell ref="B214:G216"/>
    <mergeCell ref="H214:K214"/>
    <mergeCell ref="L214:N214"/>
    <mergeCell ref="H215:K215"/>
    <mergeCell ref="L215:N215"/>
    <mergeCell ref="B233:N233"/>
    <mergeCell ref="B234:H234"/>
    <mergeCell ref="I234:N234"/>
    <mergeCell ref="P234:Q234"/>
    <mergeCell ref="B235:H235"/>
    <mergeCell ref="I235:N235"/>
    <mergeCell ref="B227:H227"/>
    <mergeCell ref="I227:N227"/>
    <mergeCell ref="B228:G228"/>
    <mergeCell ref="H228:M228"/>
    <mergeCell ref="B229:G232"/>
    <mergeCell ref="H229:M229"/>
    <mergeCell ref="H230:M230"/>
    <mergeCell ref="H231:M231"/>
    <mergeCell ref="H232:M232"/>
    <mergeCell ref="B260:I260"/>
    <mergeCell ref="J260:N260"/>
    <mergeCell ref="B261:I261"/>
    <mergeCell ref="J261:N261"/>
    <mergeCell ref="N238:N259"/>
    <mergeCell ref="P239:Q239"/>
    <mergeCell ref="B236:N236"/>
    <mergeCell ref="B237:N237"/>
    <mergeCell ref="P245:Q245"/>
    <mergeCell ref="B267:K267"/>
    <mergeCell ref="L267:N267"/>
    <mergeCell ref="B268:N268"/>
    <mergeCell ref="B269:L269"/>
    <mergeCell ref="M269:N269"/>
    <mergeCell ref="B270:K270"/>
    <mergeCell ref="L270:N270"/>
    <mergeCell ref="B262:K262"/>
    <mergeCell ref="L262:N262"/>
    <mergeCell ref="B263:N263"/>
    <mergeCell ref="B264:G266"/>
    <mergeCell ref="H264:K264"/>
    <mergeCell ref="L264:N264"/>
    <mergeCell ref="H265:K265"/>
    <mergeCell ref="L265:N265"/>
    <mergeCell ref="H266:K266"/>
    <mergeCell ref="L266:N266"/>
    <mergeCell ref="Z270:AD270"/>
    <mergeCell ref="B272:K272"/>
    <mergeCell ref="L272:N272"/>
    <mergeCell ref="B273:K273"/>
    <mergeCell ref="L273:N273"/>
    <mergeCell ref="B274:K274"/>
    <mergeCell ref="L274:N274"/>
    <mergeCell ref="B286:K286"/>
    <mergeCell ref="L286:N286"/>
    <mergeCell ref="B278:K278"/>
    <mergeCell ref="L278:N278"/>
    <mergeCell ref="B279:K279"/>
    <mergeCell ref="L279:N279"/>
    <mergeCell ref="B281:K281"/>
    <mergeCell ref="L281:N281"/>
    <mergeCell ref="B282:K282"/>
    <mergeCell ref="L282:N282"/>
    <mergeCell ref="B284:K284"/>
    <mergeCell ref="L284:N284"/>
    <mergeCell ref="B285:K285"/>
    <mergeCell ref="L285:N285"/>
    <mergeCell ref="L287:N287"/>
    <mergeCell ref="B288:K288"/>
    <mergeCell ref="L288:N288"/>
    <mergeCell ref="B290:K290"/>
    <mergeCell ref="L290:N290"/>
    <mergeCell ref="B291:K291"/>
    <mergeCell ref="L291:N291"/>
    <mergeCell ref="B289:K289"/>
    <mergeCell ref="L289:N289"/>
    <mergeCell ref="B287:K287"/>
  </mergeCells>
  <conditionalFormatting sqref="G7:G11">
    <cfRule type="expression" dxfId="3" priority="1">
      <formula>SUM($G$7:$G$11)=0</formula>
    </cfRule>
    <cfRule type="expression" dxfId="2" priority="2">
      <formula>SUM($G$7:$G$11)&lt;100%</formula>
    </cfRule>
  </conditionalFormatting>
  <conditionalFormatting sqref="X18:Y18 L19">
    <cfRule type="cellIs" dxfId="1" priority="5" stopIfTrue="1" operator="equal">
      <formula>$Q$27</formula>
    </cfRule>
    <cfRule type="cellIs" dxfId="0" priority="6" stopIfTrue="1" operator="equal">
      <formula>$Q$28</formula>
    </cfRule>
  </conditionalFormatting>
  <dataValidations count="1">
    <dataValidation type="list" allowBlank="1" showInputMessage="1" showErrorMessage="1" sqref="L278:N279 L281:N282 L284:N285 L287:N288 L290:N291" xr:uid="{F6869950-85AA-4719-A218-14C582A15145}">
      <formula1>$O$1:$O$2</formula1>
    </dataValidation>
  </dataValidations>
  <printOptions horizontalCentered="1"/>
  <pageMargins left="0.70866141732283472" right="0.70866141732283472" top="0.74803149606299213" bottom="0.74803149606299213" header="0.31496062992125984" footer="0.31496062992125984"/>
  <pageSetup paperSize="9" scale="53" orientation="portrait" horizontalDpi="300" verticalDpi="300" r:id="rId1"/>
  <rowBreaks count="2" manualBreakCount="2">
    <brk id="78" max="16383" man="1"/>
    <brk id="162" max="14" man="1"/>
  </rowBreaks>
  <drawing r:id="rId2"/>
  <legacyDrawing r:id="rId3"/>
  <oleObjects>
    <mc:AlternateContent xmlns:mc="http://schemas.openxmlformats.org/markup-compatibility/2006">
      <mc:Choice Requires="x14">
        <oleObject progId="Equation.3" shapeId="10241" r:id="rId4">
          <objectPr defaultSize="0" autoPict="0" r:id="rId5">
            <anchor moveWithCells="1">
              <from>
                <xdr:col>1</xdr:col>
                <xdr:colOff>323850</xdr:colOff>
                <xdr:row>28</xdr:row>
                <xdr:rowOff>171450</xdr:rowOff>
              </from>
              <to>
                <xdr:col>6</xdr:col>
                <xdr:colOff>361950</xdr:colOff>
                <xdr:row>30</xdr:row>
                <xdr:rowOff>152400</xdr:rowOff>
              </to>
            </anchor>
          </objectPr>
        </oleObject>
      </mc:Choice>
      <mc:Fallback>
        <oleObject progId="Equation.3" shapeId="10241" r:id="rId4"/>
      </mc:Fallback>
    </mc:AlternateContent>
    <mc:AlternateContent xmlns:mc="http://schemas.openxmlformats.org/markup-compatibility/2006">
      <mc:Choice Requires="x14">
        <oleObject progId="Equation.3" shapeId="10242" r:id="rId6">
          <objectPr defaultSize="0" autoPict="0" r:id="rId7">
            <anchor moveWithCells="1">
              <from>
                <xdr:col>2</xdr:col>
                <xdr:colOff>9525</xdr:colOff>
                <xdr:row>63</xdr:row>
                <xdr:rowOff>85725</xdr:rowOff>
              </from>
              <to>
                <xdr:col>6</xdr:col>
                <xdr:colOff>228600</xdr:colOff>
                <xdr:row>65</xdr:row>
                <xdr:rowOff>123825</xdr:rowOff>
              </to>
            </anchor>
          </objectPr>
        </oleObject>
      </mc:Choice>
      <mc:Fallback>
        <oleObject progId="Equation.3" shapeId="10242" r:id="rId6"/>
      </mc:Fallback>
    </mc:AlternateContent>
    <mc:AlternateContent xmlns:mc="http://schemas.openxmlformats.org/markup-compatibility/2006">
      <mc:Choice Requires="x14">
        <oleObject progId="Equation.3" shapeId="10243" r:id="rId8">
          <objectPr defaultSize="0" autoPict="0" r:id="rId5">
            <anchor moveWithCells="1">
              <from>
                <xdr:col>2</xdr:col>
                <xdr:colOff>19050</xdr:colOff>
                <xdr:row>79</xdr:row>
                <xdr:rowOff>9525</xdr:rowOff>
              </from>
              <to>
                <xdr:col>6</xdr:col>
                <xdr:colOff>447675</xdr:colOff>
                <xdr:row>80</xdr:row>
                <xdr:rowOff>190500</xdr:rowOff>
              </to>
            </anchor>
          </objectPr>
        </oleObject>
      </mc:Choice>
      <mc:Fallback>
        <oleObject progId="Equation.3" shapeId="10243" r:id="rId8"/>
      </mc:Fallback>
    </mc:AlternateContent>
    <mc:AlternateContent xmlns:mc="http://schemas.openxmlformats.org/markup-compatibility/2006">
      <mc:Choice Requires="x14">
        <oleObject progId="Equation.3" shapeId="10244" r:id="rId9">
          <objectPr defaultSize="0" autoPict="0" r:id="rId7">
            <anchor moveWithCells="1">
              <from>
                <xdr:col>1</xdr:col>
                <xdr:colOff>85725</xdr:colOff>
                <xdr:row>113</xdr:row>
                <xdr:rowOff>85725</xdr:rowOff>
              </from>
              <to>
                <xdr:col>5</xdr:col>
                <xdr:colOff>371475</xdr:colOff>
                <xdr:row>115</xdr:row>
                <xdr:rowOff>123825</xdr:rowOff>
              </to>
            </anchor>
          </objectPr>
        </oleObject>
      </mc:Choice>
      <mc:Fallback>
        <oleObject progId="Equation.3" shapeId="10244" r:id="rId9"/>
      </mc:Fallback>
    </mc:AlternateContent>
    <mc:AlternateContent xmlns:mc="http://schemas.openxmlformats.org/markup-compatibility/2006">
      <mc:Choice Requires="x14">
        <oleObject progId="Equation.3" shapeId="10245" r:id="rId10">
          <objectPr defaultSize="0" autoPict="0" r:id="rId5">
            <anchor moveWithCells="1">
              <from>
                <xdr:col>2</xdr:col>
                <xdr:colOff>19050</xdr:colOff>
                <xdr:row>129</xdr:row>
                <xdr:rowOff>9525</xdr:rowOff>
              </from>
              <to>
                <xdr:col>6</xdr:col>
                <xdr:colOff>447675</xdr:colOff>
                <xdr:row>130</xdr:row>
                <xdr:rowOff>190500</xdr:rowOff>
              </to>
            </anchor>
          </objectPr>
        </oleObject>
      </mc:Choice>
      <mc:Fallback>
        <oleObject progId="Equation.3" shapeId="10245" r:id="rId10"/>
      </mc:Fallback>
    </mc:AlternateContent>
    <mc:AlternateContent xmlns:mc="http://schemas.openxmlformats.org/markup-compatibility/2006">
      <mc:Choice Requires="x14">
        <oleObject progId="Equation.3" shapeId="10246" r:id="rId11">
          <objectPr defaultSize="0" autoPict="0" r:id="rId7">
            <anchor moveWithCells="1">
              <from>
                <xdr:col>1</xdr:col>
                <xdr:colOff>85725</xdr:colOff>
                <xdr:row>163</xdr:row>
                <xdr:rowOff>85725</xdr:rowOff>
              </from>
              <to>
                <xdr:col>5</xdr:col>
                <xdr:colOff>371475</xdr:colOff>
                <xdr:row>165</xdr:row>
                <xdr:rowOff>123825</xdr:rowOff>
              </to>
            </anchor>
          </objectPr>
        </oleObject>
      </mc:Choice>
      <mc:Fallback>
        <oleObject progId="Equation.3" shapeId="10246" r:id="rId11"/>
      </mc:Fallback>
    </mc:AlternateContent>
    <mc:AlternateContent xmlns:mc="http://schemas.openxmlformats.org/markup-compatibility/2006">
      <mc:Choice Requires="x14">
        <oleObject progId="Equation.3" shapeId="10247" r:id="rId12">
          <objectPr defaultSize="0" autoPict="0" r:id="rId5">
            <anchor moveWithCells="1">
              <from>
                <xdr:col>2</xdr:col>
                <xdr:colOff>19050</xdr:colOff>
                <xdr:row>179</xdr:row>
                <xdr:rowOff>9525</xdr:rowOff>
              </from>
              <to>
                <xdr:col>6</xdr:col>
                <xdr:colOff>447675</xdr:colOff>
                <xdr:row>180</xdr:row>
                <xdr:rowOff>190500</xdr:rowOff>
              </to>
            </anchor>
          </objectPr>
        </oleObject>
      </mc:Choice>
      <mc:Fallback>
        <oleObject progId="Equation.3" shapeId="10247" r:id="rId12"/>
      </mc:Fallback>
    </mc:AlternateContent>
    <mc:AlternateContent xmlns:mc="http://schemas.openxmlformats.org/markup-compatibility/2006">
      <mc:Choice Requires="x14">
        <oleObject progId="Equation.3" shapeId="10248" r:id="rId13">
          <objectPr defaultSize="0" autoPict="0" r:id="rId7">
            <anchor moveWithCells="1">
              <from>
                <xdr:col>1</xdr:col>
                <xdr:colOff>85725</xdr:colOff>
                <xdr:row>213</xdr:row>
                <xdr:rowOff>85725</xdr:rowOff>
              </from>
              <to>
                <xdr:col>5</xdr:col>
                <xdr:colOff>371475</xdr:colOff>
                <xdr:row>215</xdr:row>
                <xdr:rowOff>123825</xdr:rowOff>
              </to>
            </anchor>
          </objectPr>
        </oleObject>
      </mc:Choice>
      <mc:Fallback>
        <oleObject progId="Equation.3" shapeId="10248" r:id="rId13"/>
      </mc:Fallback>
    </mc:AlternateContent>
    <mc:AlternateContent xmlns:mc="http://schemas.openxmlformats.org/markup-compatibility/2006">
      <mc:Choice Requires="x14">
        <oleObject progId="Equation.3" shapeId="10254" r:id="rId14">
          <objectPr defaultSize="0" autoPict="0" r:id="rId5">
            <anchor moveWithCells="1">
              <from>
                <xdr:col>2</xdr:col>
                <xdr:colOff>19050</xdr:colOff>
                <xdr:row>229</xdr:row>
                <xdr:rowOff>9525</xdr:rowOff>
              </from>
              <to>
                <xdr:col>6</xdr:col>
                <xdr:colOff>447675</xdr:colOff>
                <xdr:row>230</xdr:row>
                <xdr:rowOff>190500</xdr:rowOff>
              </to>
            </anchor>
          </objectPr>
        </oleObject>
      </mc:Choice>
      <mc:Fallback>
        <oleObject progId="Equation.3" shapeId="10254" r:id="rId14"/>
      </mc:Fallback>
    </mc:AlternateContent>
    <mc:AlternateContent xmlns:mc="http://schemas.openxmlformats.org/markup-compatibility/2006">
      <mc:Choice Requires="x14">
        <oleObject progId="Equation.3" shapeId="10255" r:id="rId15">
          <objectPr defaultSize="0" autoPict="0" r:id="rId7">
            <anchor moveWithCells="1">
              <from>
                <xdr:col>1</xdr:col>
                <xdr:colOff>85725</xdr:colOff>
                <xdr:row>263</xdr:row>
                <xdr:rowOff>85725</xdr:rowOff>
              </from>
              <to>
                <xdr:col>5</xdr:col>
                <xdr:colOff>371475</xdr:colOff>
                <xdr:row>265</xdr:row>
                <xdr:rowOff>123825</xdr:rowOff>
              </to>
            </anchor>
          </objectPr>
        </oleObject>
      </mc:Choice>
      <mc:Fallback>
        <oleObject progId="Equation.3" shapeId="10255" r:id="rId15"/>
      </mc:Fallback>
    </mc:AlternateContent>
  </oleObjec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D6"/>
  <sheetViews>
    <sheetView workbookViewId="0">
      <selection activeCell="D3" sqref="D3"/>
    </sheetView>
  </sheetViews>
  <sheetFormatPr baseColWidth="10" defaultColWidth="11.42578125" defaultRowHeight="15" x14ac:dyDescent="0.25"/>
  <cols>
    <col min="2" max="2" width="19.85546875" bestFit="1" customWidth="1"/>
  </cols>
  <sheetData>
    <row r="2" spans="1:4" x14ac:dyDescent="0.25">
      <c r="A2" t="s">
        <v>218</v>
      </c>
      <c r="B2" t="b">
        <f>OR('CRP SINGULAR'!$L$8="CUMPLE",'CRP SINGULAR'!$L$8="NO CUMPLE")</f>
        <v>0</v>
      </c>
      <c r="C2">
        <f>'CRP SINGULAR'!$B$71</f>
        <v>0</v>
      </c>
      <c r="D2" t="str">
        <f>'CRP SINGULAR'!$L$8</f>
        <v>PENDIENTE REVISIÓN</v>
      </c>
    </row>
    <row r="3" spans="1:4" x14ac:dyDescent="0.25">
      <c r="A3" t="s">
        <v>219</v>
      </c>
      <c r="B3" t="b">
        <f>OR('CRP PLURAL (2)'!$L$13="CUMPLE",'CRP PLURAL (2)'!$L$13="NO CUMPLE")</f>
        <v>1</v>
      </c>
      <c r="C3">
        <f>'CRP PLURAL (2)'!$B$130</f>
        <v>0</v>
      </c>
      <c r="D3" t="str">
        <f>'CRP PLURAL (2)'!$L$13</f>
        <v>CUMPLE</v>
      </c>
    </row>
    <row r="4" spans="1:4" x14ac:dyDescent="0.25">
      <c r="A4" t="s">
        <v>220</v>
      </c>
      <c r="B4" t="b">
        <f>OR('CRP PLURAL (3)'!$L$15="CUMPLE",'CRP PLURAL (3)'!$L$15="NO CUMPLE")</f>
        <v>0</v>
      </c>
      <c r="C4">
        <f>'CRP PLURAL (3)'!$B$183</f>
        <v>0</v>
      </c>
      <c r="D4" t="str">
        <f>'CRP PLURAL (3)'!$L$15</f>
        <v>PENDIENTE REVISIÓN</v>
      </c>
    </row>
    <row r="5" spans="1:4" x14ac:dyDescent="0.25">
      <c r="A5" t="s">
        <v>221</v>
      </c>
      <c r="B5" t="b">
        <f>OR('CRP PLURAL (4)'!$L$17="CUMPLE",'CRP PLURAL (4)'!$L$17="NO CUMPLE")</f>
        <v>0</v>
      </c>
      <c r="C5">
        <f>'CRP PLURAL (4)'!$B$238</f>
        <v>0</v>
      </c>
      <c r="D5" t="str">
        <f>'CRP PLURAL (4)'!$L$17</f>
        <v>PENDIENTE REVISIÓN</v>
      </c>
    </row>
    <row r="6" spans="1:4" x14ac:dyDescent="0.25">
      <c r="A6" t="s">
        <v>222</v>
      </c>
      <c r="B6" t="b">
        <f>OR('CRP PLURAL (5)'!$L$19="CUMPLE",'CRP PLURAL (5)'!$L$19="NO CUMPLE")</f>
        <v>0</v>
      </c>
      <c r="C6">
        <f>'CRP PLURAL (5)'!$B$294</f>
        <v>0</v>
      </c>
      <c r="D6" t="str">
        <f>'CRP PLURAL (5)'!$L$19</f>
        <v>PENDIENTE REVISIÓN</v>
      </c>
    </row>
  </sheetData>
  <phoneticPr fontId="18"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B498789DD500C4390BE29F5F1EB025A" ma:contentTypeVersion="19" ma:contentTypeDescription="Crear nuevo documento." ma:contentTypeScope="" ma:versionID="eb5edcaea1b482ca608940737252b113">
  <xsd:schema xmlns:xsd="http://www.w3.org/2001/XMLSchema" xmlns:xs="http://www.w3.org/2001/XMLSchema" xmlns:p="http://schemas.microsoft.com/office/2006/metadata/properties" xmlns:ns2="7458f1b0-7103-4529-84b3-253548f50739" xmlns:ns3="e1961993-a8e8-4433-89b8-7f0aa5ecf11d" targetNamespace="http://schemas.microsoft.com/office/2006/metadata/properties" ma:root="true" ma:fieldsID="f9e1b09c8d0cccf1c8258c0af602eab4" ns2:_="" ns3:_="">
    <xsd:import namespace="7458f1b0-7103-4529-84b3-253548f50739"/>
    <xsd:import namespace="e1961993-a8e8-4433-89b8-7f0aa5ecf11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GenerationTime" minOccurs="0"/>
                <xsd:element ref="ns2:MediaServiceEventHashCode" minOccurs="0"/>
                <xsd:element ref="ns2:MediaServiceOCR"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458f1b0-7103-4529-84b3-253548f5073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aa27a25d-457c-4aed-8099-69afa1ad450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1961993-a8e8-4433-89b8-7f0aa5ecf11d"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9d6bb4a1-323e-47ce-92d3-8b791a7e4358}" ma:internalName="TaxCatchAll" ma:showField="CatchAllData" ma:web="e1961993-a8e8-4433-89b8-7f0aa5ecf11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1961993-a8e8-4433-89b8-7f0aa5ecf11d" xsi:nil="true"/>
    <lcf76f155ced4ddcb4097134ff3c332f xmlns="7458f1b0-7103-4529-84b3-253548f5073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92B9368-4506-44F4-ABD4-3756AF58ED7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458f1b0-7103-4529-84b3-253548f50739"/>
    <ds:schemaRef ds:uri="e1961993-a8e8-4433-89b8-7f0aa5ecf1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B051114-76F7-461B-8792-140AA513D1BC}">
  <ds:schemaRefs>
    <ds:schemaRef ds:uri="http://schemas.microsoft.com/sharepoint/v3/contenttype/forms"/>
  </ds:schemaRefs>
</ds:datastoreItem>
</file>

<file path=customXml/itemProps3.xml><?xml version="1.0" encoding="utf-8"?>
<ds:datastoreItem xmlns:ds="http://schemas.openxmlformats.org/officeDocument/2006/customXml" ds:itemID="{04D371F9-39C2-43D4-8E44-8D9405E00889}">
  <ds:schemaRefs>
    <ds:schemaRef ds:uri="http://schemas.microsoft.com/office/2006/metadata/properties"/>
    <ds:schemaRef ds:uri="http://schemas.microsoft.com/office/infopath/2007/PartnerControls"/>
    <ds:schemaRef ds:uri="e1961993-a8e8-4433-89b8-7f0aa5ecf11d"/>
    <ds:schemaRef ds:uri="7458f1b0-7103-4529-84b3-253548f5073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EVALUACIÓN EXPERIENCIA</vt:lpstr>
      <vt:lpstr>CRP SINGULAR</vt:lpstr>
      <vt:lpstr>CRP PLURAL (2)</vt:lpstr>
      <vt:lpstr>CRP PLURAL (3)</vt:lpstr>
      <vt:lpstr>CRP PLURAL (4)</vt:lpstr>
      <vt:lpstr>CRP PLURAL (5)</vt:lpstr>
      <vt:lpstr>Base</vt:lpstr>
      <vt:lpstr>'CRP PLURAL (2)'!Área_de_impresión</vt:lpstr>
      <vt:lpstr>'CRP PLURAL (3)'!Área_de_impresión</vt:lpstr>
      <vt:lpstr>'CRP PLURAL (4)'!Área_de_impresión</vt:lpstr>
      <vt:lpstr>'CRP PLURAL (5)'!Área_de_impresión</vt:lpstr>
      <vt:lpstr>'CRP SINGULAR'!Área_de_impresión</vt:lpstr>
      <vt:lpstr>'EVALUACIÓN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Mario Fernando de Jesus Orjuela de la Torre</dc:creator>
  <cp:keywords/>
  <dc:description/>
  <cp:lastModifiedBy>Claudia Zoraya Guerrero Sarmiento</cp:lastModifiedBy>
  <cp:revision/>
  <dcterms:created xsi:type="dcterms:W3CDTF">2015-04-27T15:33:20Z</dcterms:created>
  <dcterms:modified xsi:type="dcterms:W3CDTF">2026-04-22T22:47:07Z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0x010100AB498789DD500C4390BE29F5F1EB025A</vt:lpwstr>
  </property>
  <property fmtid="{D5CDD505-2E9C-101B-9397-08002B2CF9AE}" pid="3" name="MediaServiceImageTags">
    <vt:lpwstr/>
  </property>
</Properties>
</file>