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240" documentId="8_{D666DFF2-0685-4717-932C-D8E06FF80837}" xr6:coauthVersionLast="47" xr6:coauthVersionMax="47" xr10:uidLastSave="{A214F3A4-A6C0-41B3-9A19-8E8366EF4DC3}"/>
  <bookViews>
    <workbookView xWindow="-120" yWindow="-120" windowWidth="20730" windowHeight="11040" tabRatio="714" xr2:uid="{00000000-000D-0000-FFFF-FFFF00000000}"/>
  </bookViews>
  <sheets>
    <sheet name="EVALUACIÓN EXPERIENCIA" sheetId="13" r:id="rId1"/>
    <sheet name="CRP SINGULAR" sheetId="8" state="hidden" r:id="rId2"/>
    <sheet name="CRP PLURAL (2)" sheetId="2" r:id="rId3"/>
    <sheet name="CRP PLURAL (3)" sheetId="9" state="hidden" r:id="rId4"/>
    <sheet name="CRP PLURAL (4)" sheetId="10" state="hidden" r:id="rId5"/>
    <sheet name="CRP PLURAL (5)" sheetId="11" state="hidden" r:id="rId6"/>
    <sheet name="Base" sheetId="14" state="hidden" r:id="rId7"/>
  </sheets>
  <definedNames>
    <definedName name="_xlnm.Print_Area" localSheetId="2">'CRP PLURAL (2)'!$A$1:$N$130</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0" i="13" l="1"/>
  <c r="K40" i="13" s="1"/>
  <c r="I39" i="13"/>
  <c r="K39" i="13" s="1"/>
  <c r="I38" i="13"/>
  <c r="K38" i="13" s="1"/>
  <c r="I37" i="13"/>
  <c r="K37" i="13" s="1"/>
  <c r="E95" i="2"/>
  <c r="E94" i="2"/>
  <c r="E88" i="2"/>
  <c r="C104" i="2"/>
  <c r="C99" i="2"/>
  <c r="C92" i="2"/>
  <c r="C91" i="2"/>
  <c r="C90" i="2"/>
  <c r="E52" i="2"/>
  <c r="E51" i="2"/>
  <c r="E50" i="2"/>
  <c r="E49" i="2"/>
  <c r="E48" i="2"/>
  <c r="E47" i="2"/>
  <c r="E46" i="2"/>
  <c r="E45" i="2"/>
  <c r="E44" i="2"/>
  <c r="E43" i="2"/>
  <c r="E42" i="2"/>
  <c r="E41" i="2"/>
  <c r="E40" i="2"/>
  <c r="E39" i="2"/>
  <c r="E38" i="2"/>
  <c r="E37" i="2"/>
  <c r="E36" i="2"/>
  <c r="C46" i="2"/>
  <c r="C45" i="2"/>
  <c r="C42" i="2"/>
  <c r="C41" i="2"/>
  <c r="C40" i="2"/>
  <c r="C39" i="2"/>
  <c r="C38" i="2"/>
  <c r="C37" i="2"/>
  <c r="M7" i="2"/>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J105" i="2"/>
  <c r="J106" i="2" s="1"/>
  <c r="L85" i="2"/>
  <c r="L86" i="2" s="1"/>
  <c r="L87" i="2" s="1"/>
  <c r="L88" i="2" s="1"/>
  <c r="L89" i="2" s="1"/>
  <c r="L90" i="2" s="1"/>
  <c r="L91" i="2" s="1"/>
  <c r="L92" i="2" s="1"/>
  <c r="L93" i="2" s="1"/>
  <c r="L94" i="2" s="1"/>
  <c r="L95" i="2" s="1"/>
  <c r="L96" i="2" s="1"/>
  <c r="L97" i="2" s="1"/>
  <c r="L98" i="2" s="1"/>
  <c r="L99" i="2" s="1"/>
  <c r="L100" i="2" s="1"/>
  <c r="L101" i="2" s="1"/>
  <c r="L102" i="2" s="1"/>
  <c r="L103" i="2" s="1"/>
  <c r="L104" i="2" s="1"/>
  <c r="J85" i="2"/>
  <c r="J86" i="2" s="1"/>
  <c r="J87" i="2" s="1"/>
  <c r="J88" i="2" s="1"/>
  <c r="J89" i="2" s="1"/>
  <c r="J90" i="2" s="1"/>
  <c r="J91" i="2" s="1"/>
  <c r="J92" i="2" s="1"/>
  <c r="J93" i="2" s="1"/>
  <c r="J94" i="2" s="1"/>
  <c r="J95" i="2" s="1"/>
  <c r="J96" i="2" s="1"/>
  <c r="J97" i="2" s="1"/>
  <c r="J98" i="2" s="1"/>
  <c r="J99" i="2" s="1"/>
  <c r="J100" i="2" s="1"/>
  <c r="J101" i="2" s="1"/>
  <c r="J102" i="2" s="1"/>
  <c r="J103" i="2" s="1"/>
  <c r="J104" i="2" s="1"/>
  <c r="H85" i="2"/>
  <c r="H86" i="2" s="1"/>
  <c r="H87" i="2" s="1"/>
  <c r="H88" i="2" s="1"/>
  <c r="H89" i="2" s="1"/>
  <c r="H90" i="2" s="1"/>
  <c r="H91" i="2" s="1"/>
  <c r="H92" i="2" s="1"/>
  <c r="H93" i="2" s="1"/>
  <c r="H94" i="2" s="1"/>
  <c r="H95" i="2" s="1"/>
  <c r="H96" i="2" s="1"/>
  <c r="H97" i="2" s="1"/>
  <c r="H98" i="2" s="1"/>
  <c r="H99" i="2" s="1"/>
  <c r="H100" i="2" s="1"/>
  <c r="H101" i="2" s="1"/>
  <c r="H102" i="2" s="1"/>
  <c r="H103" i="2" s="1"/>
  <c r="H104" i="2" s="1"/>
  <c r="F85" i="2"/>
  <c r="F86" i="2" s="1"/>
  <c r="F87" i="2" s="1"/>
  <c r="F88" i="2" s="1"/>
  <c r="F89" i="2" s="1"/>
  <c r="F90" i="2" s="1"/>
  <c r="F91" i="2" s="1"/>
  <c r="F92" i="2" s="1"/>
  <c r="F93" i="2" s="1"/>
  <c r="F94" i="2" s="1"/>
  <c r="F95" i="2" s="1"/>
  <c r="F96" i="2" s="1"/>
  <c r="F97" i="2" s="1"/>
  <c r="F98" i="2" s="1"/>
  <c r="F99" i="2" s="1"/>
  <c r="F100" i="2" s="1"/>
  <c r="F101" i="2" s="1"/>
  <c r="F102" i="2" s="1"/>
  <c r="F103" i="2" s="1"/>
  <c r="F104" i="2" s="1"/>
  <c r="D85" i="2"/>
  <c r="D86" i="2" s="1"/>
  <c r="D87" i="2" s="1"/>
  <c r="D88" i="2" s="1"/>
  <c r="D89" i="2" s="1"/>
  <c r="D90" i="2" s="1"/>
  <c r="D91" i="2" s="1"/>
  <c r="D92" i="2" s="1"/>
  <c r="D93" i="2" s="1"/>
  <c r="D94" i="2" s="1"/>
  <c r="D95" i="2" s="1"/>
  <c r="D96" i="2" s="1"/>
  <c r="D97" i="2" s="1"/>
  <c r="D98" i="2" s="1"/>
  <c r="D99" i="2" s="1"/>
  <c r="D100" i="2" s="1"/>
  <c r="D101" i="2" s="1"/>
  <c r="D102" i="2" s="1"/>
  <c r="D103" i="2" s="1"/>
  <c r="D104" i="2" s="1"/>
  <c r="B85" i="2"/>
  <c r="B86" i="2" s="1"/>
  <c r="B87" i="2" s="1"/>
  <c r="B88" i="2" s="1"/>
  <c r="B89" i="2" s="1"/>
  <c r="B90" i="2" s="1"/>
  <c r="B91" i="2" s="1"/>
  <c r="B92" i="2" s="1"/>
  <c r="B93" i="2" s="1"/>
  <c r="B94" i="2" s="1"/>
  <c r="B95" i="2" s="1"/>
  <c r="B96" i="2" s="1"/>
  <c r="B97" i="2" s="1"/>
  <c r="B98" i="2" s="1"/>
  <c r="B99" i="2" s="1"/>
  <c r="B100" i="2" s="1"/>
  <c r="B101" i="2" s="1"/>
  <c r="B102" i="2" s="1"/>
  <c r="B103" i="2" s="1"/>
  <c r="B104" i="2" s="1"/>
  <c r="J54" i="2"/>
  <c r="J55" i="2" s="1"/>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41" i="13"/>
  <c r="K42" i="13"/>
  <c r="K43" i="13"/>
  <c r="AB24" i="8"/>
  <c r="AB25" i="8"/>
  <c r="AB26" i="8"/>
  <c r="I82" i="13"/>
  <c r="G118" i="13" s="1"/>
  <c r="F27" i="13"/>
  <c r="L63" i="8"/>
  <c r="J50" i="8" l="1"/>
  <c r="B101" i="13" l="1"/>
  <c r="Q232" i="11"/>
  <c r="Q182" i="11"/>
  <c r="Q132" i="11"/>
  <c r="Q82" i="11"/>
  <c r="Q31" i="11"/>
  <c r="Q182" i="10"/>
  <c r="Q132" i="10"/>
  <c r="Q82" i="10"/>
  <c r="Q31" i="10"/>
  <c r="Q132" i="9"/>
  <c r="Q82" i="9"/>
  <c r="Q31" i="9"/>
  <c r="Q83" i="2"/>
  <c r="Q31" i="2"/>
  <c r="Q29" i="8"/>
  <c r="B23" i="11"/>
  <c r="F23" i="11" s="1"/>
  <c r="B21" i="10"/>
  <c r="F21" i="10" s="1"/>
  <c r="B19" i="9"/>
  <c r="F19" i="9" s="1"/>
  <c r="B17" i="2"/>
  <c r="B12" i="8"/>
  <c r="F12" i="8" s="1"/>
  <c r="K45" i="13"/>
  <c r="F4" i="9"/>
  <c r="M115"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5" i="2"/>
  <c r="L122" i="2"/>
  <c r="L66" i="8"/>
  <c r="F17" i="2" l="1"/>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1"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9" i="2"/>
  <c r="L111" i="2"/>
  <c r="L110" i="2"/>
  <c r="B125" i="2"/>
  <c r="L68" i="2"/>
  <c r="M64" i="2"/>
  <c r="L60" i="2"/>
  <c r="L59" i="2"/>
  <c r="I72" i="2"/>
  <c r="J107" i="2" s="1"/>
  <c r="B120" i="2"/>
  <c r="B69" i="2"/>
  <c r="I21" i="2"/>
  <c r="J56" i="2" s="1"/>
  <c r="I17" i="2"/>
  <c r="L61" i="2" l="1"/>
  <c r="B277" i="11"/>
  <c r="B13" i="11"/>
  <c r="B172" i="9"/>
  <c r="B11" i="9"/>
  <c r="B224" i="10"/>
  <c r="B12" i="10"/>
  <c r="B26" i="11"/>
  <c r="V21" i="11" s="1"/>
  <c r="B20" i="2"/>
  <c r="B122"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2" i="2"/>
  <c r="B119" i="2"/>
  <c r="B68" i="2"/>
  <c r="B67" i="2"/>
  <c r="B118"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9" i="2" l="1"/>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7" i="2"/>
  <c r="AC108" i="2"/>
  <c r="AC109" i="2"/>
  <c r="AC110" i="2"/>
  <c r="AC111" i="2"/>
  <c r="AC112" i="2"/>
  <c r="AC113" i="2"/>
  <c r="AC114" i="2"/>
  <c r="AC115" i="2"/>
  <c r="AC116" i="2"/>
  <c r="AC117" i="2"/>
  <c r="AC118" i="2"/>
  <c r="AC119" i="2"/>
  <c r="AC120" i="2"/>
  <c r="AC121" i="2"/>
  <c r="AC7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A121" i="2"/>
  <c r="AA120" i="2"/>
  <c r="AA119" i="2"/>
  <c r="AA118" i="2"/>
  <c r="AA117" i="2"/>
  <c r="L116" i="2"/>
  <c r="AA116" i="2"/>
  <c r="AA115" i="2"/>
  <c r="AA114" i="2"/>
  <c r="AA113" i="2"/>
  <c r="L113" i="2"/>
  <c r="AA112" i="2"/>
  <c r="AA111" i="2"/>
  <c r="AA110" i="2"/>
  <c r="AA109" i="2"/>
  <c r="AA108" i="2"/>
  <c r="AA107" i="2"/>
  <c r="AA105" i="2"/>
  <c r="AA104" i="2"/>
  <c r="AA103" i="2"/>
  <c r="AA102" i="2"/>
  <c r="AA101" i="2"/>
  <c r="AA100" i="2"/>
  <c r="AA99" i="2"/>
  <c r="AA98" i="2"/>
  <c r="AA97" i="2"/>
  <c r="AA96" i="2"/>
  <c r="AA95" i="2"/>
  <c r="AA94" i="2"/>
  <c r="AA93" i="2"/>
  <c r="AA92" i="2"/>
  <c r="AA91" i="2"/>
  <c r="AA90" i="2"/>
  <c r="AA89" i="2"/>
  <c r="AA88" i="2"/>
  <c r="AA87" i="2"/>
  <c r="AA86" i="2"/>
  <c r="AA85" i="2"/>
  <c r="AA84" i="2"/>
  <c r="AA83" i="2"/>
  <c r="N77" i="2"/>
  <c r="AA82" i="2"/>
  <c r="AA81" i="2"/>
  <c r="R83" i="2"/>
  <c r="AA80" i="2"/>
  <c r="AA79" i="2"/>
  <c r="T79" i="2"/>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7" i="2" s="1"/>
  <c r="T108" i="2" s="1"/>
  <c r="T109" i="2" s="1"/>
  <c r="T110" i="2" s="1"/>
  <c r="T111" i="2" s="1"/>
  <c r="T112" i="2" s="1"/>
  <c r="T113" i="2" s="1"/>
  <c r="T114" i="2" s="1"/>
  <c r="T115" i="2" s="1"/>
  <c r="T116" i="2" s="1"/>
  <c r="T117" i="2" s="1"/>
  <c r="T118" i="2" s="1"/>
  <c r="T119" i="2" s="1"/>
  <c r="T120" i="2" s="1"/>
  <c r="T121" i="2" s="1"/>
  <c r="AB78" i="2"/>
  <c r="AA78" i="2"/>
  <c r="U74" i="2"/>
  <c r="W79" i="2" s="1"/>
  <c r="W80" i="2" s="1"/>
  <c r="AB80" i="2" s="1"/>
  <c r="V73" i="2"/>
  <c r="AA69" i="2"/>
  <c r="AA68" i="2"/>
  <c r="AA67" i="2"/>
  <c r="AA66" i="2"/>
  <c r="AA65" i="2"/>
  <c r="L65" i="2"/>
  <c r="AA64" i="2"/>
  <c r="AA63" i="2"/>
  <c r="AA62" i="2"/>
  <c r="AA61" i="2"/>
  <c r="L62" i="2"/>
  <c r="AA60" i="2"/>
  <c r="AA59" i="2"/>
  <c r="AA58" i="2"/>
  <c r="AA57" i="2"/>
  <c r="AA56"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6" i="2" s="1"/>
  <c r="T57" i="2" s="1"/>
  <c r="T58" i="2" s="1"/>
  <c r="T59" i="2" s="1"/>
  <c r="T60" i="2" s="1"/>
  <c r="T61" i="2" s="1"/>
  <c r="T62" i="2" s="1"/>
  <c r="T63" i="2" s="1"/>
  <c r="T64" i="2" s="1"/>
  <c r="T65" i="2" s="1"/>
  <c r="T66" i="2" s="1"/>
  <c r="T67" i="2" s="1"/>
  <c r="T68" i="2" s="1"/>
  <c r="T69" i="2" s="1"/>
  <c r="AA26" i="2"/>
  <c r="V21" i="2"/>
  <c r="AD78" i="2" l="1"/>
  <c r="AE78" i="2" s="1"/>
  <c r="AB79" i="2"/>
  <c r="AD79" i="2" s="1"/>
  <c r="AE79" i="2" s="1"/>
  <c r="AD26" i="2"/>
  <c r="AE26" i="2" s="1"/>
  <c r="R31" i="2"/>
  <c r="AD80" i="2"/>
  <c r="AE80" i="2" s="1"/>
  <c r="W81" i="2"/>
  <c r="W82" i="2" s="1"/>
  <c r="W83" i="2" s="1"/>
  <c r="W29" i="2"/>
  <c r="I80" i="2" l="1"/>
  <c r="I29" i="2"/>
  <c r="L108" i="2"/>
  <c r="L57" i="2"/>
  <c r="AB82" i="2"/>
  <c r="AD82" i="2" s="1"/>
  <c r="AE82" i="2" s="1"/>
  <c r="AB81" i="2"/>
  <c r="AD81" i="2" s="1"/>
  <c r="AE81" i="2" s="1"/>
  <c r="AB83" i="2"/>
  <c r="W84" i="2"/>
  <c r="AD28" i="2"/>
  <c r="AE28" i="2" s="1"/>
  <c r="AB29" i="2"/>
  <c r="W30" i="2"/>
  <c r="L118" i="2" l="1"/>
  <c r="W31" i="2"/>
  <c r="AB30" i="2"/>
  <c r="AD29" i="2"/>
  <c r="AE29" i="2" s="1"/>
  <c r="AB84" i="2"/>
  <c r="W85" i="2"/>
  <c r="AD83" i="2"/>
  <c r="AE83" i="2" s="1"/>
  <c r="AB85" i="2" l="1"/>
  <c r="W86" i="2"/>
  <c r="AD84" i="2"/>
  <c r="AE84" i="2" s="1"/>
  <c r="AD30" i="2"/>
  <c r="AE30" i="2" s="1"/>
  <c r="AB31" i="2"/>
  <c r="W32" i="2"/>
  <c r="AD31" i="2" l="1"/>
  <c r="AE31" i="2" s="1"/>
  <c r="AB86" i="2"/>
  <c r="W87" i="2"/>
  <c r="AD85" i="2"/>
  <c r="AE85" i="2" s="1"/>
  <c r="W33" i="2"/>
  <c r="AB32" i="2"/>
  <c r="W88" i="2" l="1"/>
  <c r="AB87" i="2"/>
  <c r="AD32" i="2"/>
  <c r="AE32" i="2" s="1"/>
  <c r="AD86" i="2"/>
  <c r="AE86" i="2" s="1"/>
  <c r="AB33" i="2"/>
  <c r="W34" i="2"/>
  <c r="W35" i="2" l="1"/>
  <c r="AB34" i="2"/>
  <c r="AD33" i="2"/>
  <c r="AE33" i="2" s="1"/>
  <c r="AD87" i="2"/>
  <c r="AE87" i="2" s="1"/>
  <c r="W89" i="2"/>
  <c r="AB88" i="2"/>
  <c r="AB89" i="2" l="1"/>
  <c r="W90" i="2"/>
  <c r="AD34" i="2"/>
  <c r="AE34" i="2" s="1"/>
  <c r="AD88" i="2"/>
  <c r="AE88" i="2" s="1"/>
  <c r="W36" i="2"/>
  <c r="AB35" i="2"/>
  <c r="AB36" i="2" l="1"/>
  <c r="W37" i="2"/>
  <c r="AD35" i="2"/>
  <c r="AE35" i="2" s="1"/>
  <c r="W91" i="2"/>
  <c r="AB90" i="2"/>
  <c r="AD89" i="2"/>
  <c r="AE89" i="2" s="1"/>
  <c r="AD90" i="2" l="1"/>
  <c r="AE90" i="2" s="1"/>
  <c r="W38" i="2"/>
  <c r="AB37" i="2"/>
  <c r="W92" i="2"/>
  <c r="AB91" i="2"/>
  <c r="AD36" i="2"/>
  <c r="AE36" i="2" s="1"/>
  <c r="AB92" i="2" l="1"/>
  <c r="W93" i="2"/>
  <c r="AD91" i="2"/>
  <c r="AE91" i="2" s="1"/>
  <c r="AB38" i="2"/>
  <c r="W39" i="2"/>
  <c r="AD37" i="2"/>
  <c r="AE37" i="2" s="1"/>
  <c r="W40" i="2" l="1"/>
  <c r="AB39" i="2"/>
  <c r="AB93" i="2"/>
  <c r="W94" i="2"/>
  <c r="AD38" i="2"/>
  <c r="AE38" i="2" s="1"/>
  <c r="AD92" i="2"/>
  <c r="AE92" i="2" s="1"/>
  <c r="AD93" i="2" l="1"/>
  <c r="AE93" i="2" s="1"/>
  <c r="AD39" i="2"/>
  <c r="AE39" i="2" s="1"/>
  <c r="W95" i="2"/>
  <c r="AB94" i="2"/>
  <c r="AB40" i="2"/>
  <c r="W41" i="2"/>
  <c r="AB41" i="2" l="1"/>
  <c r="W42" i="2"/>
  <c r="AD40" i="2"/>
  <c r="AE40" i="2" s="1"/>
  <c r="AD94" i="2"/>
  <c r="AE94" i="2" s="1"/>
  <c r="W96" i="2"/>
  <c r="AB95" i="2"/>
  <c r="W97" i="2" l="1"/>
  <c r="AB96" i="2"/>
  <c r="AD41" i="2"/>
  <c r="AE41" i="2" s="1"/>
  <c r="AD95" i="2"/>
  <c r="AE95" i="2" s="1"/>
  <c r="W43" i="2"/>
  <c r="AB42" i="2"/>
  <c r="AD96" i="2" l="1"/>
  <c r="AE96" i="2" s="1"/>
  <c r="W98" i="2"/>
  <c r="AB97" i="2"/>
  <c r="W44" i="2"/>
  <c r="AB43" i="2"/>
  <c r="AD42" i="2"/>
  <c r="AE42" i="2" s="1"/>
  <c r="AD97" i="2" l="1"/>
  <c r="AE97" i="2" s="1"/>
  <c r="AD43" i="2"/>
  <c r="AE43" i="2" s="1"/>
  <c r="W99" i="2"/>
  <c r="AB98" i="2"/>
  <c r="AB44" i="2"/>
  <c r="W45" i="2"/>
  <c r="AB45" i="2" l="1"/>
  <c r="W46" i="2"/>
  <c r="AB99" i="2"/>
  <c r="W100" i="2"/>
  <c r="AD98" i="2"/>
  <c r="AE98" i="2" s="1"/>
  <c r="AD44" i="2"/>
  <c r="AE44" i="2" s="1"/>
  <c r="AB100" i="2" l="1"/>
  <c r="W101" i="2"/>
  <c r="W47" i="2"/>
  <c r="AB46" i="2"/>
  <c r="AD99" i="2"/>
  <c r="AE99" i="2" s="1"/>
  <c r="AD45" i="2"/>
  <c r="AE45" i="2" s="1"/>
  <c r="AD100" i="2" l="1"/>
  <c r="AE100" i="2" s="1"/>
  <c r="W102" i="2"/>
  <c r="AB101" i="2"/>
  <c r="AD46" i="2"/>
  <c r="AE46" i="2" s="1"/>
  <c r="W48" i="2"/>
  <c r="AB47" i="2"/>
  <c r="W103" i="2" l="1"/>
  <c r="AB102" i="2"/>
  <c r="AD47" i="2"/>
  <c r="AE47" i="2" s="1"/>
  <c r="AD101" i="2"/>
  <c r="AE101" i="2" s="1"/>
  <c r="W49" i="2"/>
  <c r="AB48" i="2"/>
  <c r="AB103" i="2" l="1"/>
  <c r="W104" i="2"/>
  <c r="AB49" i="2"/>
  <c r="W50" i="2"/>
  <c r="AD48" i="2"/>
  <c r="AE48" i="2" s="1"/>
  <c r="AD102" i="2"/>
  <c r="AE102" i="2" s="1"/>
  <c r="AD49" i="2" l="1"/>
  <c r="AE49" i="2" s="1"/>
  <c r="AB104" i="2"/>
  <c r="W105" i="2"/>
  <c r="AD103" i="2"/>
  <c r="AE103" i="2" s="1"/>
  <c r="W51" i="2"/>
  <c r="AB50" i="2"/>
  <c r="AD50" i="2" l="1"/>
  <c r="AE50" i="2" s="1"/>
  <c r="W52" i="2"/>
  <c r="AB51" i="2"/>
  <c r="W107" i="2"/>
  <c r="AB105" i="2"/>
  <c r="AD104" i="2"/>
  <c r="AE104" i="2" s="1"/>
  <c r="AD51" i="2" l="1"/>
  <c r="AE51" i="2" s="1"/>
  <c r="AD105" i="2"/>
  <c r="AE105" i="2" s="1"/>
  <c r="AB107" i="2"/>
  <c r="W108" i="2"/>
  <c r="W53" i="2"/>
  <c r="AB52" i="2"/>
  <c r="AD52" i="2" l="1"/>
  <c r="AE52" i="2" s="1"/>
  <c r="W54" i="2"/>
  <c r="AB53" i="2"/>
  <c r="W109" i="2"/>
  <c r="AB108" i="2"/>
  <c r="AD107" i="2"/>
  <c r="AE107" i="2" s="1"/>
  <c r="AD108" i="2" l="1"/>
  <c r="AE108" i="2" s="1"/>
  <c r="AD53" i="2"/>
  <c r="AE53" i="2" s="1"/>
  <c r="W56" i="2"/>
  <c r="AB54" i="2"/>
  <c r="W110" i="2"/>
  <c r="AB109" i="2"/>
  <c r="AD109" i="2" l="1"/>
  <c r="AE109" i="2" s="1"/>
  <c r="AD54" i="2"/>
  <c r="AE54" i="2" s="1"/>
  <c r="AB56" i="2"/>
  <c r="W57" i="2"/>
  <c r="AB110" i="2"/>
  <c r="W111" i="2"/>
  <c r="AB111" i="2" l="1"/>
  <c r="W112" i="2"/>
  <c r="AD110" i="2"/>
  <c r="AE110" i="2" s="1"/>
  <c r="W58" i="2"/>
  <c r="AB57" i="2"/>
  <c r="AD56" i="2"/>
  <c r="AE56" i="2" s="1"/>
  <c r="AD111" i="2" l="1"/>
  <c r="AE111" i="2" s="1"/>
  <c r="AD57" i="2"/>
  <c r="AE57" i="2" s="1"/>
  <c r="AB112" i="2"/>
  <c r="W113" i="2"/>
  <c r="AB58" i="2"/>
  <c r="W59" i="2"/>
  <c r="W114" i="2" l="1"/>
  <c r="AB113" i="2"/>
  <c r="W60" i="2"/>
  <c r="AB59" i="2"/>
  <c r="AD58" i="2"/>
  <c r="AE58" i="2" s="1"/>
  <c r="AD112" i="2"/>
  <c r="AE112" i="2" s="1"/>
  <c r="AD113" i="2" l="1"/>
  <c r="AE113" i="2" s="1"/>
  <c r="W115" i="2"/>
  <c r="AB114" i="2"/>
  <c r="AD59" i="2"/>
  <c r="AE59" i="2" s="1"/>
  <c r="W61" i="2"/>
  <c r="AB60" i="2"/>
  <c r="AD114" i="2" l="1"/>
  <c r="AE114" i="2" s="1"/>
  <c r="W62" i="2"/>
  <c r="AB61" i="2"/>
  <c r="AB115" i="2"/>
  <c r="W116" i="2"/>
  <c r="AD60" i="2"/>
  <c r="AE60" i="2" s="1"/>
  <c r="AD115" i="2" l="1"/>
  <c r="AE115" i="2" s="1"/>
  <c r="AB62" i="2"/>
  <c r="W63" i="2"/>
  <c r="AD61" i="2"/>
  <c r="AE61" i="2" s="1"/>
  <c r="AB116" i="2"/>
  <c r="W117" i="2"/>
  <c r="W64" i="2" l="1"/>
  <c r="AB63" i="2"/>
  <c r="AD62" i="2"/>
  <c r="AE62" i="2" s="1"/>
  <c r="AB117" i="2"/>
  <c r="W118" i="2"/>
  <c r="AD116" i="2"/>
  <c r="AE116" i="2" s="1"/>
  <c r="W119" i="2" l="1"/>
  <c r="AB118" i="2"/>
  <c r="AD117" i="2"/>
  <c r="AE117" i="2" s="1"/>
  <c r="AD63" i="2"/>
  <c r="AE63" i="2" s="1"/>
  <c r="W65" i="2"/>
  <c r="AB64" i="2"/>
  <c r="AD118" i="2" l="1"/>
  <c r="AE118" i="2" s="1"/>
  <c r="AD64" i="2"/>
  <c r="AE64" i="2" s="1"/>
  <c r="W120" i="2"/>
  <c r="AB119" i="2"/>
  <c r="W66" i="2"/>
  <c r="AB65" i="2"/>
  <c r="AD119" i="2" l="1"/>
  <c r="AE119" i="2" s="1"/>
  <c r="AD65" i="2"/>
  <c r="AE65" i="2" s="1"/>
  <c r="AB66" i="2"/>
  <c r="W67" i="2"/>
  <c r="W121" i="2"/>
  <c r="AB121" i="2" s="1"/>
  <c r="AB120" i="2"/>
  <c r="AD66" i="2" l="1"/>
  <c r="AE66" i="2" s="1"/>
  <c r="W68" i="2"/>
  <c r="AB67" i="2"/>
  <c r="AD120" i="2"/>
  <c r="AE120" i="2" s="1"/>
  <c r="AD121" i="2"/>
  <c r="AE121" i="2" s="1"/>
  <c r="AB68" i="2" l="1"/>
  <c r="W69" i="2"/>
  <c r="AB69" i="2" s="1"/>
  <c r="AD67" i="2"/>
  <c r="AE67" i="2" s="1"/>
  <c r="AE122" i="2"/>
  <c r="L120" i="2" s="1"/>
  <c r="L11" i="2" s="1"/>
  <c r="AD69" i="2" l="1"/>
  <c r="AE69" i="2" s="1"/>
  <c r="AD68" i="2"/>
  <c r="AE68" i="2" s="1"/>
  <c r="AE70" i="2" l="1"/>
  <c r="L67" i="2" l="1"/>
  <c r="L69"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<sst xmlns="http://schemas.openxmlformats.org/spreadsheetml/2006/main" count="2198" uniqueCount="283">
  <si>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</si>
  <si>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</si>
  <si>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</si>
  <si>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</si>
  <si>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</si>
  <si>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</si>
  <si>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</si>
  <si>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</si>
  <si>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</si>
  <si>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</si>
  <si>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</si>
  <si>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</si>
  <si>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</si>
  <si>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</si>
  <si>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</si>
  <si>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</si>
  <si>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</si>
  <si>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</si>
  <si>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</si>
  <si>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</si>
  <si>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</si>
  <si>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</si>
  <si>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</si>
  <si>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</si>
  <si>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</si>
  <si>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</si>
  <si>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</si>
  <si>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</si>
  <si>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</si>
  <si>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</si>
  <si>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</si>
  <si>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</si>
  <si>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</si>
  <si>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</si>
  <si>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</si>
  <si>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</si>
  <si>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</si>
  <si>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</si>
  <si>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</si>
  <si>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</si>
  <si>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</si>
  <si>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</si>
  <si>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</si>
  <si>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</si>
  <si>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</si>
  <si>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</si>
  <si>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</si>
  <si>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</si>
  <si>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</si>
  <si>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</si>
  <si>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</si>
  <si>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</si>
  <si>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</si>
  <si>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</si>
  <si>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</si>
  <si>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</si>
  <si>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</si>
  <si>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</si>
  <si>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</si>
  <si>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</si>
  <si>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</si>
  <si>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</si>
  <si>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</si>
  <si>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</si>
  <si>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</si>
  <si>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</si>
  <si>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</si>
  <si>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</si>
  <si>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</si>
  <si>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</si>
  <si>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</si>
  <si>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</si>
  <si>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</si>
  <si>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</si>
  <si>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</si>
  <si>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</si>
  <si>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</si>
  <si>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</si>
  <si>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</si>
  <si>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</si>
  <si>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</si>
  <si>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</si>
  <si>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</si>
  <si>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</si>
  <si>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</si>
  <si>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</si>
  <si>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</si>
  <si>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</si>
  <si>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</si>
  <si>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</si>
  <si>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</si>
  <si>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</si>
  <si>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</si>
  <si>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</si>
  <si>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</si>
  <si>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</si>
  <si>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</si>
  <si>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</si>
  <si>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</si>
  <si>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</si>
  <si>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</si>
  <si>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</si>
  <si>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</si>
  <si>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</si>
  <si>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</si>
  <si>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</si>
  <si>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</si>
  <si>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</si>
  <si>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</si>
  <si>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</si>
  <si>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</si>
  <si>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</si>
  <si>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</si>
  <si>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</si>
  <si>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</si>
  <si>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</si>
  <si>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</si>
  <si>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</si>
  <si>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</si>
  <si>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</si>
  <si>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</si>
  <si>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</si>
  <si>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</si>
  <si>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</si>
  <si>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</si>
  <si>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</si>
  <si>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</si>
  <si>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</si>
  <si>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</si>
  <si>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</si>
  <si>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</si>
  <si>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</si>
  <si>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</si>
  <si>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</si>
  <si>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</si>
  <si>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</si>
  <si>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</si>
  <si>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</si>
  <si>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</si>
  <si>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</si>
  <si>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</si>
  <si>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</si>
  <si>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</si>
  <si>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</si>
  <si>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</si>
  <si>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</si>
  <si>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</si>
  <si>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</si>
  <si>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</si>
  <si>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</si>
  <si>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</si>
  <si>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</si>
  <si>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</si>
  <si>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</si>
  <si>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</si>
  <si>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</si>
  <si>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</si>
  <si>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</si>
  <si>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</si>
  <si>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</si>
  <si>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</si>
  <si>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</si>
  <si>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</si>
  <si>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</si>
  <si>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</si>
  <si>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</si>
  <si>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</si>
  <si>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</si>
  <si>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</si>
  <si>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</si>
  <si>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</si>
  <si>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</si>
  <si>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</si>
  <si>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</si>
  <si>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</si>
  <si>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</si>
  <si>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</si>
  <si>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</si>
  <si>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</si>
  <si>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</si>
  <si>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</si>
  <si>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</si>
  <si>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</si>
  <si>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</si>
  <si>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</si>
  <si>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</si>
  <si>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</si>
  <si>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</si>
  <si>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</si>
  <si>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</si>
  <si>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</si>
  <si>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</si>
  <si>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</si>
  <si>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</si>
  <si>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</si>
  <si>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</si>
  <si>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</si>
  <si>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</si>
  <si>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</si>
  <si>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</si>
  <si>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</si>
  <si>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</si>
  <si>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</si>
  <si>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</si>
  <si>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</si>
  <si>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</si>
  <si>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</si>
  <si>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</si>
  <si>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</si>
  <si>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</si>
  <si>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</si>
  <si>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</si>
  <si>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</si>
  <si>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</si>
  <si>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</si>
  <si>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</si>
  <si>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</si>
  <si>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</si>
  <si>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</si>
  <si>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</si>
  <si>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</si>
  <si>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</si>
  <si>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</si>
  <si>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</si>
  <si>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</si>
  <si>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</si>
  <si>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</si>
  <si>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</si>
  <si>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</si>
  <si>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</si>
  <si>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</si>
  <si>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</si>
  <si>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</si>
  <si>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</si>
  <si>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</si>
  <si>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</si>
  <si>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</si>
  <si>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</si>
  <si>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</si>
  <si>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</si>
  <si>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</si>
  <si>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</si>
  <si>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</si>
  <si>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</si>
  <si>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</si>
  <si>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</si>
  <si>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</si>
  <si>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</si>
  <si>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</si>
  <si>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</si>
  <si>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</si>
  <si>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</si>
  <si>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</si>
  <si>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</si>
  <si>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</si>
  <si>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</si>
  <si>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</si>
  <si>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CONSORCIO VENTURA &amp; CO</t>
  </si>
  <si>
    <t>MARIA JOSE HERRERA GUZMAN</t>
  </si>
  <si>
    <t>VENTURA &amp; CO. SAS</t>
  </si>
  <si>
    <t>X</t>
  </si>
  <si>
    <t>certificado del contador LUIS FRANCISCOBELTRANHERNANDEZ DEL 23 DE ENERO DE 2026</t>
  </si>
  <si>
    <t>GENERAL</t>
  </si>
  <si>
    <t>ESPECIFICA</t>
  </si>
  <si>
    <t>21 / MARIA JOSE HERRERA GUZMAN y 27 / VENTURA &amp; CO. SAS</t>
  </si>
  <si>
    <t>12 / MARIA JOSE HERRERA GUZMAN y 11 / VENTURA &amp; CO. SAS</t>
  </si>
  <si>
    <t>2 / MARIA JOSE HERRERA GUZMAN y  2 / VENTURA &amp; CO. SAS</t>
  </si>
  <si>
    <t>10 / MARIA JOSE HERRERA GUZMAN y  26 / VENTURA &amp; CO. SAS</t>
  </si>
  <si>
    <t>DEPARTAMENTO ADMINISTRATIVO DE LA PRESIDENCIA DE LA REPUBLICA</t>
  </si>
  <si>
    <t>CAMARA DE REPRESENTANTES</t>
  </si>
  <si>
    <t>ARCHIVO GENERAL DE LA NACION</t>
  </si>
  <si>
    <t>POLICIA NACIONAL</t>
  </si>
  <si>
    <t>CONTRATAR POR EL SISTEMA DE PRECIOS UNITARIOS FIJOS SIN FÓRMULA DE AJUSTE, LAS OBRAS CIVILES NECESARIAS PARA REFORZAMIENTO ESTRUCTURAL DE LA SEDE CASA PARA LA EQUIDAD DE LA MUJER UBICADA EN LA CALLE 10 NO 1-15 EN EL BARRIO LA CANDELARIA DE LA CIUDAD DE BOGOTÁ</t>
  </si>
  <si>
    <t>OBRAS MINIMAS DE ADECUACION A LAS INSTALACIONES FISICAS DEL CAPITOLIO NACIONAL Y EL EDIFICIO NUEVO CONGRESO DONDE FUNCIONA LA CAMARA DE REPRESENTANTES (BIC)</t>
  </si>
  <si>
    <t>REALIZAR LA IMPERMEABILIZACIÓN, MANTENIMIENTO, ARREGLO Y REPARACIÓN DE LAS TERRAZAS, CUBIERTAS Y PLAZOLETAS DEL BLOQUE SUR DEL AGN, LOCALIZADO EN LA CRA 6 NO. 6-91 DE BOGOTÁ D.C(BIC) 23/01/2012</t>
  </si>
  <si>
    <t>MANTENIMIENTO Y RESTAURACION DEL MUSEO HISTORICO DE LA POLICIA NACIONAL(BIC)</t>
  </si>
  <si>
    <t>12//04/2006</t>
  </si>
  <si>
    <t>adobe</t>
  </si>
  <si>
    <t>BIC del ámbito nacional, declarado por el Decreto 1584 del 11 de agosto de 1975</t>
  </si>
  <si>
    <t>BIC del ámbito nacional, declarado por el Decreto 2390 del 28 de septiembre de 1984</t>
  </si>
  <si>
    <t>BIC del ámbito nacional, declarado por la Resolución 1773 del 25 de octubre de 2007</t>
  </si>
  <si>
    <t>conforme al PEMP Resolución 0088 de 2021; esta clasificados en el nivel 2 - conservación del tipo arquitectónico</t>
  </si>
  <si>
    <t>EVALUACION TÉCNICA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</si>
</sst>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8"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46">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11" fillId="0" borderId="2" xfId="0" applyFont="1" applyBorder="1" applyAlignment="1">
      <alignment horizontal="right"/>
    </xf>
    <xf numFmtId="9" fontId="11" fillId="0" borderId="2" xfId="0" applyNumberFormat="1" applyFont="1" applyBorder="1"/>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4" borderId="2" xfId="0" applyFont="1" applyFill="1" applyBorder="1" applyAlignment="1" applyProtection="1">
      <alignment horizontal="center" vertical="center"/>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167" fontId="23" fillId="0" borderId="2" xfId="2" applyFont="1" applyBorder="1" applyAlignment="1" applyProtection="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11" borderId="2" xfId="0" applyFont="1" applyFill="1" applyBorder="1" applyAlignment="1">
      <alignment horizontal="center" vertical="center"/>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8" borderId="2" xfId="0" applyFont="1" applyFill="1" applyBorder="1" applyAlignment="1">
      <alignment horizontal="center" vertical="center"/>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4</xdr:col>
          <xdr:colOff>1019175</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58</xdr:row>
          <xdr:rowOff>85725</xdr:rowOff>
        </xdr:from>
        <xdr:to>
          <xdr:col>4</xdr:col>
          <xdr:colOff>885825</xdr:colOff>
          <xdr:row>60</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9525</xdr:rowOff>
        </xdr:from>
        <xdr:to>
          <xdr:col>5</xdr:col>
          <xdr:colOff>38100</xdr:colOff>
          <xdr:row>75</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4</xdr:col>
          <xdr:colOff>571500</xdr:colOff>
          <xdr:row>111</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25" zoomScale="66" zoomScaleNormal="85" zoomScaleSheetLayoutView="66" workbookViewId="0">
      <selection activeCell="D36" sqref="D36"/>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55"/>
      <c r="B1" s="255"/>
      <c r="C1" s="255"/>
      <c r="D1" s="255"/>
      <c r="E1" s="255"/>
      <c r="F1" s="255"/>
      <c r="G1" s="255"/>
      <c r="H1" s="255"/>
      <c r="I1" s="255"/>
      <c r="J1" s="255"/>
      <c r="K1" s="255"/>
      <c r="L1" s="255"/>
      <c r="M1" s="255"/>
      <c r="N1" s="255"/>
      <c r="O1" s="255"/>
      <c r="P1" s="255"/>
      <c r="Q1" s="255"/>
      <c r="T1" s="61" t="s">
        <v>0</v>
      </c>
      <c r="U1" s="61" t="s">
        <v>1</v>
      </c>
      <c r="V1" s="60" t="s">
        <v>2</v>
      </c>
    </row>
    <row r="2" spans="1:22" ht="125.25" customHeight="1" x14ac:dyDescent="0.2">
      <c r="A2" s="282" t="s">
        <v>282</v>
      </c>
      <c r="B2" s="283"/>
      <c r="C2" s="283"/>
      <c r="D2" s="283"/>
      <c r="E2" s="283"/>
      <c r="F2" s="283"/>
      <c r="G2" s="283"/>
      <c r="H2" s="283"/>
      <c r="I2" s="283"/>
      <c r="J2" s="283"/>
      <c r="K2" s="283"/>
      <c r="L2" s="283"/>
      <c r="M2" s="283"/>
      <c r="N2" s="283"/>
      <c r="O2" s="283"/>
      <c r="P2" s="283"/>
      <c r="Q2" s="284"/>
      <c r="T2" s="61" t="s">
        <v>3</v>
      </c>
      <c r="U2" s="61" t="s">
        <v>4</v>
      </c>
      <c r="V2" s="60" t="s">
        <v>5</v>
      </c>
    </row>
    <row r="3" spans="1:22" s="149" customFormat="1" ht="35.25" customHeight="1" x14ac:dyDescent="0.2">
      <c r="A3" s="163" t="s">
        <v>6</v>
      </c>
      <c r="B3" s="164"/>
      <c r="C3" s="165"/>
      <c r="D3" s="256">
        <v>3</v>
      </c>
      <c r="E3" s="256"/>
      <c r="F3" s="148" t="s">
        <v>7</v>
      </c>
      <c r="G3" s="256" t="s">
        <v>257</v>
      </c>
      <c r="H3" s="256"/>
      <c r="I3" s="256"/>
      <c r="J3" s="256"/>
      <c r="K3" s="256"/>
      <c r="L3" s="256"/>
      <c r="M3" s="257"/>
      <c r="N3" s="257"/>
      <c r="O3" s="257"/>
      <c r="P3" s="257"/>
      <c r="Q3" s="257"/>
      <c r="V3" s="149" t="s">
        <v>8</v>
      </c>
    </row>
    <row r="4" spans="1:22" s="149" customFormat="1" ht="43.5" customHeight="1" x14ac:dyDescent="0.2">
      <c r="A4" s="166" t="s">
        <v>9</v>
      </c>
      <c r="B4" s="167"/>
      <c r="C4" s="168"/>
      <c r="D4" s="285" t="s">
        <v>10</v>
      </c>
      <c r="E4" s="285"/>
      <c r="F4" s="285"/>
      <c r="G4" s="285"/>
      <c r="H4" s="285"/>
      <c r="I4" s="285"/>
      <c r="J4" s="285"/>
      <c r="K4" s="285"/>
      <c r="L4" s="166"/>
      <c r="M4" s="290" t="s">
        <v>256</v>
      </c>
      <c r="N4" s="290"/>
      <c r="O4" s="290"/>
      <c r="P4" s="290"/>
      <c r="Q4" s="290"/>
      <c r="R4" s="291"/>
    </row>
    <row r="5" spans="1:22" s="149" customFormat="1" ht="32.25" customHeight="1" x14ac:dyDescent="0.25">
      <c r="A5" s="169" t="s">
        <v>224</v>
      </c>
      <c r="B5" s="170"/>
      <c r="C5" s="171"/>
      <c r="D5" s="248">
        <v>724761029</v>
      </c>
      <c r="E5" s="249"/>
      <c r="F5" s="249"/>
      <c r="G5" s="249"/>
      <c r="H5" s="249"/>
      <c r="I5" s="249"/>
      <c r="J5" s="249"/>
      <c r="K5" s="249"/>
      <c r="L5" s="249"/>
      <c r="M5" s="222">
        <f>+D5/F167</f>
        <v>413.93509585043165</v>
      </c>
      <c r="N5" s="222"/>
      <c r="O5" s="222"/>
      <c r="P5" s="222"/>
      <c r="Q5" s="222"/>
      <c r="R5" s="147"/>
    </row>
    <row r="6" spans="1:22" x14ac:dyDescent="0.2">
      <c r="A6" s="220"/>
      <c r="B6" s="220"/>
      <c r="C6" s="220"/>
      <c r="D6" s="220"/>
      <c r="E6" s="220"/>
      <c r="F6" s="220"/>
      <c r="G6" s="220"/>
      <c r="H6" s="220"/>
      <c r="I6" s="220"/>
      <c r="J6" s="220"/>
      <c r="K6" s="220"/>
      <c r="L6" s="220"/>
      <c r="M6" s="220"/>
      <c r="N6" s="220"/>
      <c r="O6" s="220"/>
      <c r="P6" s="220"/>
      <c r="Q6" s="221"/>
    </row>
    <row r="7" spans="1:22" ht="21.75" customHeight="1" x14ac:dyDescent="0.2">
      <c r="A7" s="286" t="s">
        <v>11</v>
      </c>
      <c r="B7" s="287"/>
      <c r="C7" s="287"/>
      <c r="D7" s="287"/>
      <c r="E7" s="287"/>
      <c r="F7" s="287"/>
      <c r="G7" s="287"/>
      <c r="H7" s="287"/>
      <c r="I7" s="287"/>
      <c r="J7" s="287"/>
      <c r="K7" s="287"/>
      <c r="L7" s="287"/>
      <c r="M7" s="288"/>
      <c r="N7" s="288"/>
      <c r="O7" s="288"/>
      <c r="P7" s="288"/>
      <c r="Q7" s="289"/>
    </row>
    <row r="8" spans="1:22" ht="60" customHeight="1" x14ac:dyDescent="0.2">
      <c r="A8" s="273" t="s">
        <v>228</v>
      </c>
      <c r="B8" s="274"/>
      <c r="C8" s="274"/>
      <c r="D8" s="274"/>
      <c r="E8" s="275"/>
      <c r="F8" s="235" t="s">
        <v>229</v>
      </c>
      <c r="G8" s="236"/>
      <c r="H8" s="236"/>
      <c r="I8" s="236"/>
      <c r="J8" s="236"/>
      <c r="K8" s="236"/>
      <c r="L8" s="236"/>
      <c r="M8" s="236"/>
      <c r="N8" s="236"/>
      <c r="O8" s="236"/>
      <c r="P8" s="236"/>
      <c r="Q8" s="237"/>
    </row>
    <row r="9" spans="1:22" ht="60" customHeight="1" x14ac:dyDescent="0.2">
      <c r="A9" s="276"/>
      <c r="B9" s="277"/>
      <c r="C9" s="277"/>
      <c r="D9" s="277"/>
      <c r="E9" s="278"/>
      <c r="F9" s="235" t="s">
        <v>230</v>
      </c>
      <c r="G9" s="236"/>
      <c r="H9" s="236"/>
      <c r="I9" s="236"/>
      <c r="J9" s="236"/>
      <c r="K9" s="236"/>
      <c r="L9" s="236"/>
      <c r="M9" s="236"/>
      <c r="N9" s="236"/>
      <c r="O9" s="236"/>
      <c r="P9" s="236"/>
      <c r="Q9" s="237"/>
    </row>
    <row r="10" spans="1:22" ht="60" customHeight="1" x14ac:dyDescent="0.2">
      <c r="A10" s="276"/>
      <c r="B10" s="277"/>
      <c r="C10" s="277"/>
      <c r="D10" s="277"/>
      <c r="E10" s="278"/>
      <c r="F10" s="235" t="s">
        <v>231</v>
      </c>
      <c r="G10" s="236"/>
      <c r="H10" s="236"/>
      <c r="I10" s="236"/>
      <c r="J10" s="236"/>
      <c r="K10" s="236"/>
      <c r="L10" s="236"/>
      <c r="M10" s="236"/>
      <c r="N10" s="236"/>
      <c r="O10" s="236"/>
      <c r="P10" s="236"/>
      <c r="Q10" s="237"/>
    </row>
    <row r="11" spans="1:22" ht="60" customHeight="1" x14ac:dyDescent="0.2">
      <c r="A11" s="276"/>
      <c r="B11" s="277"/>
      <c r="C11" s="277"/>
      <c r="D11" s="277"/>
      <c r="E11" s="278"/>
      <c r="F11" s="235" t="s">
        <v>232</v>
      </c>
      <c r="G11" s="236"/>
      <c r="H11" s="236"/>
      <c r="I11" s="236"/>
      <c r="J11" s="236"/>
      <c r="K11" s="236"/>
      <c r="L11" s="236"/>
      <c r="M11" s="236"/>
      <c r="N11" s="236"/>
      <c r="O11" s="236"/>
      <c r="P11" s="236"/>
      <c r="Q11" s="237"/>
    </row>
    <row r="12" spans="1:22" ht="60" customHeight="1" x14ac:dyDescent="0.2">
      <c r="A12" s="279"/>
      <c r="B12" s="280"/>
      <c r="C12" s="280"/>
      <c r="D12" s="280"/>
      <c r="E12" s="281"/>
      <c r="F12" s="235" t="s">
        <v>233</v>
      </c>
      <c r="G12" s="236"/>
      <c r="H12" s="236"/>
      <c r="I12" s="236"/>
      <c r="J12" s="236"/>
      <c r="K12" s="236"/>
      <c r="L12" s="236"/>
      <c r="M12" s="236"/>
      <c r="N12" s="236"/>
      <c r="O12" s="236"/>
      <c r="P12" s="236"/>
      <c r="Q12" s="237"/>
    </row>
    <row r="13" spans="1:22" s="59" customFormat="1" ht="60" customHeight="1" x14ac:dyDescent="0.2">
      <c r="A13" s="241" t="s">
        <v>12</v>
      </c>
      <c r="B13" s="242"/>
      <c r="C13" s="242"/>
      <c r="D13" s="242"/>
      <c r="E13" s="243"/>
      <c r="F13" s="238" t="s">
        <v>234</v>
      </c>
      <c r="G13" s="239"/>
      <c r="H13" s="239"/>
      <c r="I13" s="239"/>
      <c r="J13" s="239"/>
      <c r="K13" s="239"/>
      <c r="L13" s="239"/>
      <c r="M13" s="239"/>
      <c r="N13" s="239"/>
      <c r="O13" s="239"/>
      <c r="P13" s="239"/>
      <c r="Q13" s="240"/>
    </row>
    <row r="14" spans="1:22" s="59" customFormat="1" ht="60" customHeight="1" x14ac:dyDescent="0.2">
      <c r="A14" s="244"/>
      <c r="B14" s="245"/>
      <c r="C14" s="245"/>
      <c r="D14" s="245"/>
      <c r="E14" s="246"/>
      <c r="F14" s="238" t="s">
        <v>235</v>
      </c>
      <c r="G14" s="239"/>
      <c r="H14" s="239"/>
      <c r="I14" s="239"/>
      <c r="J14" s="239"/>
      <c r="K14" s="239"/>
      <c r="L14" s="239"/>
      <c r="M14" s="239"/>
      <c r="N14" s="239"/>
      <c r="O14" s="239"/>
      <c r="P14" s="239"/>
      <c r="Q14" s="240"/>
    </row>
    <row r="15" spans="1:22" s="59" customFormat="1" ht="60" customHeight="1" x14ac:dyDescent="0.2">
      <c r="A15" s="244"/>
      <c r="B15" s="245"/>
      <c r="C15" s="245"/>
      <c r="D15" s="245"/>
      <c r="E15" s="246"/>
      <c r="F15" s="238" t="s">
        <v>236</v>
      </c>
      <c r="G15" s="239"/>
      <c r="H15" s="239"/>
      <c r="I15" s="239"/>
      <c r="J15" s="239"/>
      <c r="K15" s="239"/>
      <c r="L15" s="239"/>
      <c r="M15" s="239"/>
      <c r="N15" s="239"/>
      <c r="O15" s="239"/>
      <c r="P15" s="239"/>
      <c r="Q15" s="240"/>
    </row>
    <row r="16" spans="1:22" s="59" customFormat="1" ht="120" customHeight="1" x14ac:dyDescent="0.2">
      <c r="A16" s="244"/>
      <c r="B16" s="245"/>
      <c r="C16" s="245"/>
      <c r="D16" s="245"/>
      <c r="E16" s="246"/>
      <c r="F16" s="238" t="s">
        <v>237</v>
      </c>
      <c r="G16" s="239"/>
      <c r="H16" s="239"/>
      <c r="I16" s="239"/>
      <c r="J16" s="239"/>
      <c r="K16" s="239"/>
      <c r="L16" s="239"/>
      <c r="M16" s="239"/>
      <c r="N16" s="239"/>
      <c r="O16" s="239"/>
      <c r="P16" s="239"/>
      <c r="Q16" s="240"/>
    </row>
    <row r="17" spans="1:17" s="59" customFormat="1" ht="120" customHeight="1" x14ac:dyDescent="0.2">
      <c r="A17" s="244"/>
      <c r="B17" s="245"/>
      <c r="C17" s="245"/>
      <c r="D17" s="245"/>
      <c r="E17" s="246"/>
      <c r="F17" s="238" t="s">
        <v>238</v>
      </c>
      <c r="G17" s="239"/>
      <c r="H17" s="239"/>
      <c r="I17" s="239"/>
      <c r="J17" s="239"/>
      <c r="K17" s="239"/>
      <c r="L17" s="239"/>
      <c r="M17" s="239"/>
      <c r="N17" s="239"/>
      <c r="O17" s="239"/>
      <c r="P17" s="239"/>
      <c r="Q17" s="240"/>
    </row>
    <row r="18" spans="1:17" s="59" customFormat="1" ht="42.75" customHeight="1" x14ac:dyDescent="0.2">
      <c r="A18" s="272" t="s">
        <v>13</v>
      </c>
      <c r="B18" s="272"/>
      <c r="C18" s="272"/>
      <c r="D18" s="272"/>
      <c r="E18" s="272"/>
      <c r="F18" s="200" t="s">
        <v>14</v>
      </c>
      <c r="G18" s="200"/>
      <c r="H18" s="200"/>
      <c r="I18" s="200"/>
      <c r="J18" s="200"/>
      <c r="K18" s="200"/>
      <c r="L18" s="209" t="s">
        <v>15</v>
      </c>
      <c r="M18" s="210"/>
      <c r="N18" s="210"/>
      <c r="O18" s="210"/>
      <c r="P18" s="210"/>
      <c r="Q18" s="211"/>
    </row>
    <row r="19" spans="1:17" s="59" customFormat="1" ht="26.25" customHeight="1" x14ac:dyDescent="0.2">
      <c r="A19" s="272"/>
      <c r="B19" s="272"/>
      <c r="C19" s="272"/>
      <c r="D19" s="272"/>
      <c r="E19" s="272"/>
      <c r="F19" s="200" t="s">
        <v>225</v>
      </c>
      <c r="G19" s="200"/>
      <c r="H19" s="200"/>
      <c r="I19" s="200"/>
      <c r="J19" s="200"/>
      <c r="K19" s="200"/>
      <c r="L19" s="232">
        <v>0.75</v>
      </c>
      <c r="M19" s="233"/>
      <c r="N19" s="233"/>
      <c r="O19" s="233"/>
      <c r="P19" s="233"/>
      <c r="Q19" s="234"/>
    </row>
    <row r="20" spans="1:17" s="59" customFormat="1" ht="26.25" customHeight="1" x14ac:dyDescent="0.2">
      <c r="A20" s="272"/>
      <c r="B20" s="272"/>
      <c r="C20" s="272"/>
      <c r="D20" s="272"/>
      <c r="E20" s="272"/>
      <c r="F20" s="200" t="s">
        <v>226</v>
      </c>
      <c r="G20" s="200"/>
      <c r="H20" s="200"/>
      <c r="I20" s="200"/>
      <c r="J20" s="200"/>
      <c r="K20" s="200"/>
      <c r="L20" s="232">
        <v>1</v>
      </c>
      <c r="M20" s="233"/>
      <c r="N20" s="233"/>
      <c r="O20" s="233"/>
      <c r="P20" s="233"/>
      <c r="Q20" s="234"/>
    </row>
    <row r="21" spans="1:17" s="59" customFormat="1" ht="26.25" customHeight="1" x14ac:dyDescent="0.2">
      <c r="A21" s="272"/>
      <c r="B21" s="272"/>
      <c r="C21" s="272"/>
      <c r="D21" s="272"/>
      <c r="E21" s="272"/>
      <c r="F21" s="200" t="s">
        <v>227</v>
      </c>
      <c r="G21" s="200"/>
      <c r="H21" s="200"/>
      <c r="I21" s="200"/>
      <c r="J21" s="200"/>
      <c r="K21" s="200"/>
      <c r="L21" s="232">
        <v>1.5</v>
      </c>
      <c r="M21" s="233"/>
      <c r="N21" s="233"/>
      <c r="O21" s="233"/>
      <c r="P21" s="233"/>
      <c r="Q21" s="234"/>
    </row>
    <row r="22" spans="1:17" s="59" customFormat="1" ht="117.75" customHeight="1" x14ac:dyDescent="0.2">
      <c r="A22" s="208" t="s">
        <v>16</v>
      </c>
      <c r="B22" s="208"/>
      <c r="C22" s="208"/>
      <c r="D22" s="208"/>
      <c r="E22" s="208"/>
      <c r="F22" s="238" t="s">
        <v>239</v>
      </c>
      <c r="G22" s="239"/>
      <c r="H22" s="239"/>
      <c r="I22" s="239"/>
      <c r="J22" s="239"/>
      <c r="K22" s="239"/>
      <c r="L22" s="239"/>
      <c r="M22" s="239"/>
      <c r="N22" s="239"/>
      <c r="O22" s="239"/>
      <c r="P22" s="239"/>
      <c r="Q22" s="240"/>
    </row>
    <row r="23" spans="1:17" s="59" customFormat="1" ht="44.25" customHeight="1" x14ac:dyDescent="0.2">
      <c r="A23" s="208" t="s">
        <v>17</v>
      </c>
      <c r="B23" s="208"/>
      <c r="C23" s="208"/>
      <c r="D23" s="208"/>
      <c r="E23" s="208"/>
      <c r="F23" s="209" t="s">
        <v>18</v>
      </c>
      <c r="G23" s="210"/>
      <c r="H23" s="210"/>
      <c r="I23" s="210"/>
      <c r="J23" s="210"/>
      <c r="K23" s="210"/>
      <c r="L23" s="210"/>
      <c r="M23" s="210"/>
      <c r="N23" s="210"/>
      <c r="O23" s="210"/>
      <c r="P23" s="210"/>
      <c r="Q23" s="211"/>
    </row>
    <row r="25" spans="1:17" ht="18.75" customHeight="1" x14ac:dyDescent="0.2">
      <c r="A25" s="212" t="s">
        <v>19</v>
      </c>
      <c r="B25" s="213"/>
      <c r="C25" s="213"/>
      <c r="D25" s="213"/>
      <c r="E25" s="213"/>
      <c r="F25" s="213"/>
      <c r="G25" s="213"/>
      <c r="H25" s="213"/>
      <c r="I25" s="213"/>
      <c r="J25" s="213"/>
      <c r="K25" s="213"/>
      <c r="L25" s="213"/>
      <c r="M25" s="213"/>
      <c r="N25" s="213"/>
      <c r="O25" s="213"/>
      <c r="P25" s="213"/>
      <c r="Q25" s="214"/>
    </row>
    <row r="26" spans="1:17" ht="15" x14ac:dyDescent="0.2">
      <c r="A26" s="265" t="s">
        <v>20</v>
      </c>
      <c r="B26" s="266"/>
      <c r="C26" s="266"/>
      <c r="D26" s="266"/>
      <c r="E26" s="267"/>
      <c r="F26" s="269">
        <v>46134</v>
      </c>
      <c r="G26" s="270"/>
      <c r="H26" s="271"/>
      <c r="I26" s="6"/>
      <c r="J26" s="6"/>
      <c r="K26" s="6"/>
      <c r="L26" s="7"/>
      <c r="M26" s="7"/>
      <c r="N26" s="4"/>
      <c r="O26" s="4"/>
      <c r="P26" s="4"/>
      <c r="Q26" s="4"/>
    </row>
    <row r="27" spans="1:17" ht="15" customHeight="1" x14ac:dyDescent="0.2">
      <c r="A27" s="265" t="s">
        <v>21</v>
      </c>
      <c r="B27" s="266"/>
      <c r="C27" s="266"/>
      <c r="D27" s="266"/>
      <c r="E27" s="267"/>
      <c r="F27" s="174" t="str">
        <f>+G3</f>
        <v>CONSORCIO VENTURA &amp; CO</v>
      </c>
      <c r="G27" s="268"/>
      <c r="H27" s="175"/>
      <c r="I27" s="265" t="s">
        <v>22</v>
      </c>
      <c r="J27" s="266"/>
      <c r="K27" s="266"/>
      <c r="L27" s="265" t="s">
        <v>23</v>
      </c>
      <c r="M27" s="266"/>
      <c r="N27" s="266"/>
      <c r="O27" s="267"/>
      <c r="P27" s="261" t="s">
        <v>24</v>
      </c>
      <c r="Q27" s="262"/>
    </row>
    <row r="28" spans="1:17" s="64" customFormat="1" ht="54.75" customHeight="1" x14ac:dyDescent="0.2">
      <c r="A28" s="258" t="s">
        <v>25</v>
      </c>
      <c r="B28" s="260"/>
      <c r="C28" s="260"/>
      <c r="D28" s="260"/>
      <c r="E28" s="260"/>
      <c r="F28" s="260"/>
      <c r="G28" s="259"/>
      <c r="H28" s="154" t="s">
        <v>26</v>
      </c>
      <c r="I28" s="154">
        <v>721015</v>
      </c>
      <c r="J28" s="154">
        <v>721029</v>
      </c>
      <c r="K28" s="154">
        <v>721033</v>
      </c>
      <c r="L28" s="154" t="s">
        <v>27</v>
      </c>
      <c r="M28" s="154" t="s">
        <v>28</v>
      </c>
      <c r="N28" s="258" t="s">
        <v>29</v>
      </c>
      <c r="O28" s="259"/>
      <c r="P28" s="263"/>
      <c r="Q28" s="264"/>
    </row>
    <row r="29" spans="1:17" ht="40.5" customHeight="1" x14ac:dyDescent="0.2">
      <c r="A29" s="189" t="s">
        <v>258</v>
      </c>
      <c r="B29" s="190"/>
      <c r="C29" s="190"/>
      <c r="D29" s="190"/>
      <c r="E29" s="190"/>
      <c r="F29" s="190"/>
      <c r="G29" s="191"/>
      <c r="H29" s="62">
        <v>0.5</v>
      </c>
      <c r="I29" s="12" t="s">
        <v>260</v>
      </c>
      <c r="J29" s="12" t="s">
        <v>260</v>
      </c>
      <c r="K29" s="12" t="s">
        <v>260</v>
      </c>
      <c r="L29" s="12" t="s">
        <v>260</v>
      </c>
      <c r="M29" s="139" t="s">
        <v>260</v>
      </c>
      <c r="N29" s="250" t="s">
        <v>260</v>
      </c>
      <c r="O29" s="252"/>
      <c r="P29" s="253" t="s">
        <v>0</v>
      </c>
      <c r="Q29" s="254"/>
    </row>
    <row r="30" spans="1:17" ht="15" x14ac:dyDescent="0.2">
      <c r="A30" s="189" t="s">
        <v>259</v>
      </c>
      <c r="B30" s="190"/>
      <c r="C30" s="190"/>
      <c r="D30" s="190"/>
      <c r="E30" s="190"/>
      <c r="F30" s="190"/>
      <c r="G30" s="191"/>
      <c r="H30" s="62">
        <v>0.5</v>
      </c>
      <c r="I30" s="12" t="s">
        <v>260</v>
      </c>
      <c r="J30" s="12" t="s">
        <v>260</v>
      </c>
      <c r="K30" s="12" t="s">
        <v>260</v>
      </c>
      <c r="L30" s="8" t="s">
        <v>260</v>
      </c>
      <c r="M30" s="139"/>
      <c r="N30" s="250"/>
      <c r="O30" s="252"/>
      <c r="P30" s="253" t="s">
        <v>0</v>
      </c>
      <c r="Q30" s="254"/>
    </row>
    <row r="31" spans="1:17" ht="15" x14ac:dyDescent="0.2">
      <c r="A31" s="189"/>
      <c r="B31" s="190"/>
      <c r="C31" s="190"/>
      <c r="D31" s="190"/>
      <c r="E31" s="190"/>
      <c r="F31" s="190"/>
      <c r="G31" s="191"/>
      <c r="H31" s="62"/>
      <c r="I31" s="8"/>
      <c r="J31" s="8"/>
      <c r="K31" s="8"/>
      <c r="L31" s="8"/>
      <c r="M31" s="139"/>
      <c r="N31" s="250"/>
      <c r="O31" s="252"/>
      <c r="P31" s="253"/>
      <c r="Q31" s="254"/>
    </row>
    <row r="32" spans="1:17" ht="15" x14ac:dyDescent="0.2">
      <c r="A32" s="189"/>
      <c r="B32" s="190"/>
      <c r="C32" s="190"/>
      <c r="D32" s="190"/>
      <c r="E32" s="190"/>
      <c r="F32" s="190"/>
      <c r="G32" s="191"/>
      <c r="H32" s="62"/>
      <c r="I32" s="8"/>
      <c r="J32" s="8"/>
      <c r="K32" s="8"/>
      <c r="L32" s="8"/>
      <c r="M32" s="9"/>
      <c r="N32" s="250"/>
      <c r="O32" s="250"/>
      <c r="P32" s="251"/>
      <c r="Q32" s="251"/>
    </row>
    <row r="33" spans="1:17" ht="15" x14ac:dyDescent="0.2">
      <c r="A33" s="189"/>
      <c r="B33" s="190"/>
      <c r="C33" s="190"/>
      <c r="D33" s="190"/>
      <c r="E33" s="190"/>
      <c r="F33" s="190"/>
      <c r="G33" s="191"/>
      <c r="H33" s="62"/>
      <c r="I33" s="8"/>
      <c r="J33" s="8"/>
      <c r="K33" s="8"/>
      <c r="L33" s="8"/>
      <c r="M33" s="9"/>
      <c r="N33" s="250"/>
      <c r="O33" s="250"/>
      <c r="P33" s="251"/>
      <c r="Q33" s="251"/>
    </row>
    <row r="35" spans="1:17" ht="15" x14ac:dyDescent="0.2">
      <c r="A35" s="195" t="s">
        <v>30</v>
      </c>
      <c r="B35" s="195"/>
      <c r="C35" s="195"/>
      <c r="D35" s="195"/>
      <c r="E35" s="195"/>
      <c r="F35" s="195"/>
      <c r="G35" s="195"/>
      <c r="H35" s="195"/>
      <c r="I35" s="195"/>
      <c r="J35" s="195"/>
      <c r="K35" s="195"/>
      <c r="L35" s="195"/>
      <c r="M35" s="195"/>
      <c r="N35" s="195"/>
      <c r="O35" s="195"/>
      <c r="P35" s="195"/>
      <c r="Q35" s="195"/>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196" t="s">
        <v>43</v>
      </c>
      <c r="Q36" s="196"/>
    </row>
    <row r="37" spans="1:17" ht="114" x14ac:dyDescent="0.2">
      <c r="A37" s="11">
        <v>1</v>
      </c>
      <c r="B37" s="12" t="s">
        <v>264</v>
      </c>
      <c r="C37" s="12" t="s">
        <v>262</v>
      </c>
      <c r="D37" s="13" t="s">
        <v>268</v>
      </c>
      <c r="E37" s="13" t="s">
        <v>272</v>
      </c>
      <c r="F37" s="14">
        <v>43109</v>
      </c>
      <c r="G37" s="14">
        <v>43343</v>
      </c>
      <c r="H37" s="152">
        <v>1136531816.9400001</v>
      </c>
      <c r="I37" s="16">
        <f>+H37/F159</f>
        <v>1454.7756225855753</v>
      </c>
      <c r="J37" s="17">
        <v>1</v>
      </c>
      <c r="K37" s="18">
        <f>+I37*J37</f>
        <v>1454.7756225855753</v>
      </c>
      <c r="L37" s="11" t="s">
        <v>281</v>
      </c>
      <c r="M37" s="12" t="s">
        <v>260</v>
      </c>
      <c r="N37" s="153" t="s">
        <v>277</v>
      </c>
      <c r="O37" s="12" t="s">
        <v>0</v>
      </c>
      <c r="P37" s="197"/>
      <c r="Q37" s="197"/>
    </row>
    <row r="38" spans="1:17" ht="71.25" x14ac:dyDescent="0.2">
      <c r="A38" s="11">
        <v>2</v>
      </c>
      <c r="B38" s="12" t="s">
        <v>265</v>
      </c>
      <c r="C38" s="12" t="s">
        <v>263</v>
      </c>
      <c r="D38" s="13" t="s">
        <v>269</v>
      </c>
      <c r="E38" s="13" t="s">
        <v>273</v>
      </c>
      <c r="F38" s="14">
        <v>41851</v>
      </c>
      <c r="G38" s="14">
        <v>41973</v>
      </c>
      <c r="H38" s="152">
        <v>307991800</v>
      </c>
      <c r="I38" s="16">
        <f>+H38/F155</f>
        <v>499.98668831168834</v>
      </c>
      <c r="J38" s="17">
        <v>1</v>
      </c>
      <c r="K38" s="18">
        <f t="shared" ref="K38:K40" si="0">+I38*J38</f>
        <v>499.98668831168834</v>
      </c>
      <c r="L38" s="11" t="s">
        <v>278</v>
      </c>
      <c r="M38" s="12" t="s">
        <v>260</v>
      </c>
      <c r="N38" s="153"/>
      <c r="O38" s="12" t="s">
        <v>0</v>
      </c>
      <c r="P38" s="197"/>
      <c r="Q38" s="197"/>
    </row>
    <row r="39" spans="1:17" ht="85.5" x14ac:dyDescent="0.2">
      <c r="A39" s="11">
        <v>3</v>
      </c>
      <c r="B39" s="12" t="s">
        <v>266</v>
      </c>
      <c r="C39" s="12" t="s">
        <v>263</v>
      </c>
      <c r="D39" s="13" t="s">
        <v>270</v>
      </c>
      <c r="E39" s="13" t="s">
        <v>274</v>
      </c>
      <c r="F39" s="14">
        <v>40931</v>
      </c>
      <c r="G39" s="14">
        <v>41046</v>
      </c>
      <c r="H39" s="152">
        <v>124536598.14</v>
      </c>
      <c r="I39" s="16">
        <f>+H39/F153</f>
        <v>219.75754039174166</v>
      </c>
      <c r="J39" s="17">
        <v>1</v>
      </c>
      <c r="K39" s="18">
        <f t="shared" si="0"/>
        <v>219.75754039174166</v>
      </c>
      <c r="L39" s="11" t="s">
        <v>280</v>
      </c>
      <c r="M39" s="12" t="s">
        <v>260</v>
      </c>
      <c r="N39" s="12"/>
      <c r="O39" s="12" t="s">
        <v>0</v>
      </c>
      <c r="P39" s="197"/>
      <c r="Q39" s="197"/>
    </row>
    <row r="40" spans="1:17" ht="57" x14ac:dyDescent="0.2">
      <c r="A40" s="11">
        <v>4</v>
      </c>
      <c r="B40" s="12" t="s">
        <v>267</v>
      </c>
      <c r="C40" s="12" t="s">
        <v>263</v>
      </c>
      <c r="D40" s="13" t="s">
        <v>271</v>
      </c>
      <c r="E40" s="13" t="s">
        <v>275</v>
      </c>
      <c r="F40" s="14">
        <v>38714</v>
      </c>
      <c r="G40" s="14" t="s">
        <v>276</v>
      </c>
      <c r="H40" s="152">
        <v>403414080</v>
      </c>
      <c r="I40" s="16">
        <f>+H40/F147</f>
        <v>988.76</v>
      </c>
      <c r="J40" s="17">
        <v>1</v>
      </c>
      <c r="K40" s="18">
        <f t="shared" si="0"/>
        <v>988.76</v>
      </c>
      <c r="L40" s="11" t="s">
        <v>279</v>
      </c>
      <c r="M40" s="12" t="s">
        <v>260</v>
      </c>
      <c r="N40" s="153"/>
      <c r="O40" s="12" t="s">
        <v>0</v>
      </c>
      <c r="P40" s="247"/>
      <c r="Q40" s="247"/>
    </row>
    <row r="41" spans="1:17" x14ac:dyDescent="0.2">
      <c r="A41" s="11">
        <v>5</v>
      </c>
      <c r="B41" s="12"/>
      <c r="C41" s="12"/>
      <c r="D41" s="13"/>
      <c r="E41" s="13"/>
      <c r="F41" s="14"/>
      <c r="G41" s="14"/>
      <c r="H41" s="152"/>
      <c r="I41" s="16"/>
      <c r="J41" s="17"/>
      <c r="K41" s="18">
        <f t="shared" ref="K41:K43" si="1">+I41*J41</f>
        <v>0</v>
      </c>
      <c r="L41" s="11"/>
      <c r="M41" s="12"/>
      <c r="N41" s="153"/>
      <c r="O41" s="12"/>
      <c r="P41" s="247"/>
      <c r="Q41" s="247"/>
    </row>
    <row r="42" spans="1:17" x14ac:dyDescent="0.2">
      <c r="A42" s="11">
        <v>6</v>
      </c>
      <c r="B42" s="12"/>
      <c r="C42" s="12"/>
      <c r="D42" s="13"/>
      <c r="E42" s="13"/>
      <c r="F42" s="14"/>
      <c r="G42" s="14"/>
      <c r="H42" s="15"/>
      <c r="I42" s="16"/>
      <c r="J42" s="17"/>
      <c r="K42" s="18">
        <f t="shared" si="1"/>
        <v>0</v>
      </c>
      <c r="L42" s="11"/>
      <c r="M42" s="12"/>
      <c r="N42" s="12"/>
      <c r="O42" s="12"/>
      <c r="P42" s="197"/>
      <c r="Q42" s="197"/>
    </row>
    <row r="43" spans="1:17" x14ac:dyDescent="0.2">
      <c r="A43" s="11">
        <v>7</v>
      </c>
      <c r="B43" s="12"/>
      <c r="C43" s="12"/>
      <c r="D43" s="13"/>
      <c r="E43" s="13"/>
      <c r="F43" s="14"/>
      <c r="G43" s="14"/>
      <c r="H43" s="15"/>
      <c r="I43" s="16"/>
      <c r="J43" s="17"/>
      <c r="K43" s="18">
        <f t="shared" si="1"/>
        <v>0</v>
      </c>
      <c r="L43" s="11"/>
      <c r="M43" s="12"/>
      <c r="N43" s="153"/>
      <c r="O43" s="12"/>
      <c r="P43" s="247"/>
      <c r="Q43" s="247"/>
    </row>
    <row r="44" spans="1:17" x14ac:dyDescent="0.2">
      <c r="A44" s="11"/>
      <c r="B44" s="19"/>
      <c r="C44" s="19"/>
      <c r="D44" s="13"/>
      <c r="E44" s="13"/>
      <c r="F44" s="13"/>
      <c r="G44" s="13"/>
      <c r="H44" s="15"/>
      <c r="I44" s="16"/>
      <c r="J44" s="17"/>
      <c r="K44" s="18"/>
      <c r="L44" s="144"/>
      <c r="M44" s="12"/>
      <c r="N44" s="153"/>
      <c r="O44" s="12"/>
      <c r="P44" s="292"/>
      <c r="Q44" s="292"/>
    </row>
    <row r="45" spans="1:17" ht="15" x14ac:dyDescent="0.2">
      <c r="A45" s="42"/>
      <c r="B45" s="42"/>
      <c r="C45" s="42"/>
      <c r="D45" s="42"/>
      <c r="E45" s="42"/>
      <c r="F45" s="42"/>
      <c r="G45" s="63"/>
      <c r="H45" s="43"/>
      <c r="I45" s="44"/>
      <c r="J45" s="20" t="s">
        <v>44</v>
      </c>
      <c r="K45" s="21">
        <f>SUMIFS(K37:K44,O37:O44,"CUMPLE")</f>
        <v>3163.2798512890049</v>
      </c>
      <c r="L45" s="41"/>
      <c r="M45" s="41"/>
      <c r="N45" s="42"/>
      <c r="O45" s="41"/>
      <c r="P45" s="293"/>
      <c r="Q45" s="293"/>
    </row>
    <row r="46" spans="1:17" x14ac:dyDescent="0.2">
      <c r="K46" s="143"/>
    </row>
    <row r="47" spans="1:17" ht="15" x14ac:dyDescent="0.2">
      <c r="A47" s="294"/>
      <c r="B47" s="295"/>
      <c r="C47" s="295"/>
      <c r="D47" s="295"/>
      <c r="E47" s="296"/>
    </row>
    <row r="48" spans="1:17" ht="30" customHeight="1" x14ac:dyDescent="0.2">
      <c r="A48" s="192" t="s">
        <v>45</v>
      </c>
      <c r="B48" s="192"/>
      <c r="C48" s="192"/>
      <c r="D48" s="192"/>
      <c r="E48" s="22">
        <f>D5</f>
        <v>724761029</v>
      </c>
    </row>
    <row r="49" spans="1:17" ht="30" customHeight="1" x14ac:dyDescent="0.2">
      <c r="A49" s="193" t="s">
        <v>245</v>
      </c>
      <c r="B49" s="193"/>
      <c r="C49" s="193"/>
      <c r="D49" s="193"/>
      <c r="E49" s="58">
        <v>1750905</v>
      </c>
    </row>
    <row r="50" spans="1:17" ht="30" customHeight="1" x14ac:dyDescent="0.2">
      <c r="A50" s="193" t="s">
        <v>46</v>
      </c>
      <c r="B50" s="193"/>
      <c r="C50" s="193"/>
      <c r="D50" s="193"/>
      <c r="E50" s="78">
        <f>IF(AND(E51="N/A",E52="N/A")=TRUE,"",(E48/E49))</f>
        <v>413.93509585043165</v>
      </c>
    </row>
    <row r="51" spans="1:17" ht="30" customHeight="1" x14ac:dyDescent="0.2">
      <c r="A51" s="192" t="s">
        <v>240</v>
      </c>
      <c r="B51" s="192"/>
      <c r="C51" s="192"/>
      <c r="D51" s="192"/>
      <c r="E51" s="140" t="s">
        <v>0</v>
      </c>
      <c r="F51" s="161" t="s">
        <v>226</v>
      </c>
    </row>
    <row r="52" spans="1:17" ht="30" customHeight="1" x14ac:dyDescent="0.2">
      <c r="A52" s="192" t="s">
        <v>223</v>
      </c>
      <c r="B52" s="192"/>
      <c r="C52" s="192"/>
      <c r="D52" s="192"/>
      <c r="E52" s="140" t="s">
        <v>0</v>
      </c>
      <c r="F52" s="162">
        <v>1</v>
      </c>
    </row>
    <row r="53" spans="1:17" ht="30" customHeight="1" x14ac:dyDescent="0.2">
      <c r="A53" s="194" t="s">
        <v>241</v>
      </c>
      <c r="B53" s="194"/>
      <c r="C53" s="194"/>
      <c r="D53" s="194"/>
      <c r="E53" s="140" t="s">
        <v>0</v>
      </c>
    </row>
    <row r="54" spans="1:17" ht="30" customHeight="1" x14ac:dyDescent="0.2">
      <c r="A54" s="194" t="s">
        <v>242</v>
      </c>
      <c r="B54" s="194"/>
      <c r="C54" s="194"/>
      <c r="D54" s="194"/>
      <c r="E54" s="140" t="s">
        <v>0</v>
      </c>
    </row>
    <row r="55" spans="1:17" ht="30" customHeight="1" x14ac:dyDescent="0.2">
      <c r="A55" s="194" t="s">
        <v>243</v>
      </c>
      <c r="B55" s="194"/>
      <c r="C55" s="194"/>
      <c r="D55" s="194"/>
      <c r="E55" s="140" t="s">
        <v>0</v>
      </c>
    </row>
    <row r="56" spans="1:17" ht="30" customHeight="1" x14ac:dyDescent="0.2">
      <c r="A56" s="194" t="s">
        <v>244</v>
      </c>
      <c r="B56" s="194"/>
      <c r="C56" s="194"/>
      <c r="D56" s="194"/>
      <c r="E56" s="140" t="s">
        <v>0</v>
      </c>
    </row>
    <row r="57" spans="1:17" ht="41.25" customHeight="1" x14ac:dyDescent="0.2">
      <c r="A57" s="297" t="s">
        <v>47</v>
      </c>
      <c r="B57" s="297"/>
      <c r="C57" s="297"/>
      <c r="D57" s="297"/>
      <c r="E57" s="140" t="s">
        <v>0</v>
      </c>
    </row>
    <row r="59" spans="1:17" ht="30" customHeight="1" x14ac:dyDescent="0.2">
      <c r="A59" s="212" t="s">
        <v>48</v>
      </c>
      <c r="B59" s="213"/>
      <c r="C59" s="213"/>
      <c r="D59" s="213"/>
      <c r="E59" s="213"/>
      <c r="F59" s="213"/>
      <c r="G59" s="213"/>
      <c r="H59" s="213"/>
      <c r="I59" s="213"/>
      <c r="J59" s="213"/>
      <c r="K59" s="213"/>
      <c r="L59" s="213"/>
      <c r="M59" s="213"/>
      <c r="N59" s="213"/>
      <c r="O59" s="213"/>
      <c r="P59" s="213"/>
      <c r="Q59" s="214"/>
    </row>
    <row r="61" spans="1:17" ht="15.75" customHeight="1" x14ac:dyDescent="0.2">
      <c r="A61" s="298" t="s">
        <v>49</v>
      </c>
      <c r="B61" s="299"/>
      <c r="C61" s="299"/>
      <c r="D61" s="300"/>
      <c r="E61" s="307"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309" t="s">
        <v>50</v>
      </c>
      <c r="G61" s="309"/>
      <c r="H61" s="309"/>
      <c r="I61" s="309"/>
      <c r="J61" s="309"/>
      <c r="K61" s="309"/>
      <c r="L61" s="309"/>
      <c r="M61" s="309"/>
      <c r="N61" s="309"/>
      <c r="O61" s="309"/>
      <c r="P61" s="309"/>
      <c r="Q61" s="309"/>
    </row>
    <row r="62" spans="1:17" ht="30" customHeight="1" x14ac:dyDescent="0.2">
      <c r="A62" s="301"/>
      <c r="B62" s="302"/>
      <c r="C62" s="302"/>
      <c r="D62" s="303"/>
      <c r="E62" s="307"/>
      <c r="F62" s="310"/>
      <c r="G62" s="310"/>
      <c r="H62" s="310"/>
      <c r="I62" s="310"/>
      <c r="J62" s="310"/>
      <c r="K62" s="310"/>
      <c r="L62" s="310"/>
      <c r="M62" s="310"/>
      <c r="N62" s="310"/>
      <c r="O62" s="310"/>
      <c r="P62" s="310"/>
      <c r="Q62" s="310"/>
    </row>
    <row r="63" spans="1:17" ht="30" customHeight="1" x14ac:dyDescent="0.2">
      <c r="A63" s="304"/>
      <c r="B63" s="305"/>
      <c r="C63" s="305"/>
      <c r="D63" s="306"/>
      <c r="E63" s="308"/>
      <c r="F63" s="310"/>
      <c r="G63" s="310"/>
      <c r="H63" s="310"/>
      <c r="I63" s="310"/>
      <c r="J63" s="310"/>
      <c r="K63" s="310"/>
      <c r="L63" s="310"/>
      <c r="M63" s="310"/>
      <c r="N63" s="310"/>
      <c r="O63" s="310"/>
      <c r="P63" s="310"/>
      <c r="Q63" s="310"/>
    </row>
    <row r="64" spans="1:17" ht="26.25" customHeight="1" x14ac:dyDescent="0.2">
      <c r="A64" s="229" t="s">
        <v>51</v>
      </c>
      <c r="B64" s="230"/>
      <c r="C64" s="230"/>
      <c r="D64" s="230"/>
      <c r="E64" s="231"/>
      <c r="F64" s="310"/>
      <c r="G64" s="310"/>
      <c r="H64" s="310"/>
      <c r="I64" s="310"/>
      <c r="J64" s="310"/>
      <c r="K64" s="310"/>
      <c r="L64" s="310"/>
      <c r="M64" s="310"/>
      <c r="N64" s="310"/>
      <c r="O64" s="310"/>
      <c r="P64" s="310"/>
      <c r="Q64" s="310"/>
    </row>
    <row r="66" spans="1:17" ht="19.5" customHeight="1" x14ac:dyDescent="0.2">
      <c r="A66" s="212" t="s">
        <v>52</v>
      </c>
      <c r="B66" s="213"/>
      <c r="C66" s="213"/>
      <c r="D66" s="213"/>
      <c r="E66" s="213"/>
      <c r="F66" s="213"/>
      <c r="G66" s="213"/>
      <c r="H66" s="213"/>
      <c r="I66" s="213"/>
      <c r="J66" s="213"/>
      <c r="K66" s="213"/>
      <c r="L66" s="213"/>
      <c r="M66" s="213"/>
      <c r="N66" s="213"/>
      <c r="O66" s="213"/>
      <c r="P66" s="213"/>
      <c r="Q66" s="214"/>
    </row>
    <row r="68" spans="1:17" ht="27.75" customHeight="1" x14ac:dyDescent="0.2">
      <c r="A68" s="223" t="s">
        <v>53</v>
      </c>
      <c r="B68" s="224"/>
      <c r="C68" s="224"/>
      <c r="D68" s="225"/>
      <c r="E68" s="45" t="s">
        <v>54</v>
      </c>
      <c r="F68" s="45" t="s">
        <v>55</v>
      </c>
    </row>
    <row r="69" spans="1:17" ht="22.5" customHeight="1" x14ac:dyDescent="0.2">
      <c r="A69" s="226"/>
      <c r="B69" s="227"/>
      <c r="C69" s="227"/>
      <c r="D69" s="228"/>
      <c r="E69" s="28" t="str">
        <f>IF(E57="","",IF(E57="CUMPLE","HABILITADO","NO HABILITADO"))</f>
        <v>HABILITADO</v>
      </c>
      <c r="F69" s="28" t="str">
        <f>IF(E61="","",IF(E61="CUMPLE","HABILITADO","NO HABILITADO"))</f>
        <v>HABILITADO</v>
      </c>
    </row>
    <row r="71" spans="1:17" ht="30" customHeight="1" x14ac:dyDescent="0.2">
      <c r="A71" s="212" t="s">
        <v>56</v>
      </c>
      <c r="B71" s="213"/>
      <c r="C71" s="213"/>
      <c r="D71" s="213"/>
      <c r="E71" s="213"/>
      <c r="F71" s="213"/>
      <c r="G71" s="213"/>
      <c r="H71" s="213"/>
      <c r="I71" s="213"/>
      <c r="J71" s="213"/>
      <c r="K71" s="213"/>
      <c r="L71" s="213"/>
      <c r="M71" s="213"/>
      <c r="N71" s="213"/>
      <c r="O71" s="213"/>
      <c r="P71" s="213"/>
      <c r="Q71" s="214"/>
    </row>
    <row r="73" spans="1:17" ht="15" customHeight="1" x14ac:dyDescent="0.2"/>
    <row r="74" spans="1:17" ht="15" customHeight="1" x14ac:dyDescent="0.2">
      <c r="F74" s="46"/>
      <c r="G74" s="46"/>
      <c r="H74" s="46"/>
    </row>
    <row r="76" spans="1:17" ht="15" x14ac:dyDescent="0.25">
      <c r="A76" s="23">
        <v>1</v>
      </c>
      <c r="B76" s="219" t="s">
        <v>57</v>
      </c>
      <c r="C76" s="219"/>
      <c r="D76" s="219"/>
      <c r="E76" s="219"/>
      <c r="F76" s="219"/>
      <c r="G76" s="219"/>
      <c r="H76" s="219"/>
      <c r="I76" s="219"/>
      <c r="J76" s="219"/>
      <c r="K76" s="219"/>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07" t="s">
        <v>61</v>
      </c>
      <c r="K78" s="207"/>
    </row>
    <row r="79" spans="1:17" ht="15" x14ac:dyDescent="0.25">
      <c r="A79" s="3"/>
      <c r="B79" s="176" t="s">
        <v>62</v>
      </c>
      <c r="C79" s="176"/>
      <c r="D79" s="176"/>
      <c r="E79" s="176"/>
      <c r="F79" s="176"/>
      <c r="G79" s="28" t="s">
        <v>63</v>
      </c>
      <c r="H79" s="12" t="s">
        <v>2</v>
      </c>
      <c r="I79" s="29">
        <v>10</v>
      </c>
      <c r="J79" s="202"/>
      <c r="K79" s="202"/>
    </row>
    <row r="80" spans="1:17" ht="15" x14ac:dyDescent="0.25">
      <c r="A80" s="3"/>
      <c r="B80" s="176" t="s">
        <v>250</v>
      </c>
      <c r="C80" s="176"/>
      <c r="D80" s="176"/>
      <c r="E80" s="176"/>
      <c r="F80" s="176"/>
      <c r="G80" s="28" t="s">
        <v>252</v>
      </c>
      <c r="H80" s="12" t="s">
        <v>2</v>
      </c>
      <c r="I80" s="29">
        <v>15</v>
      </c>
      <c r="J80" s="202"/>
      <c r="K80" s="202"/>
    </row>
    <row r="81" spans="1:11" ht="15" x14ac:dyDescent="0.25">
      <c r="A81" s="3"/>
      <c r="B81" s="176" t="s">
        <v>251</v>
      </c>
      <c r="C81" s="176"/>
      <c r="D81" s="176"/>
      <c r="E81" s="176"/>
      <c r="F81" s="176"/>
      <c r="G81" s="28" t="s">
        <v>253</v>
      </c>
      <c r="H81" s="12" t="s">
        <v>2</v>
      </c>
      <c r="I81" s="29">
        <v>5</v>
      </c>
      <c r="J81" s="202"/>
      <c r="K81" s="202"/>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06" t="s">
        <v>64</v>
      </c>
      <c r="C85" s="206"/>
      <c r="D85" s="206"/>
      <c r="E85" s="206"/>
      <c r="F85" s="206"/>
      <c r="G85" s="206"/>
      <c r="H85" s="206"/>
      <c r="I85" s="206"/>
      <c r="J85" s="206"/>
      <c r="K85" s="206"/>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07" t="s">
        <v>61</v>
      </c>
      <c r="K87" s="207"/>
    </row>
    <row r="88" spans="1:11" ht="15" x14ac:dyDescent="0.25">
      <c r="A88" s="3"/>
      <c r="B88" s="176" t="s">
        <v>66</v>
      </c>
      <c r="C88" s="176"/>
      <c r="D88" s="176"/>
      <c r="E88" s="176"/>
      <c r="F88" s="176"/>
      <c r="G88" s="28" t="s">
        <v>67</v>
      </c>
      <c r="H88" s="12" t="s">
        <v>2</v>
      </c>
      <c r="I88" s="29">
        <f>IF(H88="","",IF(H88="NO",0,IF(H89="SI","N/A",IF(H88="SI",20,0))))</f>
        <v>20</v>
      </c>
      <c r="J88" s="218"/>
      <c r="K88" s="218"/>
    </row>
    <row r="89" spans="1:11" ht="15" x14ac:dyDescent="0.25">
      <c r="A89" s="3"/>
      <c r="B89" s="176" t="s">
        <v>68</v>
      </c>
      <c r="C89" s="176"/>
      <c r="D89" s="176"/>
      <c r="E89" s="176"/>
      <c r="F89" s="176"/>
      <c r="G89" s="28">
        <v>9</v>
      </c>
      <c r="H89" s="12"/>
      <c r="I89" s="29" t="str">
        <f>IF($H$166="","",IF($H$166="NO",0,IF($H$165="SI","N/A",IF($H$166="NO","",IF($H$166="SI",5,0)))))</f>
        <v/>
      </c>
      <c r="J89" s="218"/>
      <c r="K89" s="218"/>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06" t="s">
        <v>69</v>
      </c>
      <c r="C93" s="206"/>
      <c r="D93" s="206"/>
      <c r="E93" s="206"/>
      <c r="F93" s="206"/>
      <c r="G93" s="206"/>
      <c r="H93" s="206"/>
      <c r="I93" s="206"/>
      <c r="J93" s="206"/>
      <c r="K93" s="206"/>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07" t="s">
        <v>61</v>
      </c>
      <c r="K95" s="207"/>
    </row>
    <row r="96" spans="1:11" ht="52.5" customHeight="1" x14ac:dyDescent="0.25">
      <c r="A96" s="3"/>
      <c r="B96" s="176" t="s">
        <v>254</v>
      </c>
      <c r="C96" s="176"/>
      <c r="D96" s="176"/>
      <c r="E96" s="176"/>
      <c r="F96" s="176"/>
      <c r="G96" s="32" t="s">
        <v>255</v>
      </c>
      <c r="H96" s="12" t="s">
        <v>2</v>
      </c>
      <c r="I96" s="183">
        <f>IF(H96="NO",0,IF(H97="NO",0,IF(H107="NO CUMPLE",0,IF(H107="",0,IF(H98="NO",0,IF(H99="NO",0,IF(H104="NO",0,IF(H105="NO",0,IF(OR(AND(H97="SI",H98="SI"),AND(H97="SI",H99="SI"),AND(H99="SI",H101="SI",H102="SI",H103="SI"),AND(H97="SI",H104="SI"),AND(H97="SI",H105="SI"))=TRUE,0.25,0)))))))))</f>
        <v>0.25</v>
      </c>
      <c r="J96" s="177" t="s">
        <v>261</v>
      </c>
      <c r="K96" s="178"/>
    </row>
    <row r="97" spans="1:17" ht="21" customHeight="1" x14ac:dyDescent="0.25">
      <c r="A97" s="3"/>
      <c r="B97" s="176" t="s">
        <v>70</v>
      </c>
      <c r="C97" s="176"/>
      <c r="D97" s="176"/>
      <c r="E97" s="176"/>
      <c r="F97" s="176"/>
      <c r="G97" s="28"/>
      <c r="H97" s="12" t="s">
        <v>2</v>
      </c>
      <c r="I97" s="184"/>
      <c r="J97" s="179"/>
      <c r="K97" s="180"/>
    </row>
    <row r="98" spans="1:17" ht="103.5" customHeight="1" x14ac:dyDescent="0.25">
      <c r="A98" s="3"/>
      <c r="B98" s="176" t="s">
        <v>71</v>
      </c>
      <c r="C98" s="176"/>
      <c r="D98" s="176"/>
      <c r="E98" s="176"/>
      <c r="F98" s="176"/>
      <c r="G98" s="28"/>
      <c r="H98" s="12"/>
      <c r="I98" s="184"/>
      <c r="J98" s="179"/>
      <c r="K98" s="180"/>
    </row>
    <row r="99" spans="1:17" ht="239.25" customHeight="1" x14ac:dyDescent="0.25">
      <c r="A99" s="3"/>
      <c r="B99" s="202" t="s">
        <v>72</v>
      </c>
      <c r="C99" s="202"/>
      <c r="D99" s="202"/>
      <c r="E99" s="202"/>
      <c r="F99" s="202"/>
      <c r="G99" s="28"/>
      <c r="H99" s="12"/>
      <c r="I99" s="184"/>
      <c r="J99" s="179"/>
      <c r="K99" s="180"/>
    </row>
    <row r="100" spans="1:17" ht="21.75" customHeight="1" x14ac:dyDescent="0.25">
      <c r="A100" s="3"/>
      <c r="B100" s="203" t="s">
        <v>73</v>
      </c>
      <c r="C100" s="204"/>
      <c r="D100" s="204"/>
      <c r="E100" s="204"/>
      <c r="F100" s="204"/>
      <c r="G100" s="204"/>
      <c r="H100" s="205"/>
      <c r="I100" s="184"/>
      <c r="J100" s="179"/>
      <c r="K100" s="180"/>
    </row>
    <row r="101" spans="1:17" ht="31.5" customHeight="1" x14ac:dyDescent="0.2">
      <c r="A101" s="172"/>
      <c r="B101" s="186" t="str">
        <f>IF($H$99="SI","Aporta certificación expedida por el representante legal y el revisor fiscal, cuando exista de acuerdo con los requerimientos de ley, o el contador.","")</f>
        <v/>
      </c>
      <c r="C101" s="187"/>
      <c r="D101" s="187"/>
      <c r="E101" s="187"/>
      <c r="F101" s="188"/>
      <c r="G101" s="28"/>
      <c r="H101" s="12"/>
      <c r="I101" s="184"/>
      <c r="J101" s="179"/>
      <c r="K101" s="180"/>
    </row>
    <row r="102" spans="1:17" ht="31.5" customHeight="1" x14ac:dyDescent="0.2">
      <c r="A102" s="172"/>
      <c r="B102" s="186" t="str">
        <f>IF($H$99="SI","Aporta documento de identidad, copia de contratos de trabajo o certificacón laboral con las funciones","")</f>
        <v/>
      </c>
      <c r="C102" s="187"/>
      <c r="D102" s="187"/>
      <c r="E102" s="187"/>
      <c r="F102" s="188"/>
      <c r="G102" s="28"/>
      <c r="H102" s="12"/>
      <c r="I102" s="184"/>
      <c r="J102" s="179"/>
      <c r="K102" s="180"/>
    </row>
    <row r="103" spans="1:17" x14ac:dyDescent="0.2">
      <c r="A103" s="172"/>
      <c r="B103" s="186" t="str">
        <f>IF($H$99="SI","Aporta ceritificado de aportes a seguridad social del último año","")</f>
        <v/>
      </c>
      <c r="C103" s="187"/>
      <c r="D103" s="187"/>
      <c r="E103" s="187"/>
      <c r="F103" s="188"/>
      <c r="G103" s="28"/>
      <c r="H103" s="12"/>
      <c r="I103" s="184"/>
      <c r="J103" s="179"/>
      <c r="K103" s="180"/>
    </row>
    <row r="104" spans="1:17" ht="52.5" customHeight="1" x14ac:dyDescent="0.25">
      <c r="A104" s="3"/>
      <c r="B104" s="176" t="s">
        <v>74</v>
      </c>
      <c r="C104" s="176"/>
      <c r="D104" s="176"/>
      <c r="E104" s="176"/>
      <c r="F104" s="176"/>
      <c r="G104" s="28"/>
      <c r="H104" s="12" t="s">
        <v>2</v>
      </c>
      <c r="I104" s="184"/>
      <c r="J104" s="179"/>
      <c r="K104" s="180"/>
    </row>
    <row r="105" spans="1:17" ht="58.5" customHeight="1" x14ac:dyDescent="0.25">
      <c r="A105" s="3"/>
      <c r="B105" s="176" t="s">
        <v>75</v>
      </c>
      <c r="C105" s="176"/>
      <c r="D105" s="176"/>
      <c r="E105" s="176"/>
      <c r="F105" s="176"/>
      <c r="G105" s="28"/>
      <c r="H105" s="12"/>
      <c r="I105" s="184"/>
      <c r="J105" s="179"/>
      <c r="K105" s="180"/>
    </row>
    <row r="106" spans="1:17" ht="17.25" customHeight="1" x14ac:dyDescent="0.25">
      <c r="A106" s="3"/>
      <c r="B106" s="173" t="s">
        <v>76</v>
      </c>
      <c r="C106" s="173"/>
      <c r="D106" s="173"/>
      <c r="E106" s="173"/>
      <c r="F106" s="173"/>
      <c r="G106" s="174" t="s">
        <v>258</v>
      </c>
      <c r="H106" s="175"/>
      <c r="I106" s="185"/>
      <c r="J106" s="181"/>
      <c r="K106" s="182"/>
    </row>
    <row r="107" spans="1:17" ht="17.25" customHeight="1" x14ac:dyDescent="0.25">
      <c r="A107" s="3"/>
      <c r="B107" s="173" t="s">
        <v>77</v>
      </c>
      <c r="C107" s="173"/>
      <c r="D107" s="173"/>
      <c r="E107" s="173"/>
      <c r="F107" s="173"/>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12" t="s">
        <v>78</v>
      </c>
      <c r="B111" s="213"/>
      <c r="C111" s="213"/>
      <c r="D111" s="213"/>
      <c r="E111" s="213"/>
      <c r="F111" s="213"/>
      <c r="G111" s="213"/>
      <c r="H111" s="213"/>
      <c r="I111" s="213"/>
      <c r="J111" s="213"/>
      <c r="K111" s="213"/>
      <c r="L111" s="213"/>
      <c r="M111" s="213"/>
      <c r="N111" s="213"/>
      <c r="O111" s="213"/>
      <c r="P111" s="213"/>
      <c r="Q111" s="214"/>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17" t="s">
        <v>79</v>
      </c>
      <c r="C114" s="217"/>
      <c r="D114" s="217"/>
      <c r="E114" s="217"/>
      <c r="F114" s="217"/>
      <c r="G114" s="68" t="str">
        <f>IF($G$115="","",IF(AND(G115="CUMPLE",G116="CUMPLE")=TRUE,"HABILITADO","NO HABILITADO"))</f>
        <v>HABILITADO</v>
      </c>
      <c r="H114" s="48"/>
      <c r="I114" s="48"/>
      <c r="J114" s="48"/>
      <c r="K114" s="48"/>
      <c r="L114" s="48"/>
      <c r="M114" s="39"/>
      <c r="N114" s="40"/>
      <c r="O114" s="40"/>
    </row>
    <row r="115" spans="1:31" s="1" customFormat="1" ht="27" customHeight="1" x14ac:dyDescent="0.2">
      <c r="B115" s="217" t="s">
        <v>80</v>
      </c>
      <c r="C115" s="217"/>
      <c r="D115" s="217"/>
      <c r="E115" s="217"/>
      <c r="F115" s="217"/>
      <c r="G115" s="141" t="str">
        <f>+$E$57</f>
        <v>CUMPLE</v>
      </c>
      <c r="H115" s="49"/>
      <c r="I115" s="49"/>
      <c r="J115" s="49"/>
      <c r="K115" s="49"/>
      <c r="L115" s="49"/>
      <c r="M115" s="2"/>
    </row>
    <row r="116" spans="1:31" s="1" customFormat="1" ht="27" customHeight="1" x14ac:dyDescent="0.2">
      <c r="B116" s="217" t="s">
        <v>81</v>
      </c>
      <c r="C116" s="217"/>
      <c r="D116" s="217"/>
      <c r="E116" s="217"/>
      <c r="F116" s="217"/>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17" t="s">
        <v>82</v>
      </c>
      <c r="C117" s="217"/>
      <c r="D117" s="217"/>
      <c r="E117" s="217"/>
      <c r="F117" s="217"/>
      <c r="G117" s="69"/>
      <c r="H117" s="50"/>
      <c r="I117" s="50"/>
      <c r="J117" s="50"/>
      <c r="K117" s="50"/>
      <c r="L117" s="50"/>
      <c r="M117" s="2"/>
    </row>
    <row r="118" spans="1:31" s="4" customFormat="1" ht="27" customHeight="1" x14ac:dyDescent="0.2">
      <c r="A118" s="1"/>
      <c r="B118" s="193" t="s">
        <v>57</v>
      </c>
      <c r="C118" s="193"/>
      <c r="D118" s="193"/>
      <c r="E118" s="193"/>
      <c r="F118" s="193"/>
      <c r="G118" s="55">
        <f>+I82</f>
        <v>30</v>
      </c>
      <c r="H118" s="51"/>
      <c r="I118" s="51"/>
      <c r="J118" s="51"/>
      <c r="K118" s="51"/>
      <c r="L118" s="51"/>
      <c r="M118" s="10"/>
    </row>
    <row r="119" spans="1:31" s="4" customFormat="1" ht="27" customHeight="1" x14ac:dyDescent="0.2">
      <c r="A119" s="1"/>
      <c r="B119" s="193" t="s">
        <v>83</v>
      </c>
      <c r="C119" s="193"/>
      <c r="D119" s="193"/>
      <c r="E119" s="193"/>
      <c r="F119" s="193"/>
      <c r="G119" s="55">
        <f>SUM($I$88:$I$89)</f>
        <v>20</v>
      </c>
      <c r="H119" s="51"/>
      <c r="I119" s="51"/>
      <c r="J119" s="51"/>
      <c r="K119" s="51"/>
      <c r="L119" s="51"/>
      <c r="M119" s="10"/>
    </row>
    <row r="120" spans="1:31" s="4" customFormat="1" ht="27" customHeight="1" x14ac:dyDescent="0.2">
      <c r="A120" s="1"/>
      <c r="B120" s="193" t="s">
        <v>69</v>
      </c>
      <c r="C120" s="193"/>
      <c r="D120" s="193"/>
      <c r="E120" s="193"/>
      <c r="F120" s="193"/>
      <c r="G120" s="55">
        <f>$I$96</f>
        <v>0.25</v>
      </c>
      <c r="H120" s="51"/>
      <c r="I120" s="51"/>
      <c r="J120" s="51"/>
      <c r="K120" s="51"/>
      <c r="L120" s="51"/>
      <c r="M120" s="10"/>
    </row>
    <row r="121" spans="1:31" s="4" customFormat="1" ht="27" customHeight="1" x14ac:dyDescent="0.2">
      <c r="A121" s="1"/>
      <c r="B121" s="193" t="s">
        <v>246</v>
      </c>
      <c r="C121" s="193"/>
      <c r="D121" s="193"/>
      <c r="E121" s="193"/>
      <c r="F121" s="193"/>
      <c r="G121" s="55">
        <v>0.25</v>
      </c>
      <c r="H121" s="51"/>
      <c r="I121" s="51"/>
      <c r="J121" s="51"/>
      <c r="K121" s="51"/>
      <c r="L121" s="51"/>
      <c r="M121" s="10"/>
    </row>
    <row r="122" spans="1:31" s="4" customFormat="1" ht="27" customHeight="1" x14ac:dyDescent="0.2">
      <c r="A122" s="1"/>
      <c r="B122" s="216" t="s">
        <v>44</v>
      </c>
      <c r="C122" s="216"/>
      <c r="D122" s="216"/>
      <c r="E122" s="216"/>
      <c r="F122" s="216"/>
      <c r="G122" s="56">
        <f>IF(G115="","",SUM(G118:G121))</f>
        <v>50.5</v>
      </c>
      <c r="H122" s="52"/>
      <c r="I122" s="52"/>
      <c r="J122" s="52"/>
      <c r="K122" s="52"/>
      <c r="L122" s="52"/>
      <c r="M122" s="10"/>
    </row>
    <row r="123" spans="1:31" s="10" customFormat="1" ht="27" customHeight="1" x14ac:dyDescent="0.2">
      <c r="A123" s="1"/>
      <c r="B123" s="215" t="s">
        <v>84</v>
      </c>
      <c r="C123" s="215"/>
      <c r="D123" s="215"/>
      <c r="E123" s="215"/>
      <c r="F123" s="215"/>
      <c r="G123" s="57"/>
      <c r="H123" s="54"/>
      <c r="I123" s="54"/>
      <c r="J123" s="54"/>
      <c r="K123" s="54"/>
      <c r="L123" s="54"/>
      <c r="N123" s="4"/>
      <c r="O123" s="4"/>
      <c r="P123" s="4"/>
      <c r="Q123" s="4"/>
      <c r="R123" s="4"/>
    </row>
    <row r="124" spans="1:31" s="10" customFormat="1" ht="27" customHeight="1" x14ac:dyDescent="0.25">
      <c r="A124" s="1"/>
      <c r="B124" s="216" t="s">
        <v>85</v>
      </c>
      <c r="C124" s="216"/>
      <c r="D124" s="216"/>
      <c r="E124" s="216"/>
      <c r="F124" s="216"/>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01"/>
      <c r="C126" s="201"/>
      <c r="D126" s="201"/>
      <c r="E126" s="201"/>
      <c r="F126" s="201"/>
      <c r="G126" s="201"/>
      <c r="H126" s="201"/>
      <c r="I126" s="201"/>
      <c r="J126" s="201"/>
      <c r="K126" s="201"/>
      <c r="L126" s="201"/>
      <c r="M126" s="201"/>
      <c r="N126" s="201"/>
      <c r="O126" s="1"/>
      <c r="P126" s="1"/>
      <c r="Q126" s="1"/>
      <c r="R126" s="1"/>
    </row>
    <row r="127" spans="1:31" s="2" customFormat="1" ht="38.25" customHeight="1" x14ac:dyDescent="0.25">
      <c r="B127" s="201" t="s">
        <v>86</v>
      </c>
      <c r="C127" s="201"/>
      <c r="D127" s="201"/>
      <c r="E127" s="201"/>
      <c r="F127" s="201"/>
      <c r="G127" s="201"/>
      <c r="H127" s="201"/>
      <c r="I127" s="201"/>
      <c r="J127" s="201"/>
      <c r="K127" s="201"/>
      <c r="L127" s="201"/>
    </row>
    <row r="137" spans="1:6" x14ac:dyDescent="0.2">
      <c r="A137" s="146"/>
      <c r="B137" s="146"/>
    </row>
    <row r="138" spans="1:6" ht="15" x14ac:dyDescent="0.2">
      <c r="A138" s="146"/>
      <c r="B138" s="146"/>
      <c r="C138" s="150"/>
      <c r="E138" s="198" t="s">
        <v>87</v>
      </c>
      <c r="F138" s="199"/>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1">
    <mergeCell ref="P40:Q40"/>
    <mergeCell ref="P44:Q44"/>
    <mergeCell ref="P45:Q45"/>
    <mergeCell ref="A47:E47"/>
    <mergeCell ref="A57:D57"/>
    <mergeCell ref="A61:D63"/>
    <mergeCell ref="A59:Q59"/>
    <mergeCell ref="E61:E63"/>
    <mergeCell ref="F61:Q61"/>
    <mergeCell ref="F62:Q64"/>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C34" zoomScale="95" zoomScaleNormal="100" zoomScaleSheetLayoutView="95" workbookViewId="0">
      <selection activeCell="J50" sqref="B50:N50"/>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15" t="s">
        <v>88</v>
      </c>
      <c r="C2" s="316"/>
      <c r="D2" s="316"/>
      <c r="E2" s="316"/>
      <c r="F2" s="316"/>
      <c r="G2" s="316"/>
      <c r="H2" s="316"/>
      <c r="I2" s="316"/>
      <c r="J2" s="316"/>
      <c r="K2" s="316"/>
      <c r="L2" s="316"/>
      <c r="M2" s="316"/>
      <c r="N2" s="31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18" t="s">
        <v>89</v>
      </c>
      <c r="C4" s="318"/>
      <c r="D4" s="318"/>
      <c r="E4" s="318"/>
      <c r="F4" s="318"/>
      <c r="G4" s="134" t="s">
        <v>90</v>
      </c>
      <c r="H4" s="134" t="s">
        <v>91</v>
      </c>
      <c r="I4" s="134" t="s">
        <v>92</v>
      </c>
      <c r="J4" s="134" t="s">
        <v>93</v>
      </c>
      <c r="K4" s="319" t="s">
        <v>94</v>
      </c>
      <c r="L4" s="319"/>
      <c r="M4" s="319" t="s">
        <v>95</v>
      </c>
      <c r="N4" s="319"/>
      <c r="U4" s="89"/>
      <c r="Y4" s="89"/>
      <c r="Z4" s="89"/>
      <c r="AA4" s="89"/>
    </row>
    <row r="5" spans="1:32" ht="12.75" x14ac:dyDescent="0.25">
      <c r="A5" s="88"/>
      <c r="B5" s="92">
        <v>1</v>
      </c>
      <c r="C5" s="324" t="str">
        <f>'EVALUACIÓN EXPERIENCIA'!$G$3</f>
        <v>CONSORCIO VENTURA &amp; CO</v>
      </c>
      <c r="D5" s="325"/>
      <c r="E5" s="325"/>
      <c r="F5" s="326"/>
      <c r="G5" s="93"/>
      <c r="H5" s="142"/>
      <c r="I5" s="94"/>
      <c r="J5" s="94"/>
      <c r="K5" s="327"/>
      <c r="L5" s="328"/>
      <c r="M5" s="329"/>
      <c r="N5" s="330"/>
      <c r="U5" s="89"/>
      <c r="Y5" s="89"/>
      <c r="Z5" s="89"/>
      <c r="AA5" s="89"/>
    </row>
    <row r="6" spans="1:32" ht="12.75" x14ac:dyDescent="0.25">
      <c r="A6" s="88"/>
      <c r="B6" s="90"/>
      <c r="C6" s="90"/>
      <c r="D6" s="90"/>
      <c r="E6" s="90"/>
      <c r="F6" s="90"/>
      <c r="G6" s="90"/>
      <c r="H6" s="90"/>
      <c r="I6" s="90"/>
      <c r="J6" s="90"/>
      <c r="K6" s="90"/>
      <c r="L6" s="90"/>
      <c r="M6" s="331">
        <f>+AE70</f>
        <v>0</v>
      </c>
      <c r="N6" s="332"/>
      <c r="U6" s="89"/>
      <c r="Y6" s="89"/>
      <c r="Z6" s="89"/>
      <c r="AA6" s="89"/>
    </row>
    <row r="7" spans="1:32" ht="12.75" x14ac:dyDescent="0.25">
      <c r="B7" s="313" t="str">
        <f>"TOTAL CRP PROPONENTE: "&amp;$C$5</f>
        <v>TOTAL CRP PROPONENTE: CONSORCIO VENTURA &amp; CO</v>
      </c>
      <c r="C7" s="313"/>
      <c r="D7" s="313"/>
      <c r="E7" s="313"/>
      <c r="F7" s="313"/>
      <c r="G7" s="313"/>
      <c r="H7" s="313"/>
      <c r="I7" s="313"/>
      <c r="J7" s="313"/>
      <c r="K7" s="313"/>
      <c r="L7" s="314">
        <f>L64</f>
        <v>426630400</v>
      </c>
      <c r="M7" s="314"/>
      <c r="N7" s="314"/>
      <c r="U7" s="89"/>
      <c r="Y7" s="89"/>
      <c r="Z7" s="89"/>
      <c r="AA7" s="89"/>
    </row>
    <row r="8" spans="1:32" ht="12.75" x14ac:dyDescent="0.2">
      <c r="B8" s="320" t="str">
        <f>"CONDICIÓN DEL PROPONENTE: "&amp;$C$5</f>
        <v>CONDICIÓN DEL PROPONENTE: CONSORCIO VENTURA &amp; CO</v>
      </c>
      <c r="C8" s="321"/>
      <c r="D8" s="321"/>
      <c r="E8" s="321"/>
      <c r="F8" s="321"/>
      <c r="G8" s="321"/>
      <c r="H8" s="321"/>
      <c r="I8" s="321"/>
      <c r="J8" s="321"/>
      <c r="K8" s="322"/>
      <c r="L8" s="323" t="str">
        <f>IF(AND(IF(L66="CUMPLE",TRUE,FALSE),IF(IF(L7&lt;I13,Q26,Q25)="CUMPLE",TRUE,FALSE))=TRUE,"CUMPLE",IF(OR(L66="")=TRUE,"PENDIENTE REVISIÓN","NO CUMPLE"))</f>
        <v>PENDIENTE REVISIÓN</v>
      </c>
      <c r="M8" s="323"/>
      <c r="N8" s="323"/>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11" t="s">
        <v>96</v>
      </c>
      <c r="C10" s="311"/>
      <c r="D10" s="311"/>
      <c r="E10" s="311"/>
      <c r="F10" s="311"/>
      <c r="G10" s="311"/>
      <c r="H10" s="311"/>
      <c r="I10" s="311"/>
      <c r="J10" s="311"/>
      <c r="K10" s="311"/>
      <c r="L10" s="311"/>
      <c r="M10" s="311"/>
      <c r="N10" s="311"/>
    </row>
    <row r="11" spans="1:32" ht="22.5" customHeight="1" x14ac:dyDescent="0.25">
      <c r="B11" s="311" t="s">
        <v>97</v>
      </c>
      <c r="C11" s="311"/>
      <c r="D11" s="311"/>
      <c r="E11" s="311"/>
      <c r="F11" s="311" t="s">
        <v>98</v>
      </c>
      <c r="G11" s="311"/>
      <c r="H11" s="91" t="s">
        <v>99</v>
      </c>
      <c r="I11" s="312" t="s">
        <v>100</v>
      </c>
      <c r="J11" s="312"/>
      <c r="K11" s="312"/>
      <c r="L11" s="312"/>
      <c r="M11" s="312"/>
      <c r="N11" s="312"/>
      <c r="P11" s="95"/>
      <c r="Q11" s="95"/>
      <c r="R11" s="95"/>
      <c r="S11" s="95"/>
      <c r="T11" s="95"/>
      <c r="U11" s="95"/>
      <c r="V11" s="95"/>
      <c r="W11" s="95"/>
      <c r="X11" s="95"/>
      <c r="Y11" s="95"/>
      <c r="Z11" s="89"/>
      <c r="AA11" s="89"/>
    </row>
    <row r="12" spans="1:32" ht="15.75" customHeight="1" x14ac:dyDescent="0.2">
      <c r="B12" s="333">
        <f>+'EVALUACIÓN EXPERIENCIA'!D5</f>
        <v>724761029</v>
      </c>
      <c r="C12" s="333"/>
      <c r="D12" s="333"/>
      <c r="E12" s="333"/>
      <c r="F12" s="333">
        <f>+B12*40%</f>
        <v>289904411.60000002</v>
      </c>
      <c r="G12" s="333"/>
      <c r="H12" s="100">
        <v>3</v>
      </c>
      <c r="I12" s="334">
        <f>IFERROR(ROUND(((B12-F12)/H12)*12,0),0)</f>
        <v>1739426470</v>
      </c>
      <c r="J12" s="334"/>
      <c r="K12" s="334"/>
      <c r="L12" s="334"/>
      <c r="M12" s="334"/>
      <c r="N12" s="334"/>
      <c r="P12" s="64"/>
      <c r="Q12" s="64"/>
      <c r="R12" s="64"/>
      <c r="S12" s="64"/>
      <c r="T12" s="64"/>
      <c r="Z12" s="64"/>
      <c r="AA12" s="64"/>
      <c r="AB12" s="64"/>
      <c r="AC12" s="64"/>
      <c r="AD12" s="64"/>
      <c r="AE12" s="64"/>
      <c r="AF12" s="64"/>
    </row>
    <row r="13" spans="1:32" ht="15.75" customHeight="1" x14ac:dyDescent="0.2">
      <c r="B13" s="335" t="s">
        <v>101</v>
      </c>
      <c r="C13" s="335"/>
      <c r="D13" s="335"/>
      <c r="E13" s="335"/>
      <c r="F13" s="335"/>
      <c r="G13" s="335"/>
      <c r="H13" s="335"/>
      <c r="I13" s="314">
        <f>SUM(I12:N12)</f>
        <v>1739426470</v>
      </c>
      <c r="J13" s="314"/>
      <c r="K13" s="314"/>
      <c r="L13" s="314"/>
      <c r="M13" s="314"/>
      <c r="N13" s="314"/>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72" t="str">
        <f>"PROPONENTE: "&amp;$C$5</f>
        <v>PROPONENTE: CONSORCIO VENTURA &amp; CO</v>
      </c>
      <c r="C15" s="373"/>
      <c r="D15" s="373"/>
      <c r="E15" s="373"/>
      <c r="F15" s="373"/>
      <c r="G15" s="373"/>
      <c r="H15" s="373"/>
      <c r="I15" s="373"/>
      <c r="J15" s="373"/>
      <c r="K15" s="373"/>
      <c r="L15" s="373"/>
      <c r="M15" s="373"/>
      <c r="N15" s="374"/>
      <c r="P15" s="96"/>
      <c r="Q15" s="96"/>
      <c r="R15" s="96"/>
      <c r="S15" s="96"/>
      <c r="T15" s="96"/>
      <c r="U15" s="96"/>
      <c r="V15" s="96"/>
      <c r="X15" s="98"/>
      <c r="Y15" s="98"/>
      <c r="Z15" s="64"/>
      <c r="AB15" s="64"/>
      <c r="AC15" s="64"/>
      <c r="AD15" s="64"/>
      <c r="AE15" s="64"/>
      <c r="AF15" s="64"/>
    </row>
    <row r="16" spans="1:32" ht="12.75" x14ac:dyDescent="0.2">
      <c r="B16" s="314" t="s">
        <v>102</v>
      </c>
      <c r="C16" s="314"/>
      <c r="D16" s="314"/>
      <c r="E16" s="314"/>
      <c r="F16" s="314"/>
      <c r="G16" s="314"/>
      <c r="H16" s="314"/>
      <c r="I16" s="336">
        <f>$G$5</f>
        <v>0</v>
      </c>
      <c r="J16" s="336"/>
      <c r="K16" s="336"/>
      <c r="L16" s="336"/>
      <c r="M16" s="336"/>
      <c r="N16" s="336"/>
      <c r="P16" s="96"/>
      <c r="Q16" s="96"/>
      <c r="R16" s="96"/>
      <c r="S16" s="96"/>
      <c r="T16" s="96"/>
      <c r="U16" s="96"/>
      <c r="V16" s="96"/>
      <c r="X16" s="64"/>
      <c r="Y16" s="64"/>
      <c r="Z16" s="64"/>
      <c r="AB16" s="64"/>
      <c r="AC16" s="64"/>
      <c r="AD16" s="64"/>
      <c r="AE16" s="64"/>
      <c r="AF16" s="64"/>
    </row>
    <row r="17" spans="2:33" ht="15.75" customHeight="1" x14ac:dyDescent="0.2">
      <c r="B17" s="311" t="s">
        <v>103</v>
      </c>
      <c r="C17" s="311"/>
      <c r="D17" s="311"/>
      <c r="E17" s="311"/>
      <c r="F17" s="311"/>
      <c r="G17" s="311"/>
      <c r="H17" s="311" t="s">
        <v>104</v>
      </c>
      <c r="I17" s="311"/>
      <c r="J17" s="311"/>
      <c r="K17" s="311"/>
      <c r="L17" s="311"/>
      <c r="M17" s="311"/>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44"/>
      <c r="C18" s="345"/>
      <c r="D18" s="345"/>
      <c r="E18" s="345"/>
      <c r="F18" s="345"/>
      <c r="G18" s="346"/>
      <c r="H18" s="341" t="s">
        <v>106</v>
      </c>
      <c r="I18" s="341"/>
      <c r="J18" s="341"/>
      <c r="K18" s="341"/>
      <c r="L18" s="341"/>
      <c r="M18" s="341"/>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47"/>
      <c r="C19" s="348"/>
      <c r="D19" s="348"/>
      <c r="E19" s="348"/>
      <c r="F19" s="348"/>
      <c r="G19" s="349"/>
      <c r="H19" s="341" t="s">
        <v>107</v>
      </c>
      <c r="I19" s="341"/>
      <c r="J19" s="341"/>
      <c r="K19" s="341"/>
      <c r="L19" s="341"/>
      <c r="M19" s="341"/>
      <c r="N19" s="79">
        <v>40</v>
      </c>
      <c r="T19" s="337" t="s">
        <v>108</v>
      </c>
      <c r="U19" s="337"/>
      <c r="V19" s="338" t="str">
        <f>B15</f>
        <v>PROPONENTE: CONSORCIO VENTURA &amp; CO</v>
      </c>
      <c r="W19" s="339"/>
      <c r="X19" s="339"/>
      <c r="Y19" s="339"/>
      <c r="Z19" s="339"/>
      <c r="AA19" s="340"/>
    </row>
    <row r="20" spans="2:33" ht="15.75" customHeight="1" thickBot="1" x14ac:dyDescent="0.3">
      <c r="B20" s="347"/>
      <c r="C20" s="348"/>
      <c r="D20" s="348"/>
      <c r="E20" s="348"/>
      <c r="F20" s="348"/>
      <c r="G20" s="349"/>
      <c r="H20" s="341" t="s">
        <v>109</v>
      </c>
      <c r="I20" s="341"/>
      <c r="J20" s="341"/>
      <c r="K20" s="341"/>
      <c r="L20" s="341"/>
      <c r="M20" s="341"/>
      <c r="N20" s="79">
        <v>40</v>
      </c>
      <c r="O20" s="119"/>
      <c r="Q20" s="103" t="s">
        <v>110</v>
      </c>
      <c r="T20" s="104" t="s">
        <v>111</v>
      </c>
      <c r="U20" s="105">
        <v>46132</v>
      </c>
      <c r="AA20" s="106"/>
      <c r="AC20" s="107"/>
      <c r="AE20" s="107"/>
    </row>
    <row r="21" spans="2:33" ht="13.5" thickBot="1" x14ac:dyDescent="0.3">
      <c r="B21" s="350"/>
      <c r="C21" s="351"/>
      <c r="D21" s="351"/>
      <c r="E21" s="351"/>
      <c r="F21" s="351"/>
      <c r="G21" s="352"/>
      <c r="H21" s="311" t="s">
        <v>44</v>
      </c>
      <c r="I21" s="311"/>
      <c r="J21" s="311"/>
      <c r="K21" s="311"/>
      <c r="L21" s="311"/>
      <c r="M21" s="311"/>
      <c r="N21" s="79">
        <f>SUM(N18:N20)</f>
        <v>200</v>
      </c>
      <c r="O21" s="119"/>
      <c r="Q21" s="108">
        <v>1750905</v>
      </c>
      <c r="T21" s="109"/>
      <c r="U21" s="110"/>
      <c r="Y21" s="106"/>
      <c r="AA21" s="107"/>
      <c r="AB21" s="111"/>
      <c r="AE21" s="107"/>
    </row>
    <row r="22" spans="2:33" ht="12.75" x14ac:dyDescent="0.25">
      <c r="B22" s="311" t="s">
        <v>112</v>
      </c>
      <c r="C22" s="311"/>
      <c r="D22" s="311"/>
      <c r="E22" s="311"/>
      <c r="F22" s="311"/>
      <c r="G22" s="311"/>
      <c r="H22" s="311"/>
      <c r="I22" s="311"/>
      <c r="J22" s="311"/>
      <c r="K22" s="311"/>
      <c r="L22" s="311"/>
      <c r="M22" s="311"/>
      <c r="N22" s="311"/>
      <c r="O22" s="119"/>
      <c r="Q22" s="112"/>
      <c r="T22" s="353" t="s">
        <v>113</v>
      </c>
      <c r="U22" s="342" t="s">
        <v>114</v>
      </c>
      <c r="V22" s="342" t="s">
        <v>115</v>
      </c>
      <c r="W22" s="342" t="s">
        <v>116</v>
      </c>
      <c r="X22" s="342" t="s">
        <v>117</v>
      </c>
      <c r="Y22" s="342" t="s">
        <v>118</v>
      </c>
      <c r="Z22" s="342" t="s">
        <v>119</v>
      </c>
      <c r="AA22" s="342" t="s">
        <v>120</v>
      </c>
      <c r="AB22" s="342" t="s">
        <v>121</v>
      </c>
      <c r="AC22" s="342" t="s">
        <v>122</v>
      </c>
      <c r="AD22" s="342" t="s">
        <v>123</v>
      </c>
      <c r="AE22" s="342" t="s">
        <v>124</v>
      </c>
    </row>
    <row r="23" spans="2:33" ht="13.5" thickBot="1" x14ac:dyDescent="0.3">
      <c r="B23" s="355" t="s">
        <v>125</v>
      </c>
      <c r="C23" s="356"/>
      <c r="D23" s="356"/>
      <c r="E23" s="356"/>
      <c r="F23" s="356"/>
      <c r="G23" s="356"/>
      <c r="H23" s="357"/>
      <c r="I23" s="320" t="s">
        <v>126</v>
      </c>
      <c r="J23" s="321"/>
      <c r="K23" s="321"/>
      <c r="L23" s="321"/>
      <c r="M23" s="321"/>
      <c r="N23" s="322"/>
      <c r="Q23" s="112"/>
      <c r="T23" s="354"/>
      <c r="U23" s="343"/>
      <c r="V23" s="343"/>
      <c r="W23" s="343"/>
      <c r="X23" s="343"/>
      <c r="Y23" s="343"/>
      <c r="Z23" s="343"/>
      <c r="AA23" s="343"/>
      <c r="AB23" s="343"/>
      <c r="AC23" s="343"/>
      <c r="AD23" s="343"/>
      <c r="AE23" s="343"/>
    </row>
    <row r="24" spans="2:33" ht="15.75" customHeight="1" thickBot="1" x14ac:dyDescent="0.3">
      <c r="B24" s="361" t="s">
        <v>127</v>
      </c>
      <c r="C24" s="361"/>
      <c r="D24" s="361"/>
      <c r="E24" s="361"/>
      <c r="F24" s="361"/>
      <c r="G24" s="361"/>
      <c r="H24" s="361"/>
      <c r="I24" s="362">
        <f>IF($H$5&gt;$R$29,$H$5,$R$29)</f>
        <v>533288000</v>
      </c>
      <c r="J24" s="363"/>
      <c r="K24" s="363"/>
      <c r="L24" s="363"/>
      <c r="M24" s="363"/>
      <c r="N24" s="364"/>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11" t="s">
        <v>129</v>
      </c>
      <c r="C25" s="311"/>
      <c r="D25" s="311"/>
      <c r="E25" s="311"/>
      <c r="F25" s="311"/>
      <c r="G25" s="311"/>
      <c r="H25" s="311"/>
      <c r="I25" s="311"/>
      <c r="J25" s="311"/>
      <c r="K25" s="311"/>
      <c r="L25" s="311"/>
      <c r="M25" s="311"/>
      <c r="N25" s="311"/>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11" t="s">
        <v>133</v>
      </c>
      <c r="C26" s="311"/>
      <c r="D26" s="311"/>
      <c r="E26" s="311"/>
      <c r="F26" s="311"/>
      <c r="G26" s="311"/>
      <c r="H26" s="311"/>
      <c r="I26" s="311"/>
      <c r="J26" s="311"/>
      <c r="K26" s="311"/>
      <c r="L26" s="311"/>
      <c r="M26" s="311"/>
      <c r="N26" s="311"/>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358"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359"/>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359"/>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359"/>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359"/>
      <c r="P31" s="311" t="s">
        <v>146</v>
      </c>
      <c r="Q31" s="311"/>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359"/>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359"/>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359"/>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359"/>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359"/>
      <c r="P36" s="311" t="s">
        <v>153</v>
      </c>
      <c r="Q36" s="311"/>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359"/>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359"/>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359"/>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359"/>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359"/>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359"/>
      <c r="O42" s="125"/>
      <c r="P42" s="311" t="s">
        <v>160</v>
      </c>
      <c r="Q42" s="311"/>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359"/>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359"/>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359"/>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359"/>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359"/>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360"/>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65" t="s">
        <v>167</v>
      </c>
      <c r="C49" s="365"/>
      <c r="D49" s="365"/>
      <c r="E49" s="365"/>
      <c r="F49" s="365"/>
      <c r="G49" s="365"/>
      <c r="H49" s="365"/>
      <c r="I49" s="365"/>
      <c r="J49" s="366">
        <f>SUM(C28:C48,G28:G48,K28:K48,E28:E48,I28:I48,K28:K48,M28:M48)</f>
        <v>0</v>
      </c>
      <c r="K49" s="366"/>
      <c r="L49" s="366"/>
      <c r="M49" s="366"/>
      <c r="N49" s="366"/>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65" t="s">
        <v>169</v>
      </c>
      <c r="C50" s="365"/>
      <c r="D50" s="365"/>
      <c r="E50" s="365"/>
      <c r="F50" s="365"/>
      <c r="G50" s="365"/>
      <c r="H50" s="365"/>
      <c r="I50" s="365"/>
      <c r="J50" s="367">
        <f>$J$49*$Q$21</f>
        <v>0</v>
      </c>
      <c r="K50" s="367"/>
      <c r="L50" s="367"/>
      <c r="M50" s="367"/>
      <c r="N50" s="367"/>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65" t="s">
        <v>171</v>
      </c>
      <c r="C51" s="365"/>
      <c r="D51" s="365"/>
      <c r="E51" s="365"/>
      <c r="F51" s="365"/>
      <c r="G51" s="365"/>
      <c r="H51" s="365"/>
      <c r="I51" s="365"/>
      <c r="J51" s="311">
        <f>IFERROR($J$50/(($B$12)*I16),0)</f>
        <v>0</v>
      </c>
      <c r="K51" s="311"/>
      <c r="L51" s="311"/>
      <c r="M51" s="311"/>
      <c r="N51" s="311"/>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65" t="s">
        <v>173</v>
      </c>
      <c r="C52" s="365"/>
      <c r="D52" s="365"/>
      <c r="E52" s="365"/>
      <c r="F52" s="365"/>
      <c r="G52" s="365"/>
      <c r="H52" s="365"/>
      <c r="I52" s="365"/>
      <c r="J52" s="365"/>
      <c r="K52" s="365"/>
      <c r="L52" s="369">
        <f>IF(J51&gt;P35,R35,IF(J51&gt;P34,R34,IF(J51&gt;P33,R33,R32)))</f>
        <v>60</v>
      </c>
      <c r="M52" s="369"/>
      <c r="N52" s="369"/>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11" t="s">
        <v>175</v>
      </c>
      <c r="C53" s="311"/>
      <c r="D53" s="311"/>
      <c r="E53" s="311"/>
      <c r="F53" s="311"/>
      <c r="G53" s="311"/>
      <c r="H53" s="311"/>
      <c r="I53" s="311"/>
      <c r="J53" s="311"/>
      <c r="K53" s="311"/>
      <c r="L53" s="311"/>
      <c r="M53" s="311"/>
      <c r="N53" s="311"/>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44"/>
      <c r="C54" s="345"/>
      <c r="D54" s="345"/>
      <c r="E54" s="345"/>
      <c r="F54" s="345"/>
      <c r="G54" s="346"/>
      <c r="H54" s="370" t="s">
        <v>177</v>
      </c>
      <c r="I54" s="370"/>
      <c r="J54" s="370"/>
      <c r="K54" s="370"/>
      <c r="L54" s="333">
        <f>$I$5</f>
        <v>0</v>
      </c>
      <c r="M54" s="333"/>
      <c r="N54" s="333"/>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47"/>
      <c r="C55" s="348"/>
      <c r="D55" s="348"/>
      <c r="E55" s="348"/>
      <c r="F55" s="348"/>
      <c r="G55" s="349"/>
      <c r="H55" s="370" t="s">
        <v>179</v>
      </c>
      <c r="I55" s="370"/>
      <c r="J55" s="370"/>
      <c r="K55" s="370"/>
      <c r="L55" s="333">
        <f>$J$5</f>
        <v>0</v>
      </c>
      <c r="M55" s="333"/>
      <c r="N55" s="333"/>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50"/>
      <c r="C56" s="351"/>
      <c r="D56" s="351"/>
      <c r="E56" s="351"/>
      <c r="F56" s="351"/>
      <c r="G56" s="352"/>
      <c r="H56" s="365" t="s">
        <v>181</v>
      </c>
      <c r="I56" s="365"/>
      <c r="J56" s="365"/>
      <c r="K56" s="365"/>
      <c r="L56" s="371">
        <f>IFERROR(ROUND(L54/L55,2),0)</f>
        <v>0</v>
      </c>
      <c r="M56" s="371"/>
      <c r="N56" s="371"/>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65" t="s">
        <v>183</v>
      </c>
      <c r="C57" s="365"/>
      <c r="D57" s="365"/>
      <c r="E57" s="365"/>
      <c r="F57" s="365"/>
      <c r="G57" s="365"/>
      <c r="H57" s="365"/>
      <c r="I57" s="365"/>
      <c r="J57" s="365"/>
      <c r="K57" s="365"/>
      <c r="L57" s="369">
        <f>IF(L56&gt;P41,R41,IF(L56&gt;P40,R40,IF(L56&gt;P39,R39,IF(L56&gt;P38,R38,R37))))</f>
        <v>20</v>
      </c>
      <c r="M57" s="369"/>
      <c r="N57" s="369"/>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11" t="s">
        <v>185</v>
      </c>
      <c r="C58" s="311"/>
      <c r="D58" s="311"/>
      <c r="E58" s="311"/>
      <c r="F58" s="311"/>
      <c r="G58" s="311"/>
      <c r="H58" s="311"/>
      <c r="I58" s="311"/>
      <c r="J58" s="311"/>
      <c r="K58" s="311"/>
      <c r="L58" s="311"/>
      <c r="M58" s="311"/>
      <c r="N58" s="311"/>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75" t="s">
        <v>94</v>
      </c>
      <c r="C59" s="375"/>
      <c r="D59" s="375"/>
      <c r="E59" s="375"/>
      <c r="F59" s="375"/>
      <c r="G59" s="375"/>
      <c r="H59" s="375"/>
      <c r="I59" s="375"/>
      <c r="J59" s="375"/>
      <c r="K59" s="375"/>
      <c r="L59" s="375"/>
      <c r="M59" s="368">
        <f>$K$5</f>
        <v>0</v>
      </c>
      <c r="N59" s="368"/>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65" t="s">
        <v>188</v>
      </c>
      <c r="C60" s="365"/>
      <c r="D60" s="365"/>
      <c r="E60" s="365"/>
      <c r="F60" s="365"/>
      <c r="G60" s="365"/>
      <c r="H60" s="365"/>
      <c r="I60" s="365"/>
      <c r="J60" s="365"/>
      <c r="K60" s="365"/>
      <c r="L60" s="369">
        <f>IF(M59&gt;P46,R46,IF(M59&gt;P45,R45,IF(M59&gt;P44,R44,R43)))</f>
        <v>0</v>
      </c>
      <c r="M60" s="369"/>
      <c r="N60" s="369"/>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65" t="str">
        <f>"CAPACIDAD DE CONTRATACIÓN INTEGRANTE 1: "&amp;$F$15</f>
        <v xml:space="preserve">CAPACIDAD DE CONTRATACIÓN INTEGRANTE 1: </v>
      </c>
      <c r="C62" s="365"/>
      <c r="D62" s="365"/>
      <c r="E62" s="365"/>
      <c r="F62" s="365"/>
      <c r="G62" s="365"/>
      <c r="H62" s="365"/>
      <c r="I62" s="365"/>
      <c r="J62" s="365"/>
      <c r="K62" s="365"/>
      <c r="L62" s="314">
        <f>I24*((L52+L57+L60)/100)</f>
        <v>426630400</v>
      </c>
      <c r="M62" s="314"/>
      <c r="N62" s="314"/>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65" t="str">
        <f>"SALDO DE LOS CONTRATOS EN EJECUCIÓN INTEGRANTE 1: "&amp;$F$15</f>
        <v xml:space="preserve">SALDO DE LOS CONTRATOS EN EJECUCIÓN INTEGRANTE 1: </v>
      </c>
      <c r="C63" s="365"/>
      <c r="D63" s="365"/>
      <c r="E63" s="365"/>
      <c r="F63" s="365"/>
      <c r="G63" s="365"/>
      <c r="H63" s="365"/>
      <c r="I63" s="365"/>
      <c r="J63" s="365"/>
      <c r="K63" s="365"/>
      <c r="L63" s="314">
        <f>$M$5</f>
        <v>0</v>
      </c>
      <c r="M63" s="314"/>
      <c r="N63" s="314"/>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65" t="str">
        <f>"CAPACIDAD RESIDUAL DE CONTRATACIÓN INTEGRANTE 1: "&amp;$F$15</f>
        <v xml:space="preserve">CAPACIDAD RESIDUAL DE CONTRATACIÓN INTEGRANTE 1: </v>
      </c>
      <c r="C64" s="365"/>
      <c r="D64" s="365"/>
      <c r="E64" s="365"/>
      <c r="F64" s="365"/>
      <c r="G64" s="365"/>
      <c r="H64" s="365"/>
      <c r="I64" s="365"/>
      <c r="J64" s="365"/>
      <c r="K64" s="365"/>
      <c r="L64" s="314">
        <f>L62-L63</f>
        <v>426630400</v>
      </c>
      <c r="M64" s="314"/>
      <c r="N64" s="314"/>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75" t="str">
        <f>"INTEGRANTE 1: "&amp;$C$5&amp;" PRESENTA ESTADOS FINANCIEROS DICTAMINADOS"</f>
        <v>INTEGRANTE 1: CONSORCIO VENTURA &amp; CO PRESENTA ESTADOS FINANCIEROS DICTAMINADOS</v>
      </c>
      <c r="C66" s="375"/>
      <c r="D66" s="375"/>
      <c r="E66" s="375"/>
      <c r="F66" s="375"/>
      <c r="G66" s="375"/>
      <c r="H66" s="375"/>
      <c r="I66" s="375"/>
      <c r="J66" s="375"/>
      <c r="K66" s="375"/>
      <c r="L66" s="323" t="str">
        <f>IF(L67="","",IF(L68="","",IF(AND(L67="si",L68="si")=TRUE,"CUMPLE","NO CUMPLE")))</f>
        <v/>
      </c>
      <c r="M66" s="323"/>
      <c r="N66" s="323"/>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78" t="s">
        <v>196</v>
      </c>
      <c r="C67" s="378"/>
      <c r="D67" s="378"/>
      <c r="E67" s="378"/>
      <c r="F67" s="378"/>
      <c r="G67" s="378"/>
      <c r="H67" s="378"/>
      <c r="I67" s="378"/>
      <c r="J67" s="378"/>
      <c r="K67" s="378"/>
      <c r="L67" s="379"/>
      <c r="M67" s="379"/>
      <c r="N67" s="379"/>
      <c r="T67" s="113"/>
      <c r="U67" s="113"/>
      <c r="V67" s="114"/>
      <c r="W67" s="114"/>
      <c r="X67" s="114"/>
      <c r="Y67" s="115"/>
      <c r="Z67" s="116"/>
      <c r="AA67" s="117"/>
      <c r="AB67" s="118"/>
      <c r="AC67" s="118"/>
      <c r="AD67" s="118"/>
      <c r="AE67" s="117"/>
    </row>
    <row r="68" spans="2:31" ht="32.25" customHeight="1" thickBot="1" x14ac:dyDescent="0.3">
      <c r="B68" s="378" t="s">
        <v>197</v>
      </c>
      <c r="C68" s="378"/>
      <c r="D68" s="378"/>
      <c r="E68" s="378"/>
      <c r="F68" s="378"/>
      <c r="G68" s="378"/>
      <c r="H68" s="378"/>
      <c r="I68" s="378"/>
      <c r="J68" s="378"/>
      <c r="K68" s="378"/>
      <c r="L68" s="379"/>
      <c r="M68" s="379"/>
      <c r="N68" s="379"/>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77" t="s">
        <v>50</v>
      </c>
      <c r="C70" s="377"/>
      <c r="D70" s="377"/>
      <c r="E70" s="377"/>
      <c r="F70" s="377"/>
      <c r="G70" s="377"/>
      <c r="H70" s="377"/>
      <c r="I70" s="377"/>
      <c r="J70" s="377"/>
      <c r="K70" s="377"/>
      <c r="L70" s="377"/>
      <c r="M70" s="377"/>
      <c r="N70" s="377"/>
      <c r="Z70" s="376" t="s">
        <v>199</v>
      </c>
      <c r="AA70" s="376"/>
      <c r="AB70" s="376"/>
      <c r="AC70" s="376"/>
      <c r="AD70" s="376"/>
      <c r="AE70" s="126">
        <f>SUM(AE24:AE69)</f>
        <v>0</v>
      </c>
    </row>
    <row r="71" spans="2:31" ht="69" customHeight="1" thickBot="1" x14ac:dyDescent="0.3">
      <c r="B71" s="380"/>
      <c r="C71" s="381"/>
      <c r="D71" s="381"/>
      <c r="E71" s="381"/>
      <c r="F71" s="381"/>
      <c r="G71" s="381"/>
      <c r="H71" s="381"/>
      <c r="I71" s="381"/>
      <c r="J71" s="381"/>
      <c r="K71" s="381"/>
      <c r="L71" s="381"/>
      <c r="M71" s="381"/>
      <c r="N71" s="382"/>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76" t="s">
        <v>199</v>
      </c>
      <c r="AA72" s="376"/>
      <c r="AB72" s="376"/>
      <c r="AC72" s="376"/>
      <c r="AD72" s="376"/>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0:K60"/>
    <mergeCell ref="L60:N60"/>
    <mergeCell ref="B52:K52"/>
    <mergeCell ref="L52:N52"/>
    <mergeCell ref="B53:N53"/>
    <mergeCell ref="B54:G56"/>
    <mergeCell ref="H54:K54"/>
    <mergeCell ref="L54:N54"/>
    <mergeCell ref="H55:K55"/>
    <mergeCell ref="L55:N55"/>
    <mergeCell ref="H56:K56"/>
    <mergeCell ref="L56:N56"/>
    <mergeCell ref="B50:I50"/>
    <mergeCell ref="J50:N50"/>
    <mergeCell ref="B51:I51"/>
    <mergeCell ref="J51:N51"/>
    <mergeCell ref="M59:N59"/>
    <mergeCell ref="B24:H24"/>
    <mergeCell ref="I24:N24"/>
    <mergeCell ref="B25:N25"/>
    <mergeCell ref="B26:N26"/>
    <mergeCell ref="B49:I49"/>
    <mergeCell ref="J49:N49"/>
    <mergeCell ref="AC22:AC23"/>
    <mergeCell ref="AD22:AD23"/>
    <mergeCell ref="AE22:AE23"/>
    <mergeCell ref="P31:Q31"/>
    <mergeCell ref="N27:N48"/>
    <mergeCell ref="Y22:Y23"/>
    <mergeCell ref="Z22:Z23"/>
    <mergeCell ref="AA22:AA23"/>
    <mergeCell ref="AB22:AB23"/>
    <mergeCell ref="P42:Q42"/>
    <mergeCell ref="P36:Q36"/>
    <mergeCell ref="H20:M20"/>
    <mergeCell ref="H21:M21"/>
    <mergeCell ref="B22:N22"/>
    <mergeCell ref="W22:W23"/>
    <mergeCell ref="X22:X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C5:F5"/>
    <mergeCell ref="K5:L5"/>
    <mergeCell ref="M5:N5"/>
    <mergeCell ref="M6:N6"/>
    <mergeCell ref="B10:N10"/>
    <mergeCell ref="B11:E11"/>
    <mergeCell ref="F11:G11"/>
    <mergeCell ref="I11:N11"/>
    <mergeCell ref="B7:K7"/>
    <mergeCell ref="L7:N7"/>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8"/>
  <sheetViews>
    <sheetView showGridLines="0" view="pageBreakPreview" topLeftCell="A8" zoomScaleNormal="100" zoomScaleSheetLayoutView="100" workbookViewId="0">
      <selection activeCell="B130" sqref="B130:N130"/>
    </sheetView>
  </sheetViews>
  <sheetFormatPr baseColWidth="10" defaultColWidth="5.85546875" defaultRowHeight="15.75" customHeight="1" x14ac:dyDescent="0.25"/>
  <cols>
    <col min="1" max="1" width="5" style="81" customWidth="1"/>
    <col min="2" max="2" width="5.85546875" style="81"/>
    <col min="3" max="3" width="18.8554687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5" t="s">
        <v>88</v>
      </c>
      <c r="C2" s="316"/>
      <c r="D2" s="316"/>
      <c r="E2" s="316"/>
      <c r="F2" s="316"/>
      <c r="G2" s="316"/>
      <c r="H2" s="316"/>
      <c r="I2" s="316"/>
      <c r="J2" s="316"/>
      <c r="K2" s="316"/>
      <c r="L2" s="316"/>
      <c r="M2" s="316"/>
      <c r="N2" s="31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1" t="s">
        <v>207</v>
      </c>
      <c r="C4" s="311"/>
      <c r="D4" s="311"/>
      <c r="E4" s="311"/>
      <c r="F4" s="383" t="str">
        <f>'EVALUACIÓN EXPERIENCIA'!$G$3</f>
        <v>CONSORCIO VENTURA &amp; CO</v>
      </c>
      <c r="G4" s="383"/>
      <c r="H4" s="383"/>
      <c r="I4" s="383"/>
      <c r="J4" s="383"/>
      <c r="K4" s="383"/>
      <c r="L4" s="383"/>
      <c r="M4" s="383"/>
      <c r="N4" s="383"/>
      <c r="U4" s="89"/>
      <c r="Y4" s="89"/>
      <c r="Z4" s="89"/>
      <c r="AA4" s="89"/>
    </row>
    <row r="5" spans="1:32" ht="12.75" x14ac:dyDescent="0.25">
      <c r="A5" s="88"/>
      <c r="B5" s="313" t="s">
        <v>208</v>
      </c>
      <c r="C5" s="313"/>
      <c r="D5" s="313"/>
      <c r="E5" s="313"/>
      <c r="F5" s="313"/>
      <c r="G5" s="313"/>
      <c r="H5" s="313"/>
      <c r="I5" s="313"/>
      <c r="J5" s="313"/>
      <c r="K5" s="313"/>
      <c r="L5" s="313"/>
      <c r="M5" s="313"/>
      <c r="N5" s="313"/>
      <c r="U5" s="89"/>
      <c r="Y5" s="89"/>
      <c r="Z5" s="89"/>
      <c r="AA5" s="89"/>
    </row>
    <row r="6" spans="1:32" ht="54.75" customHeight="1" x14ac:dyDescent="0.25">
      <c r="A6" s="88"/>
      <c r="B6" s="393" t="s">
        <v>209</v>
      </c>
      <c r="C6" s="393"/>
      <c r="D6" s="393"/>
      <c r="E6" s="393"/>
      <c r="F6" s="393"/>
      <c r="G6" s="87" t="s">
        <v>90</v>
      </c>
      <c r="H6" s="87" t="s">
        <v>91</v>
      </c>
      <c r="I6" s="87" t="s">
        <v>92</v>
      </c>
      <c r="J6" s="87" t="s">
        <v>93</v>
      </c>
      <c r="K6" s="394" t="s">
        <v>94</v>
      </c>
      <c r="L6" s="394"/>
      <c r="M6" s="394" t="s">
        <v>95</v>
      </c>
      <c r="N6" s="394"/>
      <c r="U6" s="89"/>
      <c r="Y6" s="89"/>
      <c r="Z6" s="89"/>
      <c r="AA6" s="89"/>
    </row>
    <row r="7" spans="1:32" ht="12.75" x14ac:dyDescent="0.25">
      <c r="A7" s="88"/>
      <c r="B7" s="92">
        <v>1</v>
      </c>
      <c r="C7" s="324" t="str">
        <f>'EVALUACIÓN EXPERIENCIA'!$A$29</f>
        <v>MARIA JOSE HERRERA GUZMAN</v>
      </c>
      <c r="D7" s="325"/>
      <c r="E7" s="325"/>
      <c r="F7" s="326"/>
      <c r="G7" s="93">
        <f>'EVALUACIÓN EXPERIENCIA'!$H$29</f>
        <v>0.5</v>
      </c>
      <c r="H7" s="94">
        <v>2478729241</v>
      </c>
      <c r="I7" s="94">
        <v>1807490596</v>
      </c>
      <c r="J7" s="94">
        <v>465993517</v>
      </c>
      <c r="K7" s="327">
        <v>6</v>
      </c>
      <c r="L7" s="328"/>
      <c r="M7" s="329">
        <f>427.08+5669509.33</f>
        <v>5669936.4100000001</v>
      </c>
      <c r="N7" s="330"/>
      <c r="U7" s="89"/>
      <c r="Y7" s="89"/>
      <c r="Z7" s="89"/>
      <c r="AA7" s="89"/>
    </row>
    <row r="8" spans="1:32" ht="12.75" x14ac:dyDescent="0.25">
      <c r="A8" s="88"/>
      <c r="B8" s="92">
        <v>2</v>
      </c>
      <c r="C8" s="324" t="str">
        <f>'EVALUACIÓN EXPERIENCIA'!$A$30</f>
        <v>VENTURA &amp; CO. SAS</v>
      </c>
      <c r="D8" s="325"/>
      <c r="E8" s="325"/>
      <c r="F8" s="326"/>
      <c r="G8" s="93">
        <f>'EVALUACIÓN EXPERIENCIA'!$H$30</f>
        <v>0.5</v>
      </c>
      <c r="H8" s="94">
        <v>1853045600</v>
      </c>
      <c r="I8" s="94">
        <v>1853045600</v>
      </c>
      <c r="J8" s="94">
        <v>926522800</v>
      </c>
      <c r="K8" s="395">
        <v>2</v>
      </c>
      <c r="L8" s="396"/>
      <c r="M8" s="329">
        <v>0</v>
      </c>
      <c r="N8" s="330"/>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13" t="str">
        <f>"CRP INTEGRANTE 1: "&amp;$C$7</f>
        <v>CRP INTEGRANTE 1: MARIA JOSE HERRERA GUZMAN</v>
      </c>
      <c r="C10" s="313"/>
      <c r="D10" s="313"/>
      <c r="E10" s="313"/>
      <c r="F10" s="313"/>
      <c r="G10" s="313"/>
      <c r="H10" s="313"/>
      <c r="I10" s="313"/>
      <c r="J10" s="313"/>
      <c r="K10" s="313"/>
      <c r="L10" s="397">
        <f>L69</f>
        <v>4703915621.4899998</v>
      </c>
      <c r="M10" s="313"/>
      <c r="N10" s="313"/>
      <c r="U10" s="89"/>
      <c r="Y10" s="89"/>
      <c r="Z10" s="89"/>
      <c r="AA10" s="89"/>
    </row>
    <row r="11" spans="1:32" ht="12.75" x14ac:dyDescent="0.25">
      <c r="A11" s="88"/>
      <c r="B11" s="313" t="str">
        <f>"CRP INTEGRANTE 2: "&amp;$C$8</f>
        <v>CRP INTEGRANTE 2: VENTURA &amp; CO. SAS</v>
      </c>
      <c r="C11" s="313"/>
      <c r="D11" s="313"/>
      <c r="E11" s="313"/>
      <c r="F11" s="313"/>
      <c r="G11" s="313"/>
      <c r="H11" s="313"/>
      <c r="I11" s="313"/>
      <c r="J11" s="313"/>
      <c r="K11" s="313"/>
      <c r="L11" s="397">
        <f>L120</f>
        <v>3335482080</v>
      </c>
      <c r="M11" s="313"/>
      <c r="N11" s="313"/>
      <c r="U11" s="89"/>
      <c r="Y11" s="89"/>
      <c r="Z11" s="89"/>
      <c r="AA11" s="89"/>
    </row>
    <row r="12" spans="1:32" ht="15.75" customHeight="1" x14ac:dyDescent="0.25">
      <c r="B12" s="313" t="str">
        <f>"TOTAL CRP PROPONENTE: "&amp;$F$4</f>
        <v>TOTAL CRP PROPONENTE: CONSORCIO VENTURA &amp; CO</v>
      </c>
      <c r="C12" s="313"/>
      <c r="D12" s="313"/>
      <c r="E12" s="313"/>
      <c r="F12" s="313"/>
      <c r="G12" s="313"/>
      <c r="H12" s="313"/>
      <c r="I12" s="313"/>
      <c r="J12" s="313"/>
      <c r="K12" s="313"/>
      <c r="L12" s="314">
        <f>SUM(L10:N11)</f>
        <v>8039397701.4899998</v>
      </c>
      <c r="M12" s="314"/>
      <c r="N12" s="314"/>
    </row>
    <row r="13" spans="1:32" ht="22.5" customHeight="1" x14ac:dyDescent="0.2">
      <c r="B13" s="320" t="str">
        <f>"CONDICIÓN DEL PROPONENTE: "&amp;$F$4</f>
        <v>CONDICIÓN DEL PROPONENTE: CONSORCIO VENTURA &amp; CO</v>
      </c>
      <c r="C13" s="321"/>
      <c r="D13" s="321"/>
      <c r="E13" s="321"/>
      <c r="F13" s="321"/>
      <c r="G13" s="321"/>
      <c r="H13" s="321"/>
      <c r="I13" s="321"/>
      <c r="J13" s="321"/>
      <c r="K13" s="322"/>
      <c r="L13" s="323" t="str">
        <f>IF(AND(IF(L122="CUMPLE",TRUE,FALSE),IF(L125="CUMPLE",TRUE,FALSE),IF(IF(L12&lt;I18,Q28,Q27)="CUMPLE",TRUE,FALSE))=TRUE,"CUMPLE",IF(OR(L122="",L125="")=TRUE,"PENDIENTE REVISIÓN","NO CUMPLE"))</f>
        <v>CUMPLE</v>
      </c>
      <c r="M13" s="323"/>
      <c r="N13" s="323"/>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11" t="s">
        <v>96</v>
      </c>
      <c r="C15" s="311"/>
      <c r="D15" s="311"/>
      <c r="E15" s="311"/>
      <c r="F15" s="311"/>
      <c r="G15" s="311"/>
      <c r="H15" s="311"/>
      <c r="I15" s="311"/>
      <c r="J15" s="311"/>
      <c r="K15" s="311"/>
      <c r="L15" s="311"/>
      <c r="M15" s="311"/>
      <c r="N15" s="311"/>
      <c r="P15" s="97"/>
      <c r="Q15" s="97"/>
      <c r="R15" s="97"/>
      <c r="S15" s="97"/>
      <c r="T15" s="97"/>
      <c r="U15" s="97"/>
      <c r="V15" s="97"/>
      <c r="X15" s="98"/>
      <c r="Y15" s="98"/>
      <c r="Z15" s="64"/>
      <c r="AB15" s="64"/>
      <c r="AC15" s="64"/>
      <c r="AD15" s="64"/>
      <c r="AE15" s="64"/>
      <c r="AF15" s="64"/>
    </row>
    <row r="16" spans="1:32" ht="15.75" customHeight="1" x14ac:dyDescent="0.2">
      <c r="B16" s="311" t="s">
        <v>97</v>
      </c>
      <c r="C16" s="311"/>
      <c r="D16" s="311"/>
      <c r="E16" s="311"/>
      <c r="F16" s="311" t="s">
        <v>98</v>
      </c>
      <c r="G16" s="311"/>
      <c r="H16" s="91" t="s">
        <v>99</v>
      </c>
      <c r="I16" s="312" t="s">
        <v>100</v>
      </c>
      <c r="J16" s="312"/>
      <c r="K16" s="312"/>
      <c r="L16" s="312"/>
      <c r="M16" s="312"/>
      <c r="N16" s="312"/>
      <c r="P16" s="97"/>
      <c r="Q16" s="97"/>
      <c r="R16" s="97"/>
      <c r="S16" s="97"/>
      <c r="T16" s="97"/>
      <c r="U16" s="97"/>
      <c r="V16" s="97"/>
      <c r="X16" s="98"/>
      <c r="Y16" s="98"/>
      <c r="Z16" s="64"/>
      <c r="AB16" s="64"/>
      <c r="AC16" s="64"/>
      <c r="AD16" s="64"/>
      <c r="AE16" s="64"/>
      <c r="AF16" s="64"/>
    </row>
    <row r="17" spans="2:33" ht="15.75" customHeight="1" x14ac:dyDescent="0.2">
      <c r="B17" s="333">
        <f>+'EVALUACIÓN EXPERIENCIA'!D5</f>
        <v>724761029</v>
      </c>
      <c r="C17" s="333"/>
      <c r="D17" s="333"/>
      <c r="E17" s="333"/>
      <c r="F17" s="333">
        <f>+B17*25%</f>
        <v>181190257.25</v>
      </c>
      <c r="G17" s="333"/>
      <c r="H17" s="100">
        <v>3</v>
      </c>
      <c r="I17" s="334">
        <f>IFERROR(ROUND(((B17-F17)/H17)*12,0),0)</f>
        <v>2174283087</v>
      </c>
      <c r="J17" s="334"/>
      <c r="K17" s="334"/>
      <c r="L17" s="334"/>
      <c r="M17" s="334"/>
      <c r="N17" s="334"/>
      <c r="P17" s="96"/>
      <c r="Q17" s="96"/>
      <c r="R17" s="96"/>
      <c r="S17" s="96"/>
      <c r="T17" s="96"/>
      <c r="U17" s="96"/>
      <c r="V17" s="96"/>
      <c r="X17" s="98"/>
      <c r="Y17" s="98"/>
      <c r="Z17" s="64"/>
      <c r="AB17" s="64"/>
      <c r="AC17" s="64"/>
      <c r="AD17" s="64"/>
      <c r="AE17" s="64"/>
      <c r="AF17" s="64"/>
    </row>
    <row r="18" spans="2:33" ht="12.75" x14ac:dyDescent="0.2">
      <c r="B18" s="335" t="s">
        <v>101</v>
      </c>
      <c r="C18" s="335"/>
      <c r="D18" s="335"/>
      <c r="E18" s="335"/>
      <c r="F18" s="335"/>
      <c r="G18" s="335"/>
      <c r="H18" s="335"/>
      <c r="I18" s="314">
        <f>SUM(I17:N17)</f>
        <v>2174283087</v>
      </c>
      <c r="J18" s="314"/>
      <c r="K18" s="314"/>
      <c r="L18" s="314"/>
      <c r="M18" s="314"/>
      <c r="N18" s="314"/>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72" t="str">
        <f>"INTEGRANTE 1: "&amp;$C$7</f>
        <v>INTEGRANTE 1: MARIA JOSE HERRERA GUZMAN</v>
      </c>
      <c r="C20" s="373"/>
      <c r="D20" s="373"/>
      <c r="E20" s="373"/>
      <c r="F20" s="373"/>
      <c r="G20" s="373"/>
      <c r="H20" s="373"/>
      <c r="I20" s="373"/>
      <c r="J20" s="373"/>
      <c r="K20" s="373"/>
      <c r="L20" s="373"/>
      <c r="M20" s="373"/>
      <c r="N20" s="374"/>
      <c r="P20" s="64"/>
      <c r="Q20" s="64"/>
      <c r="R20" s="64"/>
      <c r="S20" s="64"/>
      <c r="T20" s="64"/>
      <c r="U20" s="64"/>
      <c r="V20" s="64"/>
      <c r="W20" s="64"/>
      <c r="X20" s="64"/>
      <c r="Y20" s="64"/>
      <c r="Z20" s="64"/>
      <c r="AA20" s="64"/>
      <c r="AB20" s="64"/>
      <c r="AC20" s="64"/>
      <c r="AD20" s="64"/>
      <c r="AE20" s="64"/>
      <c r="AF20" s="64"/>
    </row>
    <row r="21" spans="2:33" ht="15.75" customHeight="1" thickBot="1" x14ac:dyDescent="0.3">
      <c r="B21" s="392" t="s">
        <v>102</v>
      </c>
      <c r="C21" s="392"/>
      <c r="D21" s="392"/>
      <c r="E21" s="392"/>
      <c r="F21" s="392"/>
      <c r="G21" s="392"/>
      <c r="H21" s="392"/>
      <c r="I21" s="336">
        <f>$G$7</f>
        <v>0.5</v>
      </c>
      <c r="J21" s="336"/>
      <c r="K21" s="336"/>
      <c r="L21" s="336"/>
      <c r="M21" s="336"/>
      <c r="N21" s="336"/>
      <c r="T21" s="337" t="s">
        <v>108</v>
      </c>
      <c r="U21" s="337"/>
      <c r="V21" s="338" t="str">
        <f>B20</f>
        <v>INTEGRANTE 1: MARIA JOSE HERRERA GUZMAN</v>
      </c>
      <c r="W21" s="339"/>
      <c r="X21" s="339"/>
      <c r="Y21" s="339"/>
      <c r="Z21" s="339"/>
      <c r="AA21" s="340"/>
    </row>
    <row r="22" spans="2:33" ht="15.75" customHeight="1" thickBot="1" x14ac:dyDescent="0.3">
      <c r="B22" s="311" t="s">
        <v>103</v>
      </c>
      <c r="C22" s="311"/>
      <c r="D22" s="311"/>
      <c r="E22" s="311"/>
      <c r="F22" s="311"/>
      <c r="G22" s="311"/>
      <c r="H22" s="311" t="s">
        <v>104</v>
      </c>
      <c r="I22" s="311"/>
      <c r="J22" s="311"/>
      <c r="K22" s="311"/>
      <c r="L22" s="311"/>
      <c r="M22" s="311"/>
      <c r="N22" s="91" t="s">
        <v>105</v>
      </c>
      <c r="Q22" s="103" t="s">
        <v>210</v>
      </c>
      <c r="T22" s="104" t="s">
        <v>111</v>
      </c>
      <c r="U22" s="105">
        <v>45614</v>
      </c>
      <c r="AA22" s="106"/>
      <c r="AC22" s="107"/>
      <c r="AE22" s="107"/>
    </row>
    <row r="23" spans="2:33" ht="13.5" thickBot="1" x14ac:dyDescent="0.3">
      <c r="B23" s="344"/>
      <c r="C23" s="345"/>
      <c r="D23" s="345"/>
      <c r="E23" s="345"/>
      <c r="F23" s="345"/>
      <c r="G23" s="346"/>
      <c r="H23" s="341" t="s">
        <v>106</v>
      </c>
      <c r="I23" s="341"/>
      <c r="J23" s="341"/>
      <c r="K23" s="341"/>
      <c r="L23" s="341"/>
      <c r="M23" s="341"/>
      <c r="N23" s="79">
        <v>120</v>
      </c>
      <c r="Q23" s="108">
        <v>1750905</v>
      </c>
      <c r="T23" s="109"/>
      <c r="U23" s="110"/>
      <c r="Y23" s="106"/>
      <c r="AA23" s="107"/>
      <c r="AB23" s="111"/>
      <c r="AE23" s="107"/>
    </row>
    <row r="24" spans="2:33" ht="12.75" x14ac:dyDescent="0.25">
      <c r="B24" s="347"/>
      <c r="C24" s="348"/>
      <c r="D24" s="348"/>
      <c r="E24" s="348"/>
      <c r="F24" s="348"/>
      <c r="G24" s="349"/>
      <c r="H24" s="341" t="s">
        <v>107</v>
      </c>
      <c r="I24" s="341"/>
      <c r="J24" s="341"/>
      <c r="K24" s="341"/>
      <c r="L24" s="341"/>
      <c r="M24" s="341"/>
      <c r="N24" s="79">
        <v>40</v>
      </c>
      <c r="Q24" s="112"/>
      <c r="T24" s="353" t="s">
        <v>113</v>
      </c>
      <c r="U24" s="342" t="s">
        <v>114</v>
      </c>
      <c r="V24" s="342" t="s">
        <v>115</v>
      </c>
      <c r="W24" s="342" t="s">
        <v>116</v>
      </c>
      <c r="X24" s="342" t="s">
        <v>117</v>
      </c>
      <c r="Y24" s="342" t="s">
        <v>118</v>
      </c>
      <c r="Z24" s="342" t="s">
        <v>119</v>
      </c>
      <c r="AA24" s="342" t="s">
        <v>120</v>
      </c>
      <c r="AB24" s="342" t="s">
        <v>121</v>
      </c>
      <c r="AC24" s="342" t="s">
        <v>122</v>
      </c>
      <c r="AD24" s="342" t="s">
        <v>123</v>
      </c>
      <c r="AE24" s="342" t="s">
        <v>124</v>
      </c>
    </row>
    <row r="25" spans="2:33" ht="13.5" thickBot="1" x14ac:dyDescent="0.3">
      <c r="B25" s="347"/>
      <c r="C25" s="348"/>
      <c r="D25" s="348"/>
      <c r="E25" s="348"/>
      <c r="F25" s="348"/>
      <c r="G25" s="349"/>
      <c r="H25" s="341" t="s">
        <v>109</v>
      </c>
      <c r="I25" s="341"/>
      <c r="J25" s="341"/>
      <c r="K25" s="341"/>
      <c r="L25" s="341"/>
      <c r="M25" s="341"/>
      <c r="N25" s="79">
        <v>40</v>
      </c>
      <c r="O25" s="119"/>
      <c r="Q25" s="112"/>
      <c r="T25" s="354"/>
      <c r="U25" s="343"/>
      <c r="V25" s="343"/>
      <c r="W25" s="343"/>
      <c r="X25" s="343"/>
      <c r="Y25" s="343"/>
      <c r="Z25" s="343"/>
      <c r="AA25" s="343"/>
      <c r="AB25" s="343"/>
      <c r="AC25" s="343"/>
      <c r="AD25" s="343"/>
      <c r="AE25" s="343"/>
    </row>
    <row r="26" spans="2:33" ht="15.75" customHeight="1" thickBot="1" x14ac:dyDescent="0.3">
      <c r="B26" s="350"/>
      <c r="C26" s="351"/>
      <c r="D26" s="351"/>
      <c r="E26" s="351"/>
      <c r="F26" s="351"/>
      <c r="G26" s="352"/>
      <c r="H26" s="311" t="s">
        <v>44</v>
      </c>
      <c r="I26" s="311"/>
      <c r="J26" s="311"/>
      <c r="K26" s="311"/>
      <c r="L26" s="311"/>
      <c r="M26" s="311"/>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398" t="s">
        <v>112</v>
      </c>
      <c r="C27" s="398"/>
      <c r="D27" s="398"/>
      <c r="E27" s="398"/>
      <c r="F27" s="398"/>
      <c r="G27" s="398"/>
      <c r="H27" s="398"/>
      <c r="I27" s="398"/>
      <c r="J27" s="398"/>
      <c r="K27" s="398"/>
      <c r="L27" s="398"/>
      <c r="M27" s="398"/>
      <c r="N27" s="398"/>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402" t="s">
        <v>125</v>
      </c>
      <c r="C28" s="403"/>
      <c r="D28" s="403"/>
      <c r="E28" s="403"/>
      <c r="F28" s="403"/>
      <c r="G28" s="403"/>
      <c r="H28" s="404"/>
      <c r="I28" s="399" t="s">
        <v>126</v>
      </c>
      <c r="J28" s="400"/>
      <c r="K28" s="400"/>
      <c r="L28" s="400"/>
      <c r="M28" s="400"/>
      <c r="N28" s="401"/>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405" t="s">
        <v>127</v>
      </c>
      <c r="C29" s="406"/>
      <c r="D29" s="406"/>
      <c r="E29" s="406"/>
      <c r="F29" s="406"/>
      <c r="G29" s="406"/>
      <c r="H29" s="407"/>
      <c r="I29" s="362">
        <f>IF($H$7&gt;$R$31,$H$7,$R$31)</f>
        <v>2478729241</v>
      </c>
      <c r="J29" s="363"/>
      <c r="K29" s="363"/>
      <c r="L29" s="363"/>
      <c r="M29" s="363"/>
      <c r="N29" s="364"/>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408" t="s">
        <v>129</v>
      </c>
      <c r="C30" s="408"/>
      <c r="D30" s="408"/>
      <c r="E30" s="408"/>
      <c r="F30" s="408"/>
      <c r="G30" s="408"/>
      <c r="H30" s="408"/>
      <c r="I30" s="408"/>
      <c r="J30" s="408"/>
      <c r="K30" s="408"/>
      <c r="L30" s="408"/>
      <c r="M30" s="408"/>
      <c r="N30" s="408"/>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1" t="s">
        <v>133</v>
      </c>
      <c r="C31" s="311"/>
      <c r="D31" s="311"/>
      <c r="E31" s="311"/>
      <c r="F31" s="311"/>
      <c r="G31" s="311"/>
      <c r="H31" s="311"/>
      <c r="I31" s="311"/>
      <c r="J31" s="311"/>
      <c r="K31" s="311"/>
      <c r="L31" s="311"/>
      <c r="M31" s="311"/>
      <c r="N31" s="311"/>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358"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v>212.55</v>
      </c>
      <c r="D33" s="123">
        <v>22</v>
      </c>
      <c r="E33" s="159">
        <v>595.77</v>
      </c>
      <c r="F33" s="123">
        <v>43</v>
      </c>
      <c r="G33" s="158"/>
      <c r="H33" s="123">
        <v>64</v>
      </c>
      <c r="I33" s="158"/>
      <c r="J33" s="123">
        <v>85</v>
      </c>
      <c r="K33" s="158"/>
      <c r="L33" s="123">
        <v>106</v>
      </c>
      <c r="M33" s="158"/>
      <c r="N33" s="359"/>
      <c r="P33" s="311" t="s">
        <v>146</v>
      </c>
      <c r="Q33" s="311"/>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v>219.75</v>
      </c>
      <c r="D34" s="123">
        <f>+D33+1</f>
        <v>23</v>
      </c>
      <c r="E34" s="159">
        <v>1264.71</v>
      </c>
      <c r="F34" s="123">
        <f>+F33+1</f>
        <v>44</v>
      </c>
      <c r="G34" s="158"/>
      <c r="H34" s="123">
        <f>+H33+1</f>
        <v>65</v>
      </c>
      <c r="I34" s="158"/>
      <c r="J34" s="123">
        <f>+J33+1</f>
        <v>86</v>
      </c>
      <c r="K34" s="158"/>
      <c r="L34" s="123">
        <f>+L33+1</f>
        <v>107</v>
      </c>
      <c r="M34" s="158"/>
      <c r="N34" s="359"/>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v>427.6</v>
      </c>
      <c r="D35" s="123">
        <f t="shared" ref="D35:L53" si="8">+D34+1</f>
        <v>24</v>
      </c>
      <c r="E35" s="159">
        <v>2228.38</v>
      </c>
      <c r="F35" s="123">
        <f t="shared" si="8"/>
        <v>45</v>
      </c>
      <c r="G35" s="158"/>
      <c r="H35" s="123">
        <f t="shared" si="8"/>
        <v>66</v>
      </c>
      <c r="I35" s="158"/>
      <c r="J35" s="123">
        <f t="shared" si="8"/>
        <v>87</v>
      </c>
      <c r="K35" s="158"/>
      <c r="L35" s="123">
        <f t="shared" si="8"/>
        <v>108</v>
      </c>
      <c r="M35" s="158"/>
      <c r="N35" s="359"/>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v>89.61</v>
      </c>
      <c r="D36" s="123">
        <f t="shared" si="8"/>
        <v>25</v>
      </c>
      <c r="E36" s="159">
        <f>516.76*0.75</f>
        <v>387.57</v>
      </c>
      <c r="F36" s="123">
        <f t="shared" si="8"/>
        <v>46</v>
      </c>
      <c r="G36" s="158"/>
      <c r="H36" s="123">
        <f t="shared" si="8"/>
        <v>67</v>
      </c>
      <c r="I36" s="158"/>
      <c r="J36" s="123">
        <f t="shared" si="8"/>
        <v>88</v>
      </c>
      <c r="K36" s="158"/>
      <c r="L36" s="123">
        <f t="shared" si="8"/>
        <v>109</v>
      </c>
      <c r="M36" s="158"/>
      <c r="N36" s="359"/>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f>603.7*0.75</f>
        <v>452.77500000000003</v>
      </c>
      <c r="D37" s="123">
        <f t="shared" si="8"/>
        <v>26</v>
      </c>
      <c r="E37" s="159">
        <f>406.02*0.5</f>
        <v>203.01</v>
      </c>
      <c r="F37" s="123">
        <f t="shared" si="8"/>
        <v>47</v>
      </c>
      <c r="G37" s="158"/>
      <c r="H37" s="123">
        <f t="shared" si="8"/>
        <v>68</v>
      </c>
      <c r="I37" s="158"/>
      <c r="J37" s="123">
        <f t="shared" si="8"/>
        <v>89</v>
      </c>
      <c r="K37" s="158"/>
      <c r="L37" s="123">
        <f t="shared" si="8"/>
        <v>110</v>
      </c>
      <c r="M37" s="158"/>
      <c r="N37" s="359"/>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f>143.08*0.5</f>
        <v>71.540000000000006</v>
      </c>
      <c r="D38" s="123">
        <f t="shared" si="8"/>
        <v>27</v>
      </c>
      <c r="E38" s="159">
        <f>686.47*0.5</f>
        <v>343.23500000000001</v>
      </c>
      <c r="F38" s="123">
        <f t="shared" si="8"/>
        <v>48</v>
      </c>
      <c r="G38" s="158"/>
      <c r="H38" s="123">
        <f t="shared" si="8"/>
        <v>69</v>
      </c>
      <c r="I38" s="158"/>
      <c r="J38" s="123">
        <f t="shared" si="8"/>
        <v>90</v>
      </c>
      <c r="K38" s="158"/>
      <c r="L38" s="123">
        <f t="shared" si="8"/>
        <v>111</v>
      </c>
      <c r="M38" s="158"/>
      <c r="N38" s="359"/>
      <c r="P38" s="311" t="s">
        <v>153</v>
      </c>
      <c r="Q38" s="311"/>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f>231.38*0.5</f>
        <v>115.69</v>
      </c>
      <c r="D39" s="123">
        <f t="shared" si="8"/>
        <v>28</v>
      </c>
      <c r="E39" s="159">
        <f>359.82*0.5</f>
        <v>179.91</v>
      </c>
      <c r="F39" s="123">
        <f t="shared" si="8"/>
        <v>49</v>
      </c>
      <c r="G39" s="158"/>
      <c r="H39" s="123">
        <f t="shared" si="8"/>
        <v>70</v>
      </c>
      <c r="I39" s="158"/>
      <c r="J39" s="123">
        <f t="shared" si="8"/>
        <v>91</v>
      </c>
      <c r="K39" s="158"/>
      <c r="L39" s="123">
        <f t="shared" si="8"/>
        <v>112</v>
      </c>
      <c r="M39" s="158"/>
      <c r="N39" s="359"/>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f>451.77*0.75</f>
        <v>338.82749999999999</v>
      </c>
      <c r="D40" s="123">
        <f t="shared" si="8"/>
        <v>29</v>
      </c>
      <c r="E40" s="159">
        <f>1661.44*0.5</f>
        <v>830.72</v>
      </c>
      <c r="F40" s="123">
        <f t="shared" si="8"/>
        <v>50</v>
      </c>
      <c r="G40" s="158"/>
      <c r="H40" s="123">
        <f t="shared" si="8"/>
        <v>71</v>
      </c>
      <c r="I40" s="158"/>
      <c r="J40" s="123">
        <f t="shared" si="8"/>
        <v>92</v>
      </c>
      <c r="K40" s="158"/>
      <c r="L40" s="123">
        <f t="shared" si="8"/>
        <v>113</v>
      </c>
      <c r="M40" s="158"/>
      <c r="N40" s="359"/>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f>424.29*0.45</f>
        <v>190.93050000000002</v>
      </c>
      <c r="D41" s="123">
        <f t="shared" si="8"/>
        <v>30</v>
      </c>
      <c r="E41" s="159">
        <f>382.98*0.5</f>
        <v>191.49</v>
      </c>
      <c r="F41" s="123">
        <f t="shared" si="8"/>
        <v>51</v>
      </c>
      <c r="G41" s="158"/>
      <c r="H41" s="123">
        <f t="shared" si="8"/>
        <v>72</v>
      </c>
      <c r="I41" s="158"/>
      <c r="J41" s="123">
        <f t="shared" si="8"/>
        <v>93</v>
      </c>
      <c r="K41" s="158"/>
      <c r="L41" s="123">
        <f t="shared" si="8"/>
        <v>114</v>
      </c>
      <c r="M41" s="158"/>
      <c r="N41" s="359"/>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f>988.76*0.75</f>
        <v>741.56999999999994</v>
      </c>
      <c r="D42" s="123">
        <f t="shared" si="8"/>
        <v>31</v>
      </c>
      <c r="E42" s="159">
        <f>230.21*0.5</f>
        <v>115.105</v>
      </c>
      <c r="F42" s="123">
        <f t="shared" si="8"/>
        <v>52</v>
      </c>
      <c r="G42" s="158"/>
      <c r="H42" s="123">
        <f t="shared" si="8"/>
        <v>73</v>
      </c>
      <c r="I42" s="158"/>
      <c r="J42" s="123">
        <f t="shared" si="8"/>
        <v>94</v>
      </c>
      <c r="K42" s="158"/>
      <c r="L42" s="123">
        <f t="shared" si="8"/>
        <v>115</v>
      </c>
      <c r="M42" s="158"/>
      <c r="N42" s="359"/>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v>310.48</v>
      </c>
      <c r="D43" s="123">
        <f t="shared" si="8"/>
        <v>32</v>
      </c>
      <c r="E43" s="158">
        <f>812.44*0.5</f>
        <v>406.22</v>
      </c>
      <c r="F43" s="123">
        <f t="shared" si="8"/>
        <v>53</v>
      </c>
      <c r="G43" s="158"/>
      <c r="H43" s="123">
        <f t="shared" si="8"/>
        <v>74</v>
      </c>
      <c r="I43" s="158"/>
      <c r="J43" s="123">
        <f t="shared" si="8"/>
        <v>95</v>
      </c>
      <c r="K43" s="158"/>
      <c r="L43" s="123">
        <f t="shared" si="8"/>
        <v>116</v>
      </c>
      <c r="M43" s="158"/>
      <c r="N43" s="359"/>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v>499.99</v>
      </c>
      <c r="D44" s="123">
        <f t="shared" si="8"/>
        <v>33</v>
      </c>
      <c r="E44" s="158">
        <f>1367.67*0.5</f>
        <v>683.83500000000004</v>
      </c>
      <c r="F44" s="123">
        <f t="shared" si="8"/>
        <v>54</v>
      </c>
      <c r="G44" s="158"/>
      <c r="H44" s="123">
        <f t="shared" si="8"/>
        <v>75</v>
      </c>
      <c r="I44" s="158"/>
      <c r="J44" s="123">
        <f t="shared" si="8"/>
        <v>96</v>
      </c>
      <c r="K44" s="158"/>
      <c r="L44" s="123">
        <f t="shared" si="8"/>
        <v>117</v>
      </c>
      <c r="M44" s="158"/>
      <c r="N44" s="359"/>
      <c r="P44" s="311" t="s">
        <v>160</v>
      </c>
      <c r="Q44" s="311"/>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f>103.45*0.5</f>
        <v>51.725000000000001</v>
      </c>
      <c r="D45" s="123">
        <f t="shared" si="8"/>
        <v>34</v>
      </c>
      <c r="E45" s="158">
        <f>2179.97*0.5</f>
        <v>1089.9849999999999</v>
      </c>
      <c r="F45" s="123">
        <f t="shared" si="8"/>
        <v>55</v>
      </c>
      <c r="G45" s="158"/>
      <c r="H45" s="123">
        <f t="shared" si="8"/>
        <v>76</v>
      </c>
      <c r="I45" s="158"/>
      <c r="J45" s="123">
        <f t="shared" si="8"/>
        <v>97</v>
      </c>
      <c r="K45" s="158"/>
      <c r="L45" s="123">
        <f t="shared" si="8"/>
        <v>118</v>
      </c>
      <c r="M45" s="158"/>
      <c r="N45" s="359"/>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f>67.76*0.5</f>
        <v>33.880000000000003</v>
      </c>
      <c r="D46" s="123">
        <f t="shared" si="8"/>
        <v>35</v>
      </c>
      <c r="E46" s="158">
        <f>470.61*0.5</f>
        <v>235.30500000000001</v>
      </c>
      <c r="F46" s="123">
        <f t="shared" si="8"/>
        <v>56</v>
      </c>
      <c r="G46" s="158"/>
      <c r="H46" s="123">
        <f t="shared" si="8"/>
        <v>77</v>
      </c>
      <c r="I46" s="158"/>
      <c r="J46" s="123">
        <f t="shared" si="8"/>
        <v>98</v>
      </c>
      <c r="K46" s="158"/>
      <c r="L46" s="123">
        <f t="shared" si="8"/>
        <v>119</v>
      </c>
      <c r="M46" s="158"/>
      <c r="N46" s="359"/>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v>528.04999999999995</v>
      </c>
      <c r="D47" s="123">
        <f t="shared" si="8"/>
        <v>36</v>
      </c>
      <c r="E47" s="158">
        <f>420.19*0.5</f>
        <v>210.095</v>
      </c>
      <c r="F47" s="123">
        <f t="shared" si="8"/>
        <v>57</v>
      </c>
      <c r="G47" s="158"/>
      <c r="H47" s="123">
        <f t="shared" si="8"/>
        <v>78</v>
      </c>
      <c r="I47" s="158"/>
      <c r="J47" s="123">
        <f t="shared" si="8"/>
        <v>99</v>
      </c>
      <c r="K47" s="158"/>
      <c r="L47" s="123">
        <f t="shared" si="8"/>
        <v>120</v>
      </c>
      <c r="M47" s="158"/>
      <c r="N47" s="359"/>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v>594.82000000000005</v>
      </c>
      <c r="D48" s="123">
        <f t="shared" si="8"/>
        <v>37</v>
      </c>
      <c r="E48" s="158">
        <f>477*0.5</f>
        <v>238.5</v>
      </c>
      <c r="F48" s="123">
        <f t="shared" si="8"/>
        <v>58</v>
      </c>
      <c r="G48" s="158"/>
      <c r="H48" s="123">
        <f t="shared" si="8"/>
        <v>79</v>
      </c>
      <c r="I48" s="158"/>
      <c r="J48" s="123">
        <f t="shared" si="8"/>
        <v>100</v>
      </c>
      <c r="K48" s="158"/>
      <c r="L48" s="123">
        <f t="shared" si="8"/>
        <v>121</v>
      </c>
      <c r="M48" s="158"/>
      <c r="N48" s="359"/>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v>610.48</v>
      </c>
      <c r="D49" s="123">
        <f t="shared" si="8"/>
        <v>38</v>
      </c>
      <c r="E49" s="158">
        <f>702.49*0.5</f>
        <v>351.245</v>
      </c>
      <c r="F49" s="123">
        <f t="shared" si="8"/>
        <v>59</v>
      </c>
      <c r="G49" s="158"/>
      <c r="H49" s="123">
        <f t="shared" si="8"/>
        <v>80</v>
      </c>
      <c r="I49" s="158"/>
      <c r="J49" s="123">
        <f t="shared" si="8"/>
        <v>101</v>
      </c>
      <c r="K49" s="158"/>
      <c r="L49" s="123">
        <f t="shared" si="8"/>
        <v>122</v>
      </c>
      <c r="M49" s="158"/>
      <c r="N49" s="359"/>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v>539.28</v>
      </c>
      <c r="D50" s="123">
        <f t="shared" si="8"/>
        <v>39</v>
      </c>
      <c r="E50" s="158">
        <f>712.29*0.5</f>
        <v>356.14499999999998</v>
      </c>
      <c r="F50" s="123">
        <f t="shared" si="8"/>
        <v>60</v>
      </c>
      <c r="G50" s="158"/>
      <c r="H50" s="123">
        <f t="shared" si="8"/>
        <v>81</v>
      </c>
      <c r="I50" s="158"/>
      <c r="J50" s="123">
        <f t="shared" si="8"/>
        <v>102</v>
      </c>
      <c r="K50" s="158"/>
      <c r="L50" s="123">
        <f t="shared" si="8"/>
        <v>123</v>
      </c>
      <c r="M50" s="158"/>
      <c r="N50" s="359"/>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v>546.14</v>
      </c>
      <c r="D51" s="123">
        <f t="shared" si="8"/>
        <v>40</v>
      </c>
      <c r="E51" s="158">
        <f>318.22*0.5</f>
        <v>159.11000000000001</v>
      </c>
      <c r="F51" s="123">
        <f t="shared" si="8"/>
        <v>61</v>
      </c>
      <c r="G51" s="158"/>
      <c r="H51" s="123">
        <f t="shared" si="8"/>
        <v>82</v>
      </c>
      <c r="I51" s="158"/>
      <c r="J51" s="123">
        <f t="shared" si="8"/>
        <v>103</v>
      </c>
      <c r="K51" s="158"/>
      <c r="L51" s="123">
        <f t="shared" si="8"/>
        <v>124</v>
      </c>
      <c r="M51" s="158"/>
      <c r="N51" s="359"/>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v>643.01</v>
      </c>
      <c r="D52" s="123">
        <f t="shared" si="8"/>
        <v>41</v>
      </c>
      <c r="E52" s="158">
        <f>408.38*0.5</f>
        <v>204.19</v>
      </c>
      <c r="F52" s="123">
        <f t="shared" si="8"/>
        <v>62</v>
      </c>
      <c r="G52" s="158"/>
      <c r="H52" s="123">
        <f t="shared" si="8"/>
        <v>83</v>
      </c>
      <c r="I52" s="158"/>
      <c r="J52" s="123">
        <f t="shared" si="8"/>
        <v>104</v>
      </c>
      <c r="K52" s="158"/>
      <c r="L52" s="123">
        <f t="shared" si="8"/>
        <v>125</v>
      </c>
      <c r="M52" s="158"/>
      <c r="N52" s="359"/>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v>1454.77</v>
      </c>
      <c r="D53" s="123">
        <f t="shared" si="8"/>
        <v>42</v>
      </c>
      <c r="E53" s="158"/>
      <c r="F53" s="123">
        <f t="shared" si="8"/>
        <v>63</v>
      </c>
      <c r="G53" s="158"/>
      <c r="H53" s="123">
        <f t="shared" si="8"/>
        <v>84</v>
      </c>
      <c r="I53" s="158"/>
      <c r="J53" s="123">
        <f t="shared" si="8"/>
        <v>105</v>
      </c>
      <c r="K53" s="158"/>
      <c r="L53" s="123">
        <f t="shared" si="8"/>
        <v>126</v>
      </c>
      <c r="M53" s="158"/>
      <c r="N53" s="360"/>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65" t="s">
        <v>167</v>
      </c>
      <c r="C54" s="365"/>
      <c r="D54" s="365"/>
      <c r="E54" s="365"/>
      <c r="F54" s="365"/>
      <c r="G54" s="365"/>
      <c r="H54" s="365"/>
      <c r="I54" s="365"/>
      <c r="J54" s="366">
        <f>SUM(C33:C53,G33:G53,K33:K53,E33:E53,I33:I53,K33:K53,M33:M53)</f>
        <v>18947.998</v>
      </c>
      <c r="K54" s="366"/>
      <c r="L54" s="366"/>
      <c r="M54" s="366"/>
      <c r="N54" s="366"/>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65" t="s">
        <v>169</v>
      </c>
      <c r="C55" s="365"/>
      <c r="D55" s="365"/>
      <c r="E55" s="365"/>
      <c r="F55" s="365"/>
      <c r="G55" s="365"/>
      <c r="H55" s="365"/>
      <c r="I55" s="365"/>
      <c r="J55" s="367">
        <f>$J$54*$Q$23</f>
        <v>33176144438.189999</v>
      </c>
      <c r="K55" s="367"/>
      <c r="L55" s="367"/>
      <c r="M55" s="367"/>
      <c r="N55" s="367"/>
      <c r="T55" s="113"/>
      <c r="U55" s="113"/>
      <c r="V55" s="114"/>
      <c r="W55" s="114"/>
      <c r="X55" s="114"/>
      <c r="Y55" s="115"/>
      <c r="Z55" s="116"/>
      <c r="AA55" s="117"/>
      <c r="AB55" s="118"/>
      <c r="AC55" s="118"/>
      <c r="AD55" s="118"/>
      <c r="AE55" s="117"/>
    </row>
    <row r="56" spans="2:31" ht="15.75" customHeight="1" thickBot="1" x14ac:dyDescent="0.25">
      <c r="B56" s="365" t="s">
        <v>171</v>
      </c>
      <c r="C56" s="365"/>
      <c r="D56" s="365"/>
      <c r="E56" s="365"/>
      <c r="F56" s="365"/>
      <c r="G56" s="365"/>
      <c r="H56" s="365"/>
      <c r="I56" s="365"/>
      <c r="J56" s="311">
        <f>IFERROR($J$55/(($B$17)*I21),0)</f>
        <v>91.55057490871242</v>
      </c>
      <c r="K56" s="311"/>
      <c r="L56" s="311"/>
      <c r="M56" s="311"/>
      <c r="N56" s="311"/>
      <c r="T56" s="113">
        <f>T54+1</f>
        <v>30</v>
      </c>
      <c r="U56" s="113" t="s">
        <v>178</v>
      </c>
      <c r="V56" s="114"/>
      <c r="W56" s="114">
        <f>W54</f>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65" t="s">
        <v>173</v>
      </c>
      <c r="C57" s="365"/>
      <c r="D57" s="365"/>
      <c r="E57" s="365"/>
      <c r="F57" s="365"/>
      <c r="G57" s="365"/>
      <c r="H57" s="365"/>
      <c r="I57" s="365"/>
      <c r="J57" s="365"/>
      <c r="K57" s="365"/>
      <c r="L57" s="369">
        <f>IF(J56&gt;P37,R37,IF(J56&gt;P36,R36,IF(J56&gt;P35,R35,R34)))</f>
        <v>120</v>
      </c>
      <c r="M57" s="369"/>
      <c r="N57" s="369"/>
      <c r="O57" s="125"/>
      <c r="T57" s="113">
        <f t="shared" si="2"/>
        <v>31</v>
      </c>
      <c r="U57" s="113" t="s">
        <v>180</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3">
      <c r="B58" s="311" t="s">
        <v>175</v>
      </c>
      <c r="C58" s="311"/>
      <c r="D58" s="311"/>
      <c r="E58" s="311"/>
      <c r="F58" s="311"/>
      <c r="G58" s="311"/>
      <c r="H58" s="311"/>
      <c r="I58" s="311"/>
      <c r="J58" s="311"/>
      <c r="K58" s="311"/>
      <c r="L58" s="311"/>
      <c r="M58" s="311"/>
      <c r="N58" s="311"/>
      <c r="O58" s="125"/>
      <c r="T58" s="113">
        <f t="shared" si="2"/>
        <v>32</v>
      </c>
      <c r="U58" s="113" t="s">
        <v>182</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44"/>
      <c r="C59" s="345"/>
      <c r="D59" s="345"/>
      <c r="E59" s="345"/>
      <c r="F59" s="345"/>
      <c r="G59" s="346"/>
      <c r="H59" s="370" t="s">
        <v>177</v>
      </c>
      <c r="I59" s="370"/>
      <c r="J59" s="370"/>
      <c r="K59" s="370"/>
      <c r="L59" s="333">
        <f>$I$7</f>
        <v>1807490596</v>
      </c>
      <c r="M59" s="333"/>
      <c r="N59" s="333"/>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47"/>
      <c r="C60" s="348"/>
      <c r="D60" s="348"/>
      <c r="E60" s="348"/>
      <c r="F60" s="348"/>
      <c r="G60" s="349"/>
      <c r="H60" s="370" t="s">
        <v>179</v>
      </c>
      <c r="I60" s="370"/>
      <c r="J60" s="370"/>
      <c r="K60" s="370"/>
      <c r="L60" s="333">
        <f>$J$7</f>
        <v>465993517</v>
      </c>
      <c r="M60" s="333"/>
      <c r="N60" s="333"/>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50"/>
      <c r="C61" s="351"/>
      <c r="D61" s="351"/>
      <c r="E61" s="351"/>
      <c r="F61" s="351"/>
      <c r="G61" s="352"/>
      <c r="H61" s="365" t="s">
        <v>181</v>
      </c>
      <c r="I61" s="365"/>
      <c r="J61" s="365"/>
      <c r="K61" s="365"/>
      <c r="L61" s="371">
        <f>IFERROR(ROUND(L59/L60,2),0)</f>
        <v>3.88</v>
      </c>
      <c r="M61" s="371"/>
      <c r="N61" s="371"/>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65" t="s">
        <v>183</v>
      </c>
      <c r="C62" s="365"/>
      <c r="D62" s="365"/>
      <c r="E62" s="365"/>
      <c r="F62" s="365"/>
      <c r="G62" s="365"/>
      <c r="H62" s="365"/>
      <c r="I62" s="365"/>
      <c r="J62" s="365"/>
      <c r="K62" s="365"/>
      <c r="L62" s="369">
        <f>IF(L61&gt;P43,R43,IF(L61&gt;P42,R42,IF(L61&gt;P41,R41,IF(L61&gt;P40,R40,R39))))</f>
        <v>40</v>
      </c>
      <c r="M62" s="369"/>
      <c r="N62" s="369"/>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1" t="s">
        <v>185</v>
      </c>
      <c r="C63" s="311"/>
      <c r="D63" s="311"/>
      <c r="E63" s="311"/>
      <c r="F63" s="311"/>
      <c r="G63" s="311"/>
      <c r="H63" s="311"/>
      <c r="I63" s="311"/>
      <c r="J63" s="311"/>
      <c r="K63" s="311"/>
      <c r="L63" s="311"/>
      <c r="M63" s="311"/>
      <c r="N63" s="311"/>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3">
      <c r="B64" s="375" t="s">
        <v>94</v>
      </c>
      <c r="C64" s="375"/>
      <c r="D64" s="375"/>
      <c r="E64" s="375"/>
      <c r="F64" s="375"/>
      <c r="G64" s="375"/>
      <c r="H64" s="375"/>
      <c r="I64" s="375"/>
      <c r="J64" s="375"/>
      <c r="K64" s="375"/>
      <c r="L64" s="375"/>
      <c r="M64" s="368">
        <f>$K$7</f>
        <v>6</v>
      </c>
      <c r="N64" s="368"/>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65" t="s">
        <v>188</v>
      </c>
      <c r="C65" s="365"/>
      <c r="D65" s="365"/>
      <c r="E65" s="365"/>
      <c r="F65" s="365"/>
      <c r="G65" s="365"/>
      <c r="H65" s="365"/>
      <c r="I65" s="365"/>
      <c r="J65" s="365"/>
      <c r="K65" s="365"/>
      <c r="L65" s="369">
        <f>IF(M64&gt;P48,R48,IF(M64&gt;P47,R47,IF(M64&gt;P46,R46,R45)))</f>
        <v>30</v>
      </c>
      <c r="M65" s="369"/>
      <c r="N65" s="369"/>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65" t="str">
        <f>"CAPACIDAD DE CONTRATACIÓN INTEGRANTE 1: "&amp;$F$20</f>
        <v xml:space="preserve">CAPACIDAD DE CONTRATACIÓN INTEGRANTE 1: </v>
      </c>
      <c r="C67" s="365"/>
      <c r="D67" s="365"/>
      <c r="E67" s="365"/>
      <c r="F67" s="365"/>
      <c r="G67" s="365"/>
      <c r="H67" s="365"/>
      <c r="I67" s="365"/>
      <c r="J67" s="365"/>
      <c r="K67" s="365"/>
      <c r="L67" s="314">
        <f>I29*((L57+L62+L65)/100)</f>
        <v>4709585557.8999996</v>
      </c>
      <c r="M67" s="314"/>
      <c r="N67" s="314"/>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65" t="str">
        <f>"SALDO DE LOS CONTRATOS EN EJECUCIÓN INTEGRANTE 1: "&amp;$F$20</f>
        <v xml:space="preserve">SALDO DE LOS CONTRATOS EN EJECUCIÓN INTEGRANTE 1: </v>
      </c>
      <c r="C68" s="365"/>
      <c r="D68" s="365"/>
      <c r="E68" s="365"/>
      <c r="F68" s="365"/>
      <c r="G68" s="365"/>
      <c r="H68" s="365"/>
      <c r="I68" s="365"/>
      <c r="J68" s="365"/>
      <c r="K68" s="365"/>
      <c r="L68" s="314">
        <f>$M$7</f>
        <v>5669936.4100000001</v>
      </c>
      <c r="M68" s="314"/>
      <c r="N68" s="314"/>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365" t="str">
        <f>"CAPACIDAD RESIDUAL DE CONTRATACIÓN INTEGRANTE 1: "&amp;$F$20</f>
        <v xml:space="preserve">CAPACIDAD RESIDUAL DE CONTRATACIÓN INTEGRANTE 1: </v>
      </c>
      <c r="C69" s="365"/>
      <c r="D69" s="365"/>
      <c r="E69" s="365"/>
      <c r="F69" s="365"/>
      <c r="G69" s="365"/>
      <c r="H69" s="365"/>
      <c r="I69" s="365"/>
      <c r="J69" s="365"/>
      <c r="K69" s="365"/>
      <c r="L69" s="314">
        <f>L67-L68</f>
        <v>4703915621.4899998</v>
      </c>
      <c r="M69" s="314"/>
      <c r="N69" s="314"/>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thickBot="1" x14ac:dyDescent="0.25">
      <c r="B70" s="127"/>
      <c r="C70" s="127"/>
      <c r="D70" s="127"/>
      <c r="E70" s="127"/>
      <c r="F70" s="127"/>
      <c r="G70" s="127"/>
      <c r="H70" s="127"/>
      <c r="I70" s="127"/>
      <c r="J70" s="127"/>
      <c r="K70" s="127"/>
      <c r="L70" s="128"/>
      <c r="M70" s="128"/>
      <c r="N70" s="128"/>
      <c r="Z70" s="376" t="s">
        <v>199</v>
      </c>
      <c r="AA70" s="376"/>
      <c r="AB70" s="376"/>
      <c r="AC70" s="376"/>
      <c r="AD70" s="376"/>
      <c r="AE70" s="126">
        <f>SUM(AE26:AE69)</f>
        <v>2921045560</v>
      </c>
    </row>
    <row r="71" spans="2:31" ht="15.75" customHeight="1" x14ac:dyDescent="0.25">
      <c r="B71" s="372" t="str">
        <f>"INTEGRANTE 2: "&amp;$C$8</f>
        <v>INTEGRANTE 2: VENTURA &amp; CO. SAS</v>
      </c>
      <c r="C71" s="373"/>
      <c r="D71" s="373"/>
      <c r="E71" s="373"/>
      <c r="F71" s="373"/>
      <c r="G71" s="373"/>
      <c r="H71" s="373"/>
      <c r="I71" s="373"/>
      <c r="J71" s="373"/>
      <c r="K71" s="373"/>
      <c r="L71" s="373"/>
      <c r="M71" s="373"/>
      <c r="N71" s="374"/>
    </row>
    <row r="72" spans="2:31" ht="15.75" customHeight="1" thickBot="1" x14ac:dyDescent="0.25">
      <c r="B72" s="314" t="s">
        <v>102</v>
      </c>
      <c r="C72" s="314"/>
      <c r="D72" s="314"/>
      <c r="E72" s="314"/>
      <c r="F72" s="314"/>
      <c r="G72" s="314"/>
      <c r="H72" s="314"/>
      <c r="I72" s="336">
        <f>$G$8</f>
        <v>0.5</v>
      </c>
      <c r="J72" s="336"/>
      <c r="K72" s="336"/>
      <c r="L72" s="336"/>
      <c r="M72" s="336"/>
      <c r="N72" s="336"/>
      <c r="P72" s="64"/>
    </row>
    <row r="73" spans="2:31" ht="15.75" customHeight="1" thickBot="1" x14ac:dyDescent="0.3">
      <c r="B73" s="311" t="s">
        <v>103</v>
      </c>
      <c r="C73" s="311"/>
      <c r="D73" s="311"/>
      <c r="E73" s="311"/>
      <c r="F73" s="311"/>
      <c r="G73" s="311"/>
      <c r="H73" s="311" t="s">
        <v>104</v>
      </c>
      <c r="I73" s="311"/>
      <c r="J73" s="311"/>
      <c r="K73" s="311"/>
      <c r="L73" s="311"/>
      <c r="M73" s="311"/>
      <c r="N73" s="91" t="s">
        <v>105</v>
      </c>
      <c r="T73" s="337" t="s">
        <v>108</v>
      </c>
      <c r="U73" s="337"/>
      <c r="V73" s="338" t="str">
        <f>B71</f>
        <v>INTEGRANTE 2: VENTURA &amp; CO. SAS</v>
      </c>
      <c r="W73" s="339"/>
      <c r="X73" s="339"/>
      <c r="Y73" s="339"/>
      <c r="Z73" s="339"/>
      <c r="AA73" s="340"/>
    </row>
    <row r="74" spans="2:31" ht="15.75" customHeight="1" thickBot="1" x14ac:dyDescent="0.3">
      <c r="B74" s="344"/>
      <c r="C74" s="345"/>
      <c r="D74" s="345"/>
      <c r="E74" s="345"/>
      <c r="F74" s="345"/>
      <c r="G74" s="346"/>
      <c r="H74" s="341" t="s">
        <v>106</v>
      </c>
      <c r="I74" s="341"/>
      <c r="J74" s="341"/>
      <c r="K74" s="341"/>
      <c r="L74" s="341"/>
      <c r="M74" s="341"/>
      <c r="N74" s="79">
        <v>120</v>
      </c>
      <c r="T74" s="104" t="s">
        <v>111</v>
      </c>
      <c r="U74" s="129">
        <f>U22</f>
        <v>45614</v>
      </c>
    </row>
    <row r="75" spans="2:31" ht="15.75" customHeight="1" thickBot="1" x14ac:dyDescent="0.3">
      <c r="B75" s="347"/>
      <c r="C75" s="348"/>
      <c r="D75" s="348"/>
      <c r="E75" s="348"/>
      <c r="F75" s="348"/>
      <c r="G75" s="349"/>
      <c r="H75" s="341" t="s">
        <v>107</v>
      </c>
      <c r="I75" s="341"/>
      <c r="J75" s="341"/>
      <c r="K75" s="341"/>
      <c r="L75" s="341"/>
      <c r="M75" s="341"/>
      <c r="N75" s="79">
        <v>40</v>
      </c>
      <c r="T75" s="109"/>
      <c r="U75" s="110"/>
    </row>
    <row r="76" spans="2:31" ht="18.75" customHeight="1" x14ac:dyDescent="0.25">
      <c r="B76" s="347"/>
      <c r="C76" s="348"/>
      <c r="D76" s="348"/>
      <c r="E76" s="348"/>
      <c r="F76" s="348"/>
      <c r="G76" s="349"/>
      <c r="H76" s="341" t="s">
        <v>109</v>
      </c>
      <c r="I76" s="341"/>
      <c r="J76" s="341"/>
      <c r="K76" s="341"/>
      <c r="L76" s="341"/>
      <c r="M76" s="341"/>
      <c r="N76" s="79">
        <v>40</v>
      </c>
      <c r="O76" s="119"/>
      <c r="Q76" s="103" t="s">
        <v>210</v>
      </c>
      <c r="T76" s="353" t="s">
        <v>113</v>
      </c>
      <c r="U76" s="342" t="s">
        <v>114</v>
      </c>
      <c r="V76" s="342" t="s">
        <v>115</v>
      </c>
      <c r="W76" s="342" t="s">
        <v>116</v>
      </c>
      <c r="X76" s="342" t="s">
        <v>117</v>
      </c>
      <c r="Y76" s="342" t="s">
        <v>118</v>
      </c>
      <c r="Z76" s="342" t="s">
        <v>119</v>
      </c>
      <c r="AA76" s="342" t="s">
        <v>120</v>
      </c>
      <c r="AB76" s="342" t="s">
        <v>121</v>
      </c>
      <c r="AC76" s="342" t="s">
        <v>122</v>
      </c>
      <c r="AD76" s="342" t="s">
        <v>123</v>
      </c>
      <c r="AE76" s="342" t="s">
        <v>124</v>
      </c>
    </row>
    <row r="77" spans="2:31" ht="15.75" customHeight="1" thickBot="1" x14ac:dyDescent="0.3">
      <c r="B77" s="350"/>
      <c r="C77" s="351"/>
      <c r="D77" s="351"/>
      <c r="E77" s="351"/>
      <c r="F77" s="351"/>
      <c r="G77" s="352"/>
      <c r="H77" s="311" t="s">
        <v>44</v>
      </c>
      <c r="I77" s="311"/>
      <c r="J77" s="311"/>
      <c r="K77" s="311"/>
      <c r="L77" s="311"/>
      <c r="M77" s="311"/>
      <c r="N77" s="79">
        <f>SUM(N74:N76)</f>
        <v>200</v>
      </c>
      <c r="O77" s="119"/>
      <c r="Q77" s="108">
        <v>1423500</v>
      </c>
      <c r="T77" s="354"/>
      <c r="U77" s="343"/>
      <c r="V77" s="343"/>
      <c r="W77" s="343"/>
      <c r="X77" s="343"/>
      <c r="Y77" s="343"/>
      <c r="Z77" s="343"/>
      <c r="AA77" s="343"/>
      <c r="AB77" s="343"/>
      <c r="AC77" s="343"/>
      <c r="AD77" s="343"/>
      <c r="AE77" s="343"/>
    </row>
    <row r="78" spans="2:31" ht="15.75" customHeight="1" thickBot="1" x14ac:dyDescent="0.3">
      <c r="B78" s="311" t="s">
        <v>211</v>
      </c>
      <c r="C78" s="311"/>
      <c r="D78" s="311"/>
      <c r="E78" s="311"/>
      <c r="F78" s="311"/>
      <c r="G78" s="311"/>
      <c r="H78" s="311"/>
      <c r="I78" s="311"/>
      <c r="J78" s="311"/>
      <c r="K78" s="311"/>
      <c r="L78" s="311"/>
      <c r="M78" s="311"/>
      <c r="N78" s="311"/>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thickBot="1" x14ac:dyDescent="0.3">
      <c r="B79" s="389" t="s">
        <v>125</v>
      </c>
      <c r="C79" s="390"/>
      <c r="D79" s="390"/>
      <c r="E79" s="390"/>
      <c r="F79" s="390"/>
      <c r="G79" s="390"/>
      <c r="H79" s="391"/>
      <c r="I79" s="320" t="s">
        <v>126</v>
      </c>
      <c r="J79" s="321"/>
      <c r="K79" s="321"/>
      <c r="L79" s="321"/>
      <c r="M79" s="321"/>
      <c r="N79" s="322"/>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thickBot="1" x14ac:dyDescent="0.3">
      <c r="B80" s="386" t="s">
        <v>127</v>
      </c>
      <c r="C80" s="387"/>
      <c r="D80" s="387"/>
      <c r="E80" s="387"/>
      <c r="F80" s="387"/>
      <c r="G80" s="387"/>
      <c r="H80" s="388"/>
      <c r="I80" s="362">
        <f>IF($H$8&gt;$R$31,$H$8,$R$31)</f>
        <v>1853045600</v>
      </c>
      <c r="J80" s="363"/>
      <c r="K80" s="363"/>
      <c r="L80" s="363"/>
      <c r="M80" s="363"/>
      <c r="N80" s="364"/>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1" t="s">
        <v>212</v>
      </c>
      <c r="C81" s="311"/>
      <c r="D81" s="311"/>
      <c r="E81" s="311"/>
      <c r="F81" s="311"/>
      <c r="G81" s="311"/>
      <c r="H81" s="311"/>
      <c r="I81" s="311"/>
      <c r="J81" s="311"/>
      <c r="K81" s="311"/>
      <c r="L81" s="311"/>
      <c r="M81" s="311"/>
      <c r="N81" s="311"/>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11" t="s">
        <v>133</v>
      </c>
      <c r="C82" s="311"/>
      <c r="D82" s="311"/>
      <c r="E82" s="311"/>
      <c r="F82" s="311"/>
      <c r="G82" s="311"/>
      <c r="H82" s="311"/>
      <c r="I82" s="311"/>
      <c r="J82" s="311"/>
      <c r="K82" s="311"/>
      <c r="L82" s="311"/>
      <c r="M82" s="311"/>
      <c r="N82" s="311"/>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2" t="s">
        <v>135</v>
      </c>
      <c r="C83" s="160" t="s">
        <v>136</v>
      </c>
      <c r="D83" s="122" t="s">
        <v>135</v>
      </c>
      <c r="E83" s="160" t="s">
        <v>136</v>
      </c>
      <c r="F83" s="122" t="s">
        <v>135</v>
      </c>
      <c r="G83" s="160" t="s">
        <v>136</v>
      </c>
      <c r="H83" s="122" t="s">
        <v>135</v>
      </c>
      <c r="I83" s="160" t="s">
        <v>136</v>
      </c>
      <c r="J83" s="122" t="s">
        <v>135</v>
      </c>
      <c r="K83" s="160" t="s">
        <v>136</v>
      </c>
      <c r="L83" s="122" t="s">
        <v>135</v>
      </c>
      <c r="M83" s="160" t="s">
        <v>136</v>
      </c>
      <c r="N83" s="358" t="s">
        <v>137</v>
      </c>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v>1</v>
      </c>
      <c r="C84" s="159">
        <v>212.55</v>
      </c>
      <c r="D84" s="123">
        <v>22</v>
      </c>
      <c r="E84" s="159">
        <v>1661.44</v>
      </c>
      <c r="F84" s="123">
        <v>43</v>
      </c>
      <c r="G84" s="158"/>
      <c r="H84" s="123">
        <v>64</v>
      </c>
      <c r="I84" s="158"/>
      <c r="J84" s="123">
        <v>85</v>
      </c>
      <c r="K84" s="158"/>
      <c r="L84" s="123">
        <v>106</v>
      </c>
      <c r="M84" s="158"/>
      <c r="N84" s="359"/>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+B84+1</f>
        <v>2</v>
      </c>
      <c r="C85" s="159">
        <v>219.75</v>
      </c>
      <c r="D85" s="123">
        <f>+D84+1</f>
        <v>23</v>
      </c>
      <c r="E85" s="159">
        <v>595.77</v>
      </c>
      <c r="F85" s="123">
        <f>+F84+1</f>
        <v>44</v>
      </c>
      <c r="G85" s="158"/>
      <c r="H85" s="123">
        <f>+H84+1</f>
        <v>65</v>
      </c>
      <c r="I85" s="158"/>
      <c r="J85" s="123">
        <f>+J84+1</f>
        <v>86</v>
      </c>
      <c r="K85" s="158"/>
      <c r="L85" s="123">
        <f>+L84+1</f>
        <v>107</v>
      </c>
      <c r="M85" s="158"/>
      <c r="N85" s="359"/>
      <c r="P85" s="311" t="s">
        <v>146</v>
      </c>
      <c r="Q85" s="311"/>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ref="B86:B104" si="16">+B85+1</f>
        <v>3</v>
      </c>
      <c r="C86" s="159">
        <v>516.76</v>
      </c>
      <c r="D86" s="123">
        <f t="shared" ref="D86:L104" si="17">+D85+1</f>
        <v>24</v>
      </c>
      <c r="E86" s="159">
        <v>546.14</v>
      </c>
      <c r="F86" s="123">
        <f t="shared" si="17"/>
        <v>45</v>
      </c>
      <c r="G86" s="158"/>
      <c r="H86" s="123">
        <f t="shared" si="17"/>
        <v>66</v>
      </c>
      <c r="I86" s="158"/>
      <c r="J86" s="123">
        <f t="shared" si="17"/>
        <v>87</v>
      </c>
      <c r="K86" s="158"/>
      <c r="L86" s="123">
        <f t="shared" si="17"/>
        <v>108</v>
      </c>
      <c r="M86" s="158"/>
      <c r="N86" s="359"/>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4</v>
      </c>
      <c r="C87" s="159">
        <v>643.01</v>
      </c>
      <c r="D87" s="123">
        <f t="shared" si="17"/>
        <v>25</v>
      </c>
      <c r="E87" s="159">
        <v>310.49</v>
      </c>
      <c r="F87" s="123">
        <f t="shared" si="17"/>
        <v>46</v>
      </c>
      <c r="G87" s="158"/>
      <c r="H87" s="123">
        <f t="shared" si="17"/>
        <v>67</v>
      </c>
      <c r="I87" s="158"/>
      <c r="J87" s="123">
        <f t="shared" si="17"/>
        <v>88</v>
      </c>
      <c r="K87" s="158"/>
      <c r="L87" s="123">
        <f t="shared" si="17"/>
        <v>109</v>
      </c>
      <c r="M87" s="158"/>
      <c r="N87" s="359"/>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5</v>
      </c>
      <c r="C88" s="159">
        <v>1367.67</v>
      </c>
      <c r="D88" s="123">
        <f t="shared" si="17"/>
        <v>26</v>
      </c>
      <c r="E88" s="159">
        <f>988.76*0.75</f>
        <v>741.56999999999994</v>
      </c>
      <c r="F88" s="123">
        <f t="shared" si="17"/>
        <v>47</v>
      </c>
      <c r="G88" s="158"/>
      <c r="H88" s="123">
        <f t="shared" si="17"/>
        <v>68</v>
      </c>
      <c r="I88" s="158"/>
      <c r="J88" s="123">
        <f t="shared" si="17"/>
        <v>89</v>
      </c>
      <c r="K88" s="158"/>
      <c r="L88" s="123">
        <f t="shared" si="17"/>
        <v>110</v>
      </c>
      <c r="M88" s="158"/>
      <c r="N88" s="359"/>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6</v>
      </c>
      <c r="C89" s="159">
        <v>470.61</v>
      </c>
      <c r="D89" s="123">
        <f t="shared" si="17"/>
        <v>27</v>
      </c>
      <c r="E89" s="159">
        <v>1454.77</v>
      </c>
      <c r="F89" s="123">
        <f t="shared" si="17"/>
        <v>48</v>
      </c>
      <c r="G89" s="158"/>
      <c r="H89" s="123">
        <f t="shared" si="17"/>
        <v>69</v>
      </c>
      <c r="I89" s="158"/>
      <c r="J89" s="123">
        <f t="shared" si="17"/>
        <v>90</v>
      </c>
      <c r="K89" s="158"/>
      <c r="L89" s="123">
        <f t="shared" si="17"/>
        <v>111</v>
      </c>
      <c r="M89" s="158"/>
      <c r="N89" s="359"/>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7</v>
      </c>
      <c r="C90" s="159">
        <f>686.47*0.5</f>
        <v>343.23500000000001</v>
      </c>
      <c r="D90" s="123">
        <f t="shared" si="17"/>
        <v>28</v>
      </c>
      <c r="E90" s="159">
        <v>477</v>
      </c>
      <c r="F90" s="123">
        <f t="shared" si="17"/>
        <v>49</v>
      </c>
      <c r="G90" s="158"/>
      <c r="H90" s="123">
        <f t="shared" si="17"/>
        <v>70</v>
      </c>
      <c r="I90" s="158"/>
      <c r="J90" s="123">
        <f t="shared" si="17"/>
        <v>91</v>
      </c>
      <c r="K90" s="158"/>
      <c r="L90" s="123">
        <f t="shared" si="17"/>
        <v>112</v>
      </c>
      <c r="M90" s="158"/>
      <c r="N90" s="359"/>
      <c r="P90" s="311" t="s">
        <v>153</v>
      </c>
      <c r="Q90" s="311"/>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8</v>
      </c>
      <c r="C91" s="159">
        <f>2179.97*0.5</f>
        <v>1089.9849999999999</v>
      </c>
      <c r="D91" s="123">
        <f t="shared" si="17"/>
        <v>29</v>
      </c>
      <c r="E91" s="159">
        <v>2228.38</v>
      </c>
      <c r="F91" s="123">
        <f t="shared" si="17"/>
        <v>50</v>
      </c>
      <c r="G91" s="158"/>
      <c r="H91" s="123">
        <f t="shared" si="17"/>
        <v>71</v>
      </c>
      <c r="I91" s="158"/>
      <c r="J91" s="123">
        <f t="shared" si="17"/>
        <v>92</v>
      </c>
      <c r="K91" s="158"/>
      <c r="L91" s="123">
        <f t="shared" si="17"/>
        <v>113</v>
      </c>
      <c r="M91" s="158"/>
      <c r="N91" s="359"/>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9</v>
      </c>
      <c r="C92" s="159">
        <f>812.43*0.5</f>
        <v>406.21499999999997</v>
      </c>
      <c r="D92" s="123">
        <f t="shared" si="17"/>
        <v>30</v>
      </c>
      <c r="E92" s="159">
        <v>702.49</v>
      </c>
      <c r="F92" s="123">
        <f t="shared" si="17"/>
        <v>51</v>
      </c>
      <c r="G92" s="158"/>
      <c r="H92" s="123">
        <f t="shared" si="17"/>
        <v>72</v>
      </c>
      <c r="I92" s="158"/>
      <c r="J92" s="123">
        <f t="shared" si="17"/>
        <v>93</v>
      </c>
      <c r="K92" s="158"/>
      <c r="L92" s="123">
        <f t="shared" si="17"/>
        <v>114</v>
      </c>
      <c r="M92" s="158"/>
      <c r="N92" s="359"/>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10</v>
      </c>
      <c r="C93" s="159">
        <v>230.21</v>
      </c>
      <c r="D93" s="123">
        <f t="shared" si="17"/>
        <v>31</v>
      </c>
      <c r="E93" s="159">
        <v>712.88</v>
      </c>
      <c r="F93" s="123">
        <f t="shared" si="17"/>
        <v>52</v>
      </c>
      <c r="G93" s="158"/>
      <c r="H93" s="123">
        <f t="shared" si="17"/>
        <v>73</v>
      </c>
      <c r="I93" s="158"/>
      <c r="J93" s="123">
        <f t="shared" si="17"/>
        <v>94</v>
      </c>
      <c r="K93" s="158"/>
      <c r="L93" s="123">
        <f t="shared" si="17"/>
        <v>115</v>
      </c>
      <c r="M93" s="158"/>
      <c r="N93" s="359"/>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11</v>
      </c>
      <c r="C94" s="158">
        <v>499.98</v>
      </c>
      <c r="D94" s="123">
        <f t="shared" si="17"/>
        <v>32</v>
      </c>
      <c r="E94" s="158">
        <f>318.22*0.5</f>
        <v>159.11000000000001</v>
      </c>
      <c r="F94" s="123">
        <f t="shared" si="17"/>
        <v>53</v>
      </c>
      <c r="G94" s="158"/>
      <c r="H94" s="123">
        <f t="shared" si="17"/>
        <v>74</v>
      </c>
      <c r="I94" s="158"/>
      <c r="J94" s="123">
        <f t="shared" si="17"/>
        <v>95</v>
      </c>
      <c r="K94" s="158"/>
      <c r="L94" s="123">
        <f t="shared" si="17"/>
        <v>116</v>
      </c>
      <c r="M94" s="158"/>
      <c r="N94" s="359"/>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12</v>
      </c>
      <c r="C95" s="158">
        <v>528.04999999999995</v>
      </c>
      <c r="D95" s="123">
        <f t="shared" si="17"/>
        <v>33</v>
      </c>
      <c r="E95" s="158">
        <f>408.38*0.5</f>
        <v>204.19</v>
      </c>
      <c r="F95" s="123">
        <f t="shared" si="17"/>
        <v>54</v>
      </c>
      <c r="G95" s="158"/>
      <c r="H95" s="123">
        <f t="shared" si="17"/>
        <v>75</v>
      </c>
      <c r="I95" s="158"/>
      <c r="J95" s="123">
        <f t="shared" si="17"/>
        <v>96</v>
      </c>
      <c r="K95" s="158"/>
      <c r="L95" s="123">
        <f t="shared" si="17"/>
        <v>117</v>
      </c>
      <c r="M95" s="158"/>
      <c r="N95" s="359"/>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13</v>
      </c>
      <c r="C96" s="158">
        <v>1264.71</v>
      </c>
      <c r="D96" s="123">
        <f t="shared" si="17"/>
        <v>34</v>
      </c>
      <c r="E96" s="158"/>
      <c r="F96" s="123">
        <f t="shared" si="17"/>
        <v>55</v>
      </c>
      <c r="G96" s="158"/>
      <c r="H96" s="123">
        <f t="shared" si="17"/>
        <v>76</v>
      </c>
      <c r="I96" s="158"/>
      <c r="J96" s="123">
        <f t="shared" si="17"/>
        <v>97</v>
      </c>
      <c r="K96" s="158"/>
      <c r="L96" s="123">
        <f t="shared" si="17"/>
        <v>118</v>
      </c>
      <c r="M96" s="158"/>
      <c r="N96" s="359"/>
      <c r="P96" s="311" t="s">
        <v>160</v>
      </c>
      <c r="Q96" s="311"/>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14</v>
      </c>
      <c r="C97" s="158">
        <v>359.82</v>
      </c>
      <c r="D97" s="123">
        <f t="shared" si="17"/>
        <v>35</v>
      </c>
      <c r="E97" s="158"/>
      <c r="F97" s="123">
        <f t="shared" si="17"/>
        <v>56</v>
      </c>
      <c r="G97" s="158"/>
      <c r="H97" s="123">
        <f t="shared" si="17"/>
        <v>77</v>
      </c>
      <c r="I97" s="158"/>
      <c r="J97" s="123">
        <f t="shared" si="17"/>
        <v>98</v>
      </c>
      <c r="K97" s="158"/>
      <c r="L97" s="123">
        <f t="shared" si="17"/>
        <v>119</v>
      </c>
      <c r="M97" s="158"/>
      <c r="N97" s="359"/>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15</v>
      </c>
      <c r="C98" s="158">
        <v>382.98</v>
      </c>
      <c r="D98" s="123">
        <f t="shared" si="17"/>
        <v>36</v>
      </c>
      <c r="E98" s="158"/>
      <c r="F98" s="123">
        <f t="shared" si="17"/>
        <v>57</v>
      </c>
      <c r="G98" s="158"/>
      <c r="H98" s="123">
        <f t="shared" si="17"/>
        <v>78</v>
      </c>
      <c r="I98" s="158"/>
      <c r="J98" s="123">
        <f t="shared" si="17"/>
        <v>99</v>
      </c>
      <c r="K98" s="158"/>
      <c r="L98" s="123">
        <f t="shared" si="17"/>
        <v>120</v>
      </c>
      <c r="M98" s="158"/>
      <c r="N98" s="359"/>
      <c r="O98" s="125"/>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16</v>
      </c>
      <c r="C99" s="158">
        <f>424.29*0.45</f>
        <v>190.93050000000002</v>
      </c>
      <c r="D99" s="123">
        <f t="shared" si="17"/>
        <v>37</v>
      </c>
      <c r="E99" s="158"/>
      <c r="F99" s="123">
        <f t="shared" si="17"/>
        <v>58</v>
      </c>
      <c r="G99" s="158"/>
      <c r="H99" s="123">
        <f t="shared" si="17"/>
        <v>79</v>
      </c>
      <c r="I99" s="158"/>
      <c r="J99" s="123">
        <f t="shared" si="17"/>
        <v>100</v>
      </c>
      <c r="K99" s="158"/>
      <c r="L99" s="123">
        <f t="shared" si="17"/>
        <v>121</v>
      </c>
      <c r="M99" s="158"/>
      <c r="N99" s="359"/>
      <c r="O99" s="125"/>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17</v>
      </c>
      <c r="C100" s="158">
        <v>406.02</v>
      </c>
      <c r="D100" s="123">
        <f t="shared" si="17"/>
        <v>38</v>
      </c>
      <c r="E100" s="158"/>
      <c r="F100" s="123">
        <f t="shared" si="17"/>
        <v>59</v>
      </c>
      <c r="G100" s="158"/>
      <c r="H100" s="123">
        <f t="shared" si="17"/>
        <v>80</v>
      </c>
      <c r="I100" s="158"/>
      <c r="J100" s="123">
        <f t="shared" si="17"/>
        <v>101</v>
      </c>
      <c r="K100" s="158"/>
      <c r="L100" s="123">
        <f t="shared" si="17"/>
        <v>122</v>
      </c>
      <c r="M100" s="158"/>
      <c r="N100" s="359"/>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18</v>
      </c>
      <c r="C101" s="158">
        <v>539.27</v>
      </c>
      <c r="D101" s="123">
        <f t="shared" si="17"/>
        <v>39</v>
      </c>
      <c r="E101" s="158"/>
      <c r="F101" s="123">
        <f t="shared" si="17"/>
        <v>60</v>
      </c>
      <c r="G101" s="158"/>
      <c r="H101" s="123">
        <f t="shared" si="17"/>
        <v>81</v>
      </c>
      <c r="I101" s="158"/>
      <c r="J101" s="123">
        <f t="shared" si="17"/>
        <v>102</v>
      </c>
      <c r="K101" s="158"/>
      <c r="L101" s="123">
        <f t="shared" si="17"/>
        <v>123</v>
      </c>
      <c r="M101" s="158"/>
      <c r="N101" s="359"/>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19</v>
      </c>
      <c r="C102" s="158">
        <v>594.97</v>
      </c>
      <c r="D102" s="123">
        <f t="shared" si="17"/>
        <v>40</v>
      </c>
      <c r="E102" s="158"/>
      <c r="F102" s="123">
        <f t="shared" si="17"/>
        <v>61</v>
      </c>
      <c r="G102" s="158"/>
      <c r="H102" s="123">
        <f t="shared" si="17"/>
        <v>82</v>
      </c>
      <c r="I102" s="158"/>
      <c r="J102" s="123">
        <f t="shared" si="17"/>
        <v>103</v>
      </c>
      <c r="K102" s="158"/>
      <c r="L102" s="123">
        <f t="shared" si="17"/>
        <v>124</v>
      </c>
      <c r="M102" s="158"/>
      <c r="N102" s="359"/>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20</v>
      </c>
      <c r="C103" s="158">
        <v>420.19</v>
      </c>
      <c r="D103" s="123">
        <f t="shared" si="17"/>
        <v>41</v>
      </c>
      <c r="E103" s="158"/>
      <c r="F103" s="123">
        <f t="shared" si="17"/>
        <v>62</v>
      </c>
      <c r="G103" s="158"/>
      <c r="H103" s="123">
        <f t="shared" si="17"/>
        <v>83</v>
      </c>
      <c r="I103" s="158"/>
      <c r="J103" s="123">
        <f t="shared" si="17"/>
        <v>104</v>
      </c>
      <c r="K103" s="158"/>
      <c r="L103" s="123">
        <f t="shared" si="17"/>
        <v>125</v>
      </c>
      <c r="M103" s="158"/>
      <c r="N103" s="359"/>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21</v>
      </c>
      <c r="C104" s="158">
        <f>103.45*0.5</f>
        <v>51.725000000000001</v>
      </c>
      <c r="D104" s="123">
        <f t="shared" si="17"/>
        <v>42</v>
      </c>
      <c r="E104" s="158"/>
      <c r="F104" s="123">
        <f t="shared" si="17"/>
        <v>63</v>
      </c>
      <c r="G104" s="158"/>
      <c r="H104" s="123">
        <f t="shared" si="17"/>
        <v>84</v>
      </c>
      <c r="I104" s="158"/>
      <c r="J104" s="123">
        <f t="shared" si="17"/>
        <v>105</v>
      </c>
      <c r="K104" s="158"/>
      <c r="L104" s="123">
        <f t="shared" si="17"/>
        <v>126</v>
      </c>
      <c r="M104" s="158"/>
      <c r="N104" s="360"/>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65" t="s">
        <v>167</v>
      </c>
      <c r="C105" s="365"/>
      <c r="D105" s="365"/>
      <c r="E105" s="365"/>
      <c r="F105" s="365"/>
      <c r="G105" s="365"/>
      <c r="H105" s="365"/>
      <c r="I105" s="365"/>
      <c r="J105" s="366">
        <f>SUM(C84:C104,G84:G104,K84:K104,E84:E104,I84:I104,K84:K104,M84:M104)</f>
        <v>20532.870500000005</v>
      </c>
      <c r="K105" s="366"/>
      <c r="L105" s="366"/>
      <c r="M105" s="366"/>
      <c r="N105" s="366"/>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65" t="s">
        <v>169</v>
      </c>
      <c r="C106" s="365"/>
      <c r="D106" s="365"/>
      <c r="E106" s="365"/>
      <c r="F106" s="365"/>
      <c r="G106" s="365"/>
      <c r="H106" s="365"/>
      <c r="I106" s="365"/>
      <c r="J106" s="367">
        <f>$J$105*$Q$23</f>
        <v>35951105622.802505</v>
      </c>
      <c r="K106" s="367"/>
      <c r="L106" s="367"/>
      <c r="M106" s="367"/>
      <c r="N106" s="367"/>
      <c r="P106" s="82"/>
      <c r="R106" s="131"/>
      <c r="T106" s="113"/>
      <c r="U106" s="113"/>
      <c r="V106" s="114"/>
      <c r="W106" s="114"/>
      <c r="X106" s="114"/>
      <c r="Y106" s="115"/>
      <c r="Z106" s="116"/>
      <c r="AA106" s="117"/>
      <c r="AB106" s="118"/>
      <c r="AC106" s="118"/>
      <c r="AD106" s="118"/>
      <c r="AE106" s="117"/>
    </row>
    <row r="107" spans="2:31" ht="15.75" customHeight="1" thickBot="1" x14ac:dyDescent="0.25">
      <c r="B107" s="365" t="s">
        <v>171</v>
      </c>
      <c r="C107" s="365"/>
      <c r="D107" s="365"/>
      <c r="E107" s="365"/>
      <c r="F107" s="365"/>
      <c r="G107" s="365"/>
      <c r="H107" s="365"/>
      <c r="I107" s="365"/>
      <c r="J107" s="311">
        <f>IFERROR(J106/(($B$17)*I72),0)</f>
        <v>99.208164303223057</v>
      </c>
      <c r="K107" s="311"/>
      <c r="L107" s="311"/>
      <c r="M107" s="311"/>
      <c r="N107" s="311"/>
      <c r="P107" s="82" t="s">
        <v>203</v>
      </c>
      <c r="R107" s="131">
        <v>19587312969</v>
      </c>
      <c r="T107" s="113">
        <f>T105+1</f>
        <v>29</v>
      </c>
      <c r="U107" s="113" t="s">
        <v>176</v>
      </c>
      <c r="V107" s="114"/>
      <c r="W107" s="114">
        <f>W105</f>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65" t="s">
        <v>173</v>
      </c>
      <c r="C108" s="365"/>
      <c r="D108" s="365"/>
      <c r="E108" s="365"/>
      <c r="F108" s="365"/>
      <c r="G108" s="365"/>
      <c r="H108" s="365"/>
      <c r="I108" s="365"/>
      <c r="J108" s="365"/>
      <c r="K108" s="365"/>
      <c r="L108" s="369">
        <f>IF(J107&gt;P89,R89,IF(J107&gt;P88,R88,IF(J107&gt;P87,R87,R86)))</f>
        <v>120</v>
      </c>
      <c r="M108" s="369"/>
      <c r="N108" s="369"/>
      <c r="O108" s="125"/>
      <c r="P108" s="82" t="s">
        <v>204</v>
      </c>
      <c r="R108" s="131">
        <v>10049355290</v>
      </c>
      <c r="T108" s="113">
        <f t="shared" si="14"/>
        <v>30</v>
      </c>
      <c r="U108" s="113" t="s">
        <v>178</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3">
      <c r="B109" s="311" t="s">
        <v>215</v>
      </c>
      <c r="C109" s="311"/>
      <c r="D109" s="311"/>
      <c r="E109" s="311"/>
      <c r="F109" s="311"/>
      <c r="G109" s="311"/>
      <c r="H109" s="311"/>
      <c r="I109" s="311"/>
      <c r="J109" s="311"/>
      <c r="K109" s="311"/>
      <c r="L109" s="311"/>
      <c r="M109" s="311"/>
      <c r="N109" s="311"/>
      <c r="O109" s="125"/>
      <c r="P109" s="82" t="s">
        <v>205</v>
      </c>
      <c r="R109" s="131">
        <v>16751309190</v>
      </c>
      <c r="T109" s="113">
        <f t="shared" si="14"/>
        <v>31</v>
      </c>
      <c r="U109" s="113" t="s">
        <v>180</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44"/>
      <c r="C110" s="345"/>
      <c r="D110" s="345"/>
      <c r="E110" s="345"/>
      <c r="F110" s="345"/>
      <c r="G110" s="346"/>
      <c r="H110" s="370" t="s">
        <v>177</v>
      </c>
      <c r="I110" s="370"/>
      <c r="J110" s="370"/>
      <c r="K110" s="370"/>
      <c r="L110" s="333">
        <f>$I$8</f>
        <v>1853045600</v>
      </c>
      <c r="M110" s="333"/>
      <c r="N110" s="333"/>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47"/>
      <c r="C111" s="348"/>
      <c r="D111" s="348"/>
      <c r="E111" s="348"/>
      <c r="F111" s="348"/>
      <c r="G111" s="349"/>
      <c r="H111" s="370" t="s">
        <v>179</v>
      </c>
      <c r="I111" s="370"/>
      <c r="J111" s="370"/>
      <c r="K111" s="370"/>
      <c r="L111" s="333">
        <f>$J$8</f>
        <v>926522800</v>
      </c>
      <c r="M111" s="333"/>
      <c r="N111" s="333"/>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50"/>
      <c r="C112" s="351"/>
      <c r="D112" s="351"/>
      <c r="E112" s="351"/>
      <c r="F112" s="351"/>
      <c r="G112" s="352"/>
      <c r="H112" s="365" t="s">
        <v>181</v>
      </c>
      <c r="I112" s="365"/>
      <c r="J112" s="365"/>
      <c r="K112" s="365"/>
      <c r="L112" s="371">
        <f>IFERROR(ROUND(L110/L111,2),0)</f>
        <v>2</v>
      </c>
      <c r="M112" s="371"/>
      <c r="N112" s="371"/>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65" t="s">
        <v>183</v>
      </c>
      <c r="C113" s="365"/>
      <c r="D113" s="365"/>
      <c r="E113" s="365"/>
      <c r="F113" s="365"/>
      <c r="G113" s="365"/>
      <c r="H113" s="365"/>
      <c r="I113" s="365"/>
      <c r="J113" s="365"/>
      <c r="K113" s="365"/>
      <c r="L113" s="369">
        <f>IF(L112&gt;P95,R95,IF(L112&gt;P94,R94,IF(L112&gt;P93,R93,IF(L112&gt;P92,R92,R91))))</f>
        <v>40</v>
      </c>
      <c r="M113" s="369"/>
      <c r="N113" s="369"/>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3">
      <c r="B114" s="311" t="s">
        <v>185</v>
      </c>
      <c r="C114" s="311"/>
      <c r="D114" s="311"/>
      <c r="E114" s="311"/>
      <c r="F114" s="311"/>
      <c r="G114" s="311"/>
      <c r="H114" s="311"/>
      <c r="I114" s="311"/>
      <c r="J114" s="311"/>
      <c r="K114" s="311"/>
      <c r="L114" s="311"/>
      <c r="M114" s="311"/>
      <c r="N114" s="311"/>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B115" s="375" t="s">
        <v>94</v>
      </c>
      <c r="C115" s="375"/>
      <c r="D115" s="375"/>
      <c r="E115" s="375"/>
      <c r="F115" s="375"/>
      <c r="G115" s="375"/>
      <c r="H115" s="375"/>
      <c r="I115" s="375"/>
      <c r="J115" s="375"/>
      <c r="K115" s="375"/>
      <c r="L115" s="375"/>
      <c r="M115" s="368">
        <f>$K$8</f>
        <v>2</v>
      </c>
      <c r="N115" s="368"/>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65" t="s">
        <v>188</v>
      </c>
      <c r="C116" s="365"/>
      <c r="D116" s="365"/>
      <c r="E116" s="365"/>
      <c r="F116" s="365"/>
      <c r="G116" s="365"/>
      <c r="H116" s="365"/>
      <c r="I116" s="365"/>
      <c r="J116" s="365"/>
      <c r="K116" s="365"/>
      <c r="L116" s="369">
        <f>IF(M115&gt;P100,R100,IF(M115&gt;P99,R99,IF(M115&gt;P98,R98,R97)))</f>
        <v>20</v>
      </c>
      <c r="M116" s="369"/>
      <c r="N116" s="369"/>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65" t="str">
        <f>"CAPACIDAD DE CONTRATACIÓN "&amp;$F$71</f>
        <v xml:space="preserve">CAPACIDAD DE CONTRATACIÓN </v>
      </c>
      <c r="C118" s="365"/>
      <c r="D118" s="365"/>
      <c r="E118" s="365"/>
      <c r="F118" s="365"/>
      <c r="G118" s="365"/>
      <c r="H118" s="365"/>
      <c r="I118" s="365"/>
      <c r="J118" s="365"/>
      <c r="K118" s="365"/>
      <c r="L118" s="314">
        <f>I80*((L108+L113+L116)/100)</f>
        <v>3335482080</v>
      </c>
      <c r="M118" s="314"/>
      <c r="N118" s="314"/>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thickBot="1" x14ac:dyDescent="0.25">
      <c r="B119" s="365" t="str">
        <f>"SALDO DE LOS CONTRATOS EN EJECUCIÓN "&amp;$F$71</f>
        <v xml:space="preserve">SALDO DE LOS CONTRATOS EN EJECUCIÓN </v>
      </c>
      <c r="C119" s="365"/>
      <c r="D119" s="365"/>
      <c r="E119" s="365"/>
      <c r="F119" s="365"/>
      <c r="G119" s="365"/>
      <c r="H119" s="365"/>
      <c r="I119" s="365"/>
      <c r="J119" s="365"/>
      <c r="K119" s="365"/>
      <c r="L119" s="314">
        <f>$M$8</f>
        <v>0</v>
      </c>
      <c r="M119" s="314"/>
      <c r="N119" s="314"/>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5" t="str">
        <f>"CAPACIDAD RESIDUAL DE CONTRATACIÓN "&amp;$F$71</f>
        <v xml:space="preserve">CAPACIDAD RESIDUAL DE CONTRATACIÓN </v>
      </c>
      <c r="C120" s="365"/>
      <c r="D120" s="365"/>
      <c r="E120" s="365"/>
      <c r="F120" s="365"/>
      <c r="G120" s="365"/>
      <c r="H120" s="365"/>
      <c r="I120" s="365"/>
      <c r="J120" s="365"/>
      <c r="K120" s="365"/>
      <c r="L120" s="314">
        <f>L118-L119</f>
        <v>3335482080</v>
      </c>
      <c r="M120" s="314"/>
      <c r="N120" s="314"/>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3.5" thickBot="1" x14ac:dyDescent="0.25">
      <c r="B121" s="127"/>
      <c r="C121" s="127"/>
      <c r="D121" s="127"/>
      <c r="E121" s="127"/>
      <c r="F121" s="127"/>
      <c r="G121" s="127"/>
      <c r="H121" s="127"/>
      <c r="I121" s="127"/>
      <c r="J121" s="127"/>
      <c r="K121" s="127"/>
      <c r="L121" s="128"/>
      <c r="M121" s="128"/>
      <c r="N121" s="128"/>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thickBot="1" x14ac:dyDescent="0.3">
      <c r="B122" s="384" t="str">
        <f>"INTEGRANTE 1: "&amp;$C$7&amp;" PRESENTA ESTADOS FINANCIEROS DICTAMINADOS"</f>
        <v>INTEGRANTE 1: MARIA JOSE HERRERA GUZMAN PRESENTA ESTADOS FINANCIEROS DICTAMINADOS</v>
      </c>
      <c r="C122" s="385"/>
      <c r="D122" s="385"/>
      <c r="E122" s="385"/>
      <c r="F122" s="385"/>
      <c r="G122" s="385"/>
      <c r="H122" s="385"/>
      <c r="I122" s="385"/>
      <c r="J122" s="385"/>
      <c r="K122" s="385"/>
      <c r="L122" s="323" t="str">
        <f>IF(L123="","",IF(L124="","",IF(AND(L123="si",L124="si")=TRUE,"CUMPLE","NO CUMPLE")))</f>
        <v>CUMPLE</v>
      </c>
      <c r="M122" s="323"/>
      <c r="N122" s="323"/>
      <c r="P122" s="82" t="s">
        <v>201</v>
      </c>
      <c r="R122" s="83">
        <v>16</v>
      </c>
      <c r="Z122" s="376" t="s">
        <v>199</v>
      </c>
      <c r="AA122" s="376"/>
      <c r="AB122" s="376"/>
      <c r="AC122" s="376"/>
      <c r="AD122" s="376"/>
      <c r="AE122" s="126">
        <f>SUM(AE78:AE121)</f>
        <v>25000000</v>
      </c>
    </row>
    <row r="123" spans="2:31" ht="57.75" customHeight="1" x14ac:dyDescent="0.25">
      <c r="B123" s="378" t="s">
        <v>196</v>
      </c>
      <c r="C123" s="378"/>
      <c r="D123" s="378"/>
      <c r="E123" s="378"/>
      <c r="F123" s="378"/>
      <c r="G123" s="378"/>
      <c r="H123" s="378"/>
      <c r="I123" s="378"/>
      <c r="J123" s="378"/>
      <c r="K123" s="378"/>
      <c r="L123" s="379" t="s">
        <v>2</v>
      </c>
      <c r="M123" s="379"/>
      <c r="N123" s="379"/>
      <c r="P123" s="82"/>
      <c r="R123" s="83"/>
      <c r="Z123" s="132"/>
      <c r="AA123" s="132"/>
      <c r="AB123" s="132"/>
      <c r="AC123" s="132"/>
      <c r="AD123" s="132"/>
      <c r="AE123" s="133"/>
    </row>
    <row r="124" spans="2:31" ht="32.25" customHeight="1" x14ac:dyDescent="0.25">
      <c r="B124" s="378" t="s">
        <v>197</v>
      </c>
      <c r="C124" s="378"/>
      <c r="D124" s="378"/>
      <c r="E124" s="378"/>
      <c r="F124" s="378"/>
      <c r="G124" s="378"/>
      <c r="H124" s="378"/>
      <c r="I124" s="378"/>
      <c r="J124" s="378"/>
      <c r="K124" s="378"/>
      <c r="L124" s="379" t="s">
        <v>2</v>
      </c>
      <c r="M124" s="379"/>
      <c r="N124" s="379"/>
      <c r="P124" s="82"/>
      <c r="R124" s="83"/>
      <c r="Z124" s="132"/>
      <c r="AA124" s="132"/>
      <c r="AB124" s="132"/>
      <c r="AC124" s="132"/>
      <c r="AD124" s="132"/>
      <c r="AE124" s="133"/>
    </row>
    <row r="125" spans="2:31" ht="15.75" customHeight="1" x14ac:dyDescent="0.25">
      <c r="B125" s="384" t="str">
        <f>"INTEGRANTE 2: "&amp;$C$8&amp;" PRESENTA ESTADOS FINANCIEROS DICTAMINADOS"</f>
        <v>INTEGRANTE 2: VENTURA &amp; CO. SAS PRESENTA ESTADOS FINANCIEROS DICTAMINADOS</v>
      </c>
      <c r="C125" s="385"/>
      <c r="D125" s="385"/>
      <c r="E125" s="385"/>
      <c r="F125" s="385"/>
      <c r="G125" s="385"/>
      <c r="H125" s="385"/>
      <c r="I125" s="385"/>
      <c r="J125" s="385"/>
      <c r="K125" s="385"/>
      <c r="L125" s="323" t="str">
        <f>IF(L126="","",IF(L127="","",IF(AND(L126="si",L127="si")=TRUE,"CUMPLE","NO CUMPLE")))</f>
        <v>CUMPLE</v>
      </c>
      <c r="M125" s="323"/>
      <c r="N125" s="323"/>
      <c r="P125" s="82" t="s">
        <v>214</v>
      </c>
      <c r="R125" s="83">
        <v>19</v>
      </c>
    </row>
    <row r="126" spans="2:31" ht="57.75" customHeight="1" x14ac:dyDescent="0.25">
      <c r="B126" s="378" t="s">
        <v>196</v>
      </c>
      <c r="C126" s="378"/>
      <c r="D126" s="378"/>
      <c r="E126" s="378"/>
      <c r="F126" s="378"/>
      <c r="G126" s="378"/>
      <c r="H126" s="378"/>
      <c r="I126" s="378"/>
      <c r="J126" s="378"/>
      <c r="K126" s="378"/>
      <c r="L126" s="379" t="s">
        <v>2</v>
      </c>
      <c r="M126" s="379"/>
      <c r="N126" s="379"/>
      <c r="P126" s="82"/>
      <c r="R126" s="83"/>
      <c r="Z126" s="132"/>
      <c r="AA126" s="132"/>
      <c r="AB126" s="132"/>
      <c r="AC126" s="132"/>
      <c r="AD126" s="132"/>
      <c r="AE126" s="133"/>
    </row>
    <row r="127" spans="2:31" ht="32.25" customHeight="1" x14ac:dyDescent="0.25">
      <c r="B127" s="378" t="s">
        <v>197</v>
      </c>
      <c r="C127" s="378"/>
      <c r="D127" s="378"/>
      <c r="E127" s="378"/>
      <c r="F127" s="378"/>
      <c r="G127" s="378"/>
      <c r="H127" s="378"/>
      <c r="I127" s="378"/>
      <c r="J127" s="378"/>
      <c r="K127" s="378"/>
      <c r="L127" s="379" t="s">
        <v>2</v>
      </c>
      <c r="M127" s="379"/>
      <c r="N127" s="379"/>
      <c r="P127" s="82"/>
      <c r="R127" s="83"/>
      <c r="Z127" s="132"/>
      <c r="AA127" s="132"/>
      <c r="AB127" s="132"/>
      <c r="AC127" s="132"/>
      <c r="AD127" s="132"/>
      <c r="AE127" s="133"/>
    </row>
    <row r="128" spans="2:31" ht="15.75" customHeight="1" x14ac:dyDescent="0.25">
      <c r="P128" s="82" t="s">
        <v>202</v>
      </c>
      <c r="R128" s="83">
        <v>15</v>
      </c>
    </row>
    <row r="129" spans="2:18" ht="15.75" customHeight="1" x14ac:dyDescent="0.25">
      <c r="B129" s="377" t="s">
        <v>50</v>
      </c>
      <c r="C129" s="377"/>
      <c r="D129" s="377"/>
      <c r="E129" s="377"/>
      <c r="F129" s="377"/>
      <c r="G129" s="377"/>
      <c r="H129" s="377"/>
      <c r="I129" s="377"/>
      <c r="J129" s="377"/>
      <c r="K129" s="377"/>
      <c r="L129" s="377"/>
      <c r="M129" s="377"/>
      <c r="N129" s="377"/>
      <c r="P129" s="82" t="s">
        <v>203</v>
      </c>
      <c r="R129" s="83">
        <v>19</v>
      </c>
    </row>
    <row r="130" spans="2:18" ht="57.75" customHeight="1" x14ac:dyDescent="0.25">
      <c r="B130" s="380"/>
      <c r="C130" s="381"/>
      <c r="D130" s="381"/>
      <c r="E130" s="381"/>
      <c r="F130" s="381"/>
      <c r="G130" s="381"/>
      <c r="H130" s="381"/>
      <c r="I130" s="381"/>
      <c r="J130" s="381"/>
      <c r="K130" s="381"/>
      <c r="L130" s="381"/>
      <c r="M130" s="381"/>
      <c r="N130" s="382"/>
      <c r="P130" s="82" t="s">
        <v>204</v>
      </c>
      <c r="R130" s="83">
        <v>17</v>
      </c>
    </row>
    <row r="131" spans="2:18" ht="15.75" customHeight="1" x14ac:dyDescent="0.25">
      <c r="P131" s="82" t="s">
        <v>205</v>
      </c>
      <c r="R131" s="83">
        <v>19</v>
      </c>
    </row>
    <row r="132" spans="2:18" ht="12.75" x14ac:dyDescent="0.25">
      <c r="P132" s="82" t="s">
        <v>206</v>
      </c>
      <c r="R132" s="83">
        <v>19</v>
      </c>
    </row>
    <row r="134" spans="2:18" ht="12.75" x14ac:dyDescent="0.25"/>
    <row r="135" spans="2:18" ht="12.75" x14ac:dyDescent="0.25"/>
    <row r="138" spans="2:18" ht="180" customHeight="1" x14ac:dyDescent="0.25"/>
  </sheetData>
  <sheetProtection selectLockedCells="1"/>
  <mergeCells count="174">
    <mergeCell ref="B63:N63"/>
    <mergeCell ref="B64:L64"/>
    <mergeCell ref="M64:N64"/>
    <mergeCell ref="L61:N61"/>
    <mergeCell ref="B106:I106"/>
    <mergeCell ref="J106:N106"/>
    <mergeCell ref="B123:K123"/>
    <mergeCell ref="L123:N123"/>
    <mergeCell ref="B124:K124"/>
    <mergeCell ref="L124:N124"/>
    <mergeCell ref="L126:N126"/>
    <mergeCell ref="L127:N127"/>
    <mergeCell ref="B126:K126"/>
    <mergeCell ref="B127:K127"/>
    <mergeCell ref="B125:K125"/>
    <mergeCell ref="L125:N125"/>
    <mergeCell ref="B15:N15"/>
    <mergeCell ref="B16:E16"/>
    <mergeCell ref="F16:G16"/>
    <mergeCell ref="I16:N16"/>
    <mergeCell ref="B22:G22"/>
    <mergeCell ref="B10:K10"/>
    <mergeCell ref="L10:N10"/>
    <mergeCell ref="B11:K11"/>
    <mergeCell ref="L11:N11"/>
    <mergeCell ref="B12:K12"/>
    <mergeCell ref="L12:N12"/>
    <mergeCell ref="B20:N20"/>
    <mergeCell ref="B13:K13"/>
    <mergeCell ref="B5:N5"/>
    <mergeCell ref="B6:F6"/>
    <mergeCell ref="K6:L6"/>
    <mergeCell ref="M6:N6"/>
    <mergeCell ref="C7:F7"/>
    <mergeCell ref="C8:F8"/>
    <mergeCell ref="K7:L7"/>
    <mergeCell ref="M7:N7"/>
    <mergeCell ref="K8:L8"/>
    <mergeCell ref="M8:N8"/>
    <mergeCell ref="I18:N18"/>
    <mergeCell ref="B18:H18"/>
    <mergeCell ref="P44:Q44"/>
    <mergeCell ref="B57:K57"/>
    <mergeCell ref="L57:N57"/>
    <mergeCell ref="B58:N58"/>
    <mergeCell ref="H59:K59"/>
    <mergeCell ref="L59:N59"/>
    <mergeCell ref="P33:Q33"/>
    <mergeCell ref="B55:I55"/>
    <mergeCell ref="J55:N55"/>
    <mergeCell ref="B54:I54"/>
    <mergeCell ref="J54:N54"/>
    <mergeCell ref="B23:G26"/>
    <mergeCell ref="H22:M22"/>
    <mergeCell ref="H23:M23"/>
    <mergeCell ref="H24:M24"/>
    <mergeCell ref="H25:M25"/>
    <mergeCell ref="H26:M26"/>
    <mergeCell ref="B27:N27"/>
    <mergeCell ref="N32:N53"/>
    <mergeCell ref="I29:N29"/>
    <mergeCell ref="I28:N28"/>
    <mergeCell ref="B28:H28"/>
    <mergeCell ref="B62:K62"/>
    <mergeCell ref="L62:N62"/>
    <mergeCell ref="B56:I56"/>
    <mergeCell ref="J56:N56"/>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P38:Q38"/>
    <mergeCell ref="B29:H29"/>
    <mergeCell ref="B30:N30"/>
    <mergeCell ref="B59:G61"/>
    <mergeCell ref="Z70:AD70"/>
    <mergeCell ref="T73:U73"/>
    <mergeCell ref="V73:AA73"/>
    <mergeCell ref="AD76:AD77"/>
    <mergeCell ref="T76:T77"/>
    <mergeCell ref="U76:U77"/>
    <mergeCell ref="B68:K68"/>
    <mergeCell ref="L68:N68"/>
    <mergeCell ref="B69:K69"/>
    <mergeCell ref="L69:N69"/>
    <mergeCell ref="B71:N71"/>
    <mergeCell ref="B74:G77"/>
    <mergeCell ref="AE76:AE77"/>
    <mergeCell ref="B72:H72"/>
    <mergeCell ref="I72:N72"/>
    <mergeCell ref="B73:G73"/>
    <mergeCell ref="H73:M73"/>
    <mergeCell ref="H74:M74"/>
    <mergeCell ref="H75:M75"/>
    <mergeCell ref="H76:M76"/>
    <mergeCell ref="V76:V77"/>
    <mergeCell ref="W76:W77"/>
    <mergeCell ref="Y76:Y77"/>
    <mergeCell ref="X76:X77"/>
    <mergeCell ref="Z76:Z77"/>
    <mergeCell ref="AA76:AA77"/>
    <mergeCell ref="AB76:AB77"/>
    <mergeCell ref="AC76:AC77"/>
    <mergeCell ref="H77:M77"/>
    <mergeCell ref="P85:Q85"/>
    <mergeCell ref="B78:N78"/>
    <mergeCell ref="B81:N81"/>
    <mergeCell ref="I80:N80"/>
    <mergeCell ref="B80:H80"/>
    <mergeCell ref="I79:N79"/>
    <mergeCell ref="B79:H79"/>
    <mergeCell ref="B82:N82"/>
    <mergeCell ref="P90:Q90"/>
    <mergeCell ref="N83:N104"/>
    <mergeCell ref="P96:Q96"/>
    <mergeCell ref="Z122:AD122"/>
    <mergeCell ref="B119:K119"/>
    <mergeCell ref="L119:N119"/>
    <mergeCell ref="B120:K120"/>
    <mergeCell ref="L120:N120"/>
    <mergeCell ref="H110:K110"/>
    <mergeCell ref="L110:N110"/>
    <mergeCell ref="H111:K111"/>
    <mergeCell ref="L111:N111"/>
    <mergeCell ref="H112:K112"/>
    <mergeCell ref="L112:N112"/>
    <mergeCell ref="B113:K113"/>
    <mergeCell ref="L113:N113"/>
    <mergeCell ref="B114:N114"/>
    <mergeCell ref="B115:L115"/>
    <mergeCell ref="M115:N115"/>
    <mergeCell ref="B116:K116"/>
    <mergeCell ref="L116:N116"/>
    <mergeCell ref="B118:K118"/>
    <mergeCell ref="L118:N118"/>
    <mergeCell ref="B110:G112"/>
    <mergeCell ref="B122:K122"/>
    <mergeCell ref="L122:N122"/>
    <mergeCell ref="B130:N130"/>
    <mergeCell ref="B2:N2"/>
    <mergeCell ref="B129:N129"/>
    <mergeCell ref="L13:N13"/>
    <mergeCell ref="B105:I105"/>
    <mergeCell ref="J105:N105"/>
    <mergeCell ref="B107:I107"/>
    <mergeCell ref="J107:N107"/>
    <mergeCell ref="B108:K108"/>
    <mergeCell ref="L108:N108"/>
    <mergeCell ref="B109:N109"/>
    <mergeCell ref="B65:K65"/>
    <mergeCell ref="L65:N65"/>
    <mergeCell ref="B67:K67"/>
    <mergeCell ref="L67:N67"/>
    <mergeCell ref="B4:E4"/>
    <mergeCell ref="F4:N4"/>
    <mergeCell ref="B17:E17"/>
    <mergeCell ref="F17:G17"/>
    <mergeCell ref="I17:N17"/>
    <mergeCell ref="B31:N31"/>
    <mergeCell ref="H60:K60"/>
    <mergeCell ref="L60:N60"/>
    <mergeCell ref="H61:K61"/>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3:N124 L126:N127"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2" orientation="portrait" horizontalDpi="300" verticalDpi="300" r:id="rId1"/>
  <rowBreaks count="1" manualBreakCount="1">
    <brk id="77"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4</xdr:col>
                <xdr:colOff>1019175</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58</xdr:row>
                <xdr:rowOff>85725</xdr:rowOff>
              </from>
              <to>
                <xdr:col>4</xdr:col>
                <xdr:colOff>885825</xdr:colOff>
                <xdr:row>60</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74</xdr:row>
                <xdr:rowOff>9525</xdr:rowOff>
              </from>
              <to>
                <xdr:col>5</xdr:col>
                <xdr:colOff>38100</xdr:colOff>
                <xdr:row>75</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109</xdr:row>
                <xdr:rowOff>85725</xdr:rowOff>
              </from>
              <to>
                <xdr:col>4</xdr:col>
                <xdr:colOff>571500</xdr:colOff>
                <xdr:row>111</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174"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5" t="s">
        <v>217</v>
      </c>
      <c r="C2" s="316"/>
      <c r="D2" s="316"/>
      <c r="E2" s="316"/>
      <c r="F2" s="316"/>
      <c r="G2" s="316"/>
      <c r="H2" s="316"/>
      <c r="I2" s="316"/>
      <c r="J2" s="316"/>
      <c r="K2" s="316"/>
      <c r="L2" s="316"/>
      <c r="M2" s="316"/>
      <c r="N2" s="31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1" t="s">
        <v>207</v>
      </c>
      <c r="C4" s="311"/>
      <c r="D4" s="311"/>
      <c r="E4" s="311"/>
      <c r="F4" s="383" t="str">
        <f>'EVALUACIÓN EXPERIENCIA'!$G$3</f>
        <v>CONSORCIO VENTURA &amp; CO</v>
      </c>
      <c r="G4" s="383"/>
      <c r="H4" s="383"/>
      <c r="I4" s="383"/>
      <c r="J4" s="383"/>
      <c r="K4" s="383"/>
      <c r="L4" s="383"/>
      <c r="M4" s="383"/>
      <c r="N4" s="383"/>
      <c r="U4" s="89"/>
      <c r="Y4" s="89"/>
      <c r="Z4" s="89"/>
      <c r="AA4" s="89"/>
    </row>
    <row r="5" spans="1:32" ht="12.75" x14ac:dyDescent="0.25">
      <c r="A5" s="88"/>
      <c r="B5" s="313" t="s">
        <v>208</v>
      </c>
      <c r="C5" s="313"/>
      <c r="D5" s="313"/>
      <c r="E5" s="313"/>
      <c r="F5" s="313"/>
      <c r="G5" s="313"/>
      <c r="H5" s="313"/>
      <c r="I5" s="313"/>
      <c r="J5" s="313"/>
      <c r="K5" s="313"/>
      <c r="L5" s="313"/>
      <c r="M5" s="313"/>
      <c r="N5" s="313"/>
      <c r="U5" s="89"/>
      <c r="Y5" s="89"/>
      <c r="Z5" s="89"/>
      <c r="AA5" s="89"/>
    </row>
    <row r="6" spans="1:32" s="137" customFormat="1" ht="54.75" customHeight="1" x14ac:dyDescent="0.25">
      <c r="A6" s="136"/>
      <c r="B6" s="393" t="s">
        <v>209</v>
      </c>
      <c r="C6" s="393"/>
      <c r="D6" s="393"/>
      <c r="E6" s="393"/>
      <c r="F6" s="393"/>
      <c r="G6" s="87" t="s">
        <v>90</v>
      </c>
      <c r="H6" s="87" t="s">
        <v>91</v>
      </c>
      <c r="I6" s="87" t="s">
        <v>92</v>
      </c>
      <c r="J6" s="87" t="s">
        <v>93</v>
      </c>
      <c r="K6" s="394" t="s">
        <v>94</v>
      </c>
      <c r="L6" s="394"/>
      <c r="M6" s="394" t="s">
        <v>95</v>
      </c>
      <c r="N6" s="394"/>
      <c r="U6" s="138"/>
      <c r="Y6" s="138"/>
      <c r="Z6" s="138"/>
      <c r="AA6" s="138"/>
    </row>
    <row r="7" spans="1:32" ht="12.75" x14ac:dyDescent="0.25">
      <c r="A7" s="88"/>
      <c r="B7" s="92">
        <v>1</v>
      </c>
      <c r="C7" s="324" t="str">
        <f>'EVALUACIÓN EXPERIENCIA'!$A$29</f>
        <v>MARIA JOSE HERRERA GUZMAN</v>
      </c>
      <c r="D7" s="325"/>
      <c r="E7" s="325"/>
      <c r="F7" s="326"/>
      <c r="G7" s="93">
        <f>'EVALUACIÓN EXPERIENCIA'!$H$29</f>
        <v>0.5</v>
      </c>
      <c r="H7" s="94"/>
      <c r="I7" s="94"/>
      <c r="J7" s="94"/>
      <c r="K7" s="327"/>
      <c r="L7" s="328"/>
      <c r="M7" s="329"/>
      <c r="N7" s="330"/>
      <c r="U7" s="89"/>
      <c r="Y7" s="89"/>
      <c r="Z7" s="89"/>
      <c r="AA7" s="89"/>
    </row>
    <row r="8" spans="1:32" ht="12.75" x14ac:dyDescent="0.25">
      <c r="A8" s="88"/>
      <c r="B8" s="92">
        <v>2</v>
      </c>
      <c r="C8" s="324" t="str">
        <f>'EVALUACIÓN EXPERIENCIA'!$A$30</f>
        <v>VENTURA &amp; CO. SAS</v>
      </c>
      <c r="D8" s="325"/>
      <c r="E8" s="325"/>
      <c r="F8" s="326"/>
      <c r="G8" s="93">
        <f>'EVALUACIÓN EXPERIENCIA'!$H$30</f>
        <v>0.5</v>
      </c>
      <c r="H8" s="94"/>
      <c r="I8" s="94"/>
      <c r="J8" s="94"/>
      <c r="K8" s="395"/>
      <c r="L8" s="396"/>
      <c r="M8" s="329"/>
      <c r="N8" s="330"/>
      <c r="U8" s="89"/>
      <c r="Y8" s="89"/>
      <c r="Z8" s="89"/>
      <c r="AA8" s="89"/>
    </row>
    <row r="9" spans="1:32" ht="12.75" x14ac:dyDescent="0.25">
      <c r="A9" s="88"/>
      <c r="B9" s="92">
        <v>3</v>
      </c>
      <c r="C9" s="324">
        <f>'EVALUACIÓN EXPERIENCIA'!$A$31</f>
        <v>0</v>
      </c>
      <c r="D9" s="325"/>
      <c r="E9" s="325"/>
      <c r="F9" s="326"/>
      <c r="G9" s="93">
        <f>'EVALUACIÓN EXPERIENCIA'!$H$31</f>
        <v>0</v>
      </c>
      <c r="H9" s="94"/>
      <c r="I9" s="94"/>
      <c r="J9" s="94"/>
      <c r="K9" s="395"/>
      <c r="L9" s="396"/>
      <c r="M9" s="329"/>
      <c r="N9" s="330"/>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13" t="str">
        <f>"CRP INTEGRANTE 1: "&amp;$C$7</f>
        <v>CRP INTEGRANTE 1: MARIA JOSE HERRERA GUZMAN</v>
      </c>
      <c r="C11" s="313"/>
      <c r="D11" s="313"/>
      <c r="E11" s="313"/>
      <c r="F11" s="313"/>
      <c r="G11" s="313"/>
      <c r="H11" s="313"/>
      <c r="I11" s="313"/>
      <c r="J11" s="313"/>
      <c r="K11" s="313"/>
      <c r="L11" s="397">
        <f>L70</f>
        <v>426630400</v>
      </c>
      <c r="M11" s="313"/>
      <c r="N11" s="313"/>
      <c r="U11" s="89"/>
      <c r="Y11" s="89"/>
      <c r="Z11" s="89"/>
      <c r="AA11" s="89"/>
    </row>
    <row r="12" spans="1:32" ht="15.75" customHeight="1" x14ac:dyDescent="0.25">
      <c r="A12" s="88"/>
      <c r="B12" s="313" t="str">
        <f>"CRP INTEGRANTE 2: "&amp;$C$8</f>
        <v>CRP INTEGRANTE 2: VENTURA &amp; CO. SAS</v>
      </c>
      <c r="C12" s="313"/>
      <c r="D12" s="313"/>
      <c r="E12" s="313"/>
      <c r="F12" s="313"/>
      <c r="G12" s="313"/>
      <c r="H12" s="313"/>
      <c r="I12" s="313"/>
      <c r="J12" s="313"/>
      <c r="K12" s="313"/>
      <c r="L12" s="397">
        <f>L120</f>
        <v>426630400</v>
      </c>
      <c r="M12" s="313"/>
      <c r="N12" s="313"/>
    </row>
    <row r="13" spans="1:32" ht="12.75" x14ac:dyDescent="0.25">
      <c r="A13" s="88"/>
      <c r="B13" s="313" t="str">
        <f>"CRP INTEGRANTE 3: "&amp;$C$9</f>
        <v>CRP INTEGRANTE 3: 0</v>
      </c>
      <c r="C13" s="313"/>
      <c r="D13" s="313"/>
      <c r="E13" s="313"/>
      <c r="F13" s="313"/>
      <c r="G13" s="313"/>
      <c r="H13" s="313"/>
      <c r="I13" s="313"/>
      <c r="J13" s="313"/>
      <c r="K13" s="313"/>
      <c r="L13" s="397">
        <f>L170</f>
        <v>426630400</v>
      </c>
      <c r="M13" s="313"/>
      <c r="N13" s="313"/>
      <c r="P13" s="95"/>
      <c r="Q13" s="95"/>
      <c r="R13" s="95"/>
      <c r="S13" s="95"/>
      <c r="T13" s="95"/>
      <c r="U13" s="95"/>
      <c r="V13" s="95"/>
      <c r="W13" s="95"/>
      <c r="X13" s="95"/>
      <c r="Y13" s="95"/>
      <c r="Z13" s="89"/>
      <c r="AA13" s="89"/>
    </row>
    <row r="14" spans="1:32" ht="15.75" customHeight="1" x14ac:dyDescent="0.2">
      <c r="B14" s="313" t="str">
        <f>"TOTAL CRP PROPONENTE: "&amp;$F$4</f>
        <v>TOTAL CRP PROPONENTE: CONSORCIO VENTURA &amp; CO</v>
      </c>
      <c r="C14" s="313"/>
      <c r="D14" s="313"/>
      <c r="E14" s="313"/>
      <c r="F14" s="313"/>
      <c r="G14" s="313"/>
      <c r="H14" s="313"/>
      <c r="I14" s="313"/>
      <c r="J14" s="313"/>
      <c r="K14" s="313"/>
      <c r="L14" s="314">
        <f>SUM(L11:N13)</f>
        <v>1279891200</v>
      </c>
      <c r="M14" s="314"/>
      <c r="N14" s="314"/>
      <c r="P14" s="64"/>
      <c r="Q14" s="64"/>
      <c r="R14" s="64"/>
      <c r="S14" s="64"/>
      <c r="T14" s="64"/>
      <c r="Z14" s="64"/>
      <c r="AA14" s="64"/>
      <c r="AB14" s="64"/>
      <c r="AC14" s="64"/>
      <c r="AD14" s="64"/>
      <c r="AE14" s="64"/>
      <c r="AF14" s="64"/>
    </row>
    <row r="15" spans="1:32" ht="15.75" customHeight="1" x14ac:dyDescent="0.2">
      <c r="B15" s="320" t="str">
        <f>"CONDICIÓN DEL PROPONENTE: "&amp;$F$4</f>
        <v>CONDICIÓN DEL PROPONENTE: CONSORCIO VENTURA &amp; CO</v>
      </c>
      <c r="C15" s="321"/>
      <c r="D15" s="321"/>
      <c r="E15" s="321"/>
      <c r="F15" s="321"/>
      <c r="G15" s="321"/>
      <c r="H15" s="321"/>
      <c r="I15" s="321"/>
      <c r="J15" s="321"/>
      <c r="K15" s="322"/>
      <c r="L15" s="323" t="str">
        <f>IF(AND(IF(L172="CUMPLE",TRUE,FALSE),IF(L175="CUMPLE",TRUE,FALSE),IF(L178="CUMPLE",TRUE,FALSE),IF(IF(L14&lt;I20,Q28,Q27)="CUMPLE",TRUE,FALSE))=TRUE,"CUMPLE",IF(OR(L172="",L175="",L178="")=TRUE,"PENDIENTE REVISIÓN","NO CUMPLE"))</f>
        <v>PENDIENTE REVISIÓN</v>
      </c>
      <c r="M15" s="323"/>
      <c r="N15" s="323"/>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11" t="s">
        <v>96</v>
      </c>
      <c r="C17" s="311"/>
      <c r="D17" s="311"/>
      <c r="E17" s="311"/>
      <c r="F17" s="311"/>
      <c r="G17" s="311"/>
      <c r="H17" s="311"/>
      <c r="I17" s="311"/>
      <c r="J17" s="311"/>
      <c r="K17" s="311"/>
      <c r="L17" s="311"/>
      <c r="M17" s="311"/>
      <c r="N17" s="311"/>
      <c r="P17" s="96"/>
      <c r="Q17" s="96"/>
      <c r="R17" s="96"/>
      <c r="S17" s="96"/>
      <c r="T17" s="96"/>
      <c r="U17" s="96"/>
      <c r="V17" s="96"/>
      <c r="X17" s="98"/>
      <c r="Y17" s="98"/>
      <c r="Z17" s="64"/>
      <c r="AB17" s="64"/>
      <c r="AC17" s="64"/>
      <c r="AD17" s="64"/>
      <c r="AE17" s="64"/>
      <c r="AF17" s="64"/>
    </row>
    <row r="18" spans="2:33" ht="12.75" x14ac:dyDescent="0.2">
      <c r="B18" s="311" t="s">
        <v>97</v>
      </c>
      <c r="C18" s="311"/>
      <c r="D18" s="311"/>
      <c r="E18" s="311"/>
      <c r="F18" s="311" t="s">
        <v>98</v>
      </c>
      <c r="G18" s="311"/>
      <c r="H18" s="91" t="s">
        <v>99</v>
      </c>
      <c r="I18" s="312" t="s">
        <v>100</v>
      </c>
      <c r="J18" s="312"/>
      <c r="K18" s="312"/>
      <c r="L18" s="312"/>
      <c r="M18" s="312"/>
      <c r="N18" s="312"/>
      <c r="P18" s="96"/>
      <c r="Q18" s="96"/>
      <c r="R18" s="96"/>
      <c r="S18" s="96"/>
      <c r="T18" s="96"/>
      <c r="U18" s="96"/>
      <c r="V18" s="96"/>
      <c r="X18" s="64"/>
      <c r="Y18" s="64"/>
      <c r="Z18" s="64"/>
      <c r="AB18" s="64"/>
      <c r="AC18" s="64"/>
      <c r="AD18" s="64"/>
      <c r="AE18" s="64"/>
      <c r="AF18" s="64"/>
    </row>
    <row r="19" spans="2:33" ht="15.75" customHeight="1" x14ac:dyDescent="0.2">
      <c r="B19" s="333">
        <f>+'EVALUACIÓN EXPERIENCIA'!D5</f>
        <v>724761029</v>
      </c>
      <c r="C19" s="333"/>
      <c r="D19" s="333"/>
      <c r="E19" s="333"/>
      <c r="F19" s="333">
        <f>+B19*25%</f>
        <v>181190257.25</v>
      </c>
      <c r="G19" s="333"/>
      <c r="H19" s="100">
        <v>3</v>
      </c>
      <c r="I19" s="334">
        <f>IFERROR(ROUND(((B19-F19)/H19)*12,0),0)</f>
        <v>2174283087</v>
      </c>
      <c r="J19" s="334"/>
      <c r="K19" s="334"/>
      <c r="L19" s="334"/>
      <c r="M19" s="334"/>
      <c r="N19" s="334"/>
      <c r="P19" s="64"/>
      <c r="Q19" s="64"/>
      <c r="R19" s="64"/>
      <c r="S19" s="64"/>
      <c r="T19" s="64"/>
      <c r="U19" s="64"/>
      <c r="V19" s="64"/>
      <c r="W19" s="64"/>
      <c r="X19" s="64"/>
      <c r="Y19" s="64"/>
      <c r="Z19" s="64"/>
      <c r="AA19" s="64"/>
      <c r="AB19" s="64"/>
      <c r="AC19" s="64"/>
      <c r="AD19" s="64"/>
      <c r="AE19" s="64"/>
      <c r="AF19" s="64"/>
    </row>
    <row r="20" spans="2:33" ht="15.75" customHeight="1" thickBot="1" x14ac:dyDescent="0.25">
      <c r="B20" s="335" t="s">
        <v>101</v>
      </c>
      <c r="C20" s="335"/>
      <c r="D20" s="335"/>
      <c r="E20" s="335"/>
      <c r="F20" s="335"/>
      <c r="G20" s="335"/>
      <c r="H20" s="335"/>
      <c r="I20" s="314">
        <f>SUM(I19:N19)</f>
        <v>2174283087</v>
      </c>
      <c r="J20" s="314"/>
      <c r="K20" s="314"/>
      <c r="L20" s="314"/>
      <c r="M20" s="314"/>
      <c r="N20" s="314"/>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37" t="s">
        <v>108</v>
      </c>
      <c r="U21" s="337"/>
      <c r="V21" s="338" t="e">
        <f>#REF!</f>
        <v>#REF!</v>
      </c>
      <c r="W21" s="339"/>
      <c r="X21" s="339"/>
      <c r="Y21" s="339"/>
      <c r="Z21" s="339"/>
      <c r="AA21" s="340"/>
    </row>
    <row r="22" spans="2:33" ht="15.75" customHeight="1" thickBot="1" x14ac:dyDescent="0.3">
      <c r="B22" s="372" t="str">
        <f>"INTEGRANTE 1: "&amp;$C$7</f>
        <v>INTEGRANTE 1: MARIA JOSE HERRERA GUZMAN</v>
      </c>
      <c r="C22" s="373"/>
      <c r="D22" s="373"/>
      <c r="E22" s="373"/>
      <c r="F22" s="373"/>
      <c r="G22" s="373"/>
      <c r="H22" s="373"/>
      <c r="I22" s="373"/>
      <c r="J22" s="373"/>
      <c r="K22" s="373"/>
      <c r="L22" s="373"/>
      <c r="M22" s="373"/>
      <c r="N22" s="374"/>
      <c r="Q22" s="103" t="s">
        <v>210</v>
      </c>
      <c r="T22" s="104" t="s">
        <v>111</v>
      </c>
      <c r="U22" s="105">
        <v>45614</v>
      </c>
      <c r="AA22" s="106"/>
      <c r="AC22" s="107"/>
      <c r="AE22" s="107"/>
    </row>
    <row r="23" spans="2:33" ht="13.5" thickBot="1" x14ac:dyDescent="0.3">
      <c r="B23" s="392" t="s">
        <v>102</v>
      </c>
      <c r="C23" s="392"/>
      <c r="D23" s="392"/>
      <c r="E23" s="392"/>
      <c r="F23" s="392"/>
      <c r="G23" s="392"/>
      <c r="H23" s="392"/>
      <c r="I23" s="336">
        <f>$G$7</f>
        <v>0.5</v>
      </c>
      <c r="J23" s="336"/>
      <c r="K23" s="336"/>
      <c r="L23" s="336"/>
      <c r="M23" s="336"/>
      <c r="N23" s="336"/>
      <c r="Q23" s="108">
        <v>1423500</v>
      </c>
      <c r="T23" s="109"/>
      <c r="U23" s="110"/>
      <c r="Y23" s="106"/>
      <c r="AA23" s="107"/>
      <c r="AB23" s="111"/>
      <c r="AE23" s="107"/>
    </row>
    <row r="24" spans="2:33" ht="12.75" x14ac:dyDescent="0.25">
      <c r="B24" s="311" t="s">
        <v>103</v>
      </c>
      <c r="C24" s="311"/>
      <c r="D24" s="311"/>
      <c r="E24" s="311"/>
      <c r="F24" s="311"/>
      <c r="G24" s="311"/>
      <c r="H24" s="311" t="s">
        <v>104</v>
      </c>
      <c r="I24" s="311"/>
      <c r="J24" s="311"/>
      <c r="K24" s="311"/>
      <c r="L24" s="311"/>
      <c r="M24" s="311"/>
      <c r="N24" s="91" t="s">
        <v>105</v>
      </c>
      <c r="Q24" s="112"/>
      <c r="T24" s="353" t="s">
        <v>113</v>
      </c>
      <c r="U24" s="342" t="s">
        <v>114</v>
      </c>
      <c r="V24" s="342" t="s">
        <v>115</v>
      </c>
      <c r="W24" s="342" t="s">
        <v>116</v>
      </c>
      <c r="X24" s="342" t="s">
        <v>117</v>
      </c>
      <c r="Y24" s="342" t="s">
        <v>118</v>
      </c>
      <c r="Z24" s="342" t="s">
        <v>119</v>
      </c>
      <c r="AA24" s="342" t="s">
        <v>120</v>
      </c>
      <c r="AB24" s="342" t="s">
        <v>121</v>
      </c>
      <c r="AC24" s="342" t="s">
        <v>122</v>
      </c>
      <c r="AD24" s="342" t="s">
        <v>123</v>
      </c>
      <c r="AE24" s="342" t="s">
        <v>124</v>
      </c>
    </row>
    <row r="25" spans="2:33" ht="13.5" thickBot="1" x14ac:dyDescent="0.3">
      <c r="B25" s="344"/>
      <c r="C25" s="345"/>
      <c r="D25" s="345"/>
      <c r="E25" s="345"/>
      <c r="F25" s="345"/>
      <c r="G25" s="346"/>
      <c r="H25" s="341" t="s">
        <v>106</v>
      </c>
      <c r="I25" s="341"/>
      <c r="J25" s="341"/>
      <c r="K25" s="341"/>
      <c r="L25" s="341"/>
      <c r="M25" s="341"/>
      <c r="N25" s="79">
        <v>120</v>
      </c>
      <c r="Q25" s="112"/>
      <c r="T25" s="354"/>
      <c r="U25" s="343"/>
      <c r="V25" s="343"/>
      <c r="W25" s="343"/>
      <c r="X25" s="343"/>
      <c r="Y25" s="343"/>
      <c r="Z25" s="343"/>
      <c r="AA25" s="343"/>
      <c r="AB25" s="343"/>
      <c r="AC25" s="343"/>
      <c r="AD25" s="343"/>
      <c r="AE25" s="343"/>
    </row>
    <row r="26" spans="2:33" ht="15.75" customHeight="1" thickBot="1" x14ac:dyDescent="0.3">
      <c r="B26" s="347"/>
      <c r="C26" s="348"/>
      <c r="D26" s="348"/>
      <c r="E26" s="348"/>
      <c r="F26" s="348"/>
      <c r="G26" s="349"/>
      <c r="H26" s="341" t="s">
        <v>107</v>
      </c>
      <c r="I26" s="341"/>
      <c r="J26" s="341"/>
      <c r="K26" s="341"/>
      <c r="L26" s="341"/>
      <c r="M26" s="341"/>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47"/>
      <c r="C27" s="348"/>
      <c r="D27" s="348"/>
      <c r="E27" s="348"/>
      <c r="F27" s="348"/>
      <c r="G27" s="349"/>
      <c r="H27" s="341" t="s">
        <v>109</v>
      </c>
      <c r="I27" s="341"/>
      <c r="J27" s="341"/>
      <c r="K27" s="341"/>
      <c r="L27" s="341"/>
      <c r="M27" s="341"/>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0"/>
      <c r="C28" s="351"/>
      <c r="D28" s="351"/>
      <c r="E28" s="351"/>
      <c r="F28" s="351"/>
      <c r="G28" s="352"/>
      <c r="H28" s="311" t="s">
        <v>44</v>
      </c>
      <c r="I28" s="311"/>
      <c r="J28" s="311"/>
      <c r="K28" s="311"/>
      <c r="L28" s="311"/>
      <c r="M28" s="311"/>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1" t="s">
        <v>112</v>
      </c>
      <c r="C29" s="311"/>
      <c r="D29" s="311"/>
      <c r="E29" s="311"/>
      <c r="F29" s="311"/>
      <c r="G29" s="311"/>
      <c r="H29" s="311"/>
      <c r="I29" s="311"/>
      <c r="J29" s="311"/>
      <c r="K29" s="311"/>
      <c r="L29" s="311"/>
      <c r="M29" s="311"/>
      <c r="N29" s="311"/>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5" t="s">
        <v>125</v>
      </c>
      <c r="C30" s="356"/>
      <c r="D30" s="356"/>
      <c r="E30" s="356"/>
      <c r="F30" s="356"/>
      <c r="G30" s="356"/>
      <c r="H30" s="357"/>
      <c r="I30" s="320" t="s">
        <v>126</v>
      </c>
      <c r="J30" s="321"/>
      <c r="K30" s="321"/>
      <c r="L30" s="321"/>
      <c r="M30" s="321"/>
      <c r="N30" s="322"/>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61" t="s">
        <v>127</v>
      </c>
      <c r="C31" s="361"/>
      <c r="D31" s="361"/>
      <c r="E31" s="361"/>
      <c r="F31" s="361"/>
      <c r="G31" s="361"/>
      <c r="H31" s="361"/>
      <c r="I31" s="362">
        <f>IF($H$7&gt;$R$31,$H$7,$R$31)</f>
        <v>533288000</v>
      </c>
      <c r="J31" s="363"/>
      <c r="K31" s="363"/>
      <c r="L31" s="363"/>
      <c r="M31" s="363"/>
      <c r="N31" s="364"/>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11" t="s">
        <v>129</v>
      </c>
      <c r="C32" s="311"/>
      <c r="D32" s="311"/>
      <c r="E32" s="311"/>
      <c r="F32" s="311"/>
      <c r="G32" s="311"/>
      <c r="H32" s="311"/>
      <c r="I32" s="311"/>
      <c r="J32" s="311"/>
      <c r="K32" s="311"/>
      <c r="L32" s="311"/>
      <c r="M32" s="311"/>
      <c r="N32" s="311"/>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1" t="s">
        <v>133</v>
      </c>
      <c r="C33" s="311"/>
      <c r="D33" s="311"/>
      <c r="E33" s="311"/>
      <c r="F33" s="311"/>
      <c r="G33" s="311"/>
      <c r="H33" s="311"/>
      <c r="I33" s="311"/>
      <c r="J33" s="311"/>
      <c r="K33" s="311"/>
      <c r="L33" s="311"/>
      <c r="M33" s="311"/>
      <c r="N33" s="311"/>
      <c r="P33" s="311" t="s">
        <v>146</v>
      </c>
      <c r="Q33" s="311"/>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358"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59"/>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59"/>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59"/>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59"/>
      <c r="P38" s="311" t="s">
        <v>153</v>
      </c>
      <c r="Q38" s="311"/>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59"/>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59"/>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59"/>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59"/>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59"/>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59"/>
      <c r="P44" s="311" t="s">
        <v>160</v>
      </c>
      <c r="Q44" s="311"/>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59"/>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59"/>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59"/>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59"/>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59"/>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59"/>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59"/>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59"/>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59"/>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59"/>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60"/>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65" t="s">
        <v>167</v>
      </c>
      <c r="C56" s="365"/>
      <c r="D56" s="365"/>
      <c r="E56" s="365"/>
      <c r="F56" s="365"/>
      <c r="G56" s="365"/>
      <c r="H56" s="365"/>
      <c r="I56" s="365"/>
      <c r="J56" s="366">
        <f>SUM(C35:C55,G35:G55,K35:K55,E35:E55,I35:I55,K35:K55,M35:M55)</f>
        <v>0</v>
      </c>
      <c r="K56" s="366"/>
      <c r="L56" s="366"/>
      <c r="M56" s="366"/>
      <c r="N56" s="366"/>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65" t="s">
        <v>171</v>
      </c>
      <c r="C57" s="365"/>
      <c r="D57" s="365"/>
      <c r="E57" s="365"/>
      <c r="F57" s="365"/>
      <c r="G57" s="365"/>
      <c r="H57" s="365"/>
      <c r="I57" s="365"/>
      <c r="J57" s="311">
        <f>IFERROR($J$56/(($B$19)*I23),0)</f>
        <v>0</v>
      </c>
      <c r="K57" s="311"/>
      <c r="L57" s="311"/>
      <c r="M57" s="311"/>
      <c r="N57" s="311"/>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65" t="s">
        <v>173</v>
      </c>
      <c r="C58" s="365"/>
      <c r="D58" s="365"/>
      <c r="E58" s="365"/>
      <c r="F58" s="365"/>
      <c r="G58" s="365"/>
      <c r="H58" s="365"/>
      <c r="I58" s="365"/>
      <c r="J58" s="365"/>
      <c r="K58" s="365"/>
      <c r="L58" s="369">
        <f>IF(J57&gt;P37,R37,IF(J57&gt;P36,R36,IF(J57&gt;P35,R35,R34)))</f>
        <v>60</v>
      </c>
      <c r="M58" s="369"/>
      <c r="N58" s="369"/>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11" t="s">
        <v>175</v>
      </c>
      <c r="C59" s="311"/>
      <c r="D59" s="311"/>
      <c r="E59" s="311"/>
      <c r="F59" s="311"/>
      <c r="G59" s="311"/>
      <c r="H59" s="311"/>
      <c r="I59" s="311"/>
      <c r="J59" s="311"/>
      <c r="K59" s="311"/>
      <c r="L59" s="311"/>
      <c r="M59" s="311"/>
      <c r="N59" s="311"/>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44"/>
      <c r="C60" s="345"/>
      <c r="D60" s="345"/>
      <c r="E60" s="345"/>
      <c r="F60" s="345"/>
      <c r="G60" s="346"/>
      <c r="H60" s="370" t="s">
        <v>177</v>
      </c>
      <c r="I60" s="370"/>
      <c r="J60" s="370"/>
      <c r="K60" s="370"/>
      <c r="L60" s="333">
        <f>$I$7</f>
        <v>0</v>
      </c>
      <c r="M60" s="333"/>
      <c r="N60" s="333"/>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47"/>
      <c r="C61" s="348"/>
      <c r="D61" s="348"/>
      <c r="E61" s="348"/>
      <c r="F61" s="348"/>
      <c r="G61" s="349"/>
      <c r="H61" s="370" t="s">
        <v>179</v>
      </c>
      <c r="I61" s="370"/>
      <c r="J61" s="370"/>
      <c r="K61" s="370"/>
      <c r="L61" s="333">
        <f>$J$7</f>
        <v>0</v>
      </c>
      <c r="M61" s="333"/>
      <c r="N61" s="333"/>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50"/>
      <c r="C62" s="351"/>
      <c r="D62" s="351"/>
      <c r="E62" s="351"/>
      <c r="F62" s="351"/>
      <c r="G62" s="352"/>
      <c r="H62" s="365" t="s">
        <v>181</v>
      </c>
      <c r="I62" s="365"/>
      <c r="J62" s="365"/>
      <c r="K62" s="365"/>
      <c r="L62" s="371">
        <f>IFERROR(ROUND(L60/L61,2),0)</f>
        <v>0</v>
      </c>
      <c r="M62" s="371"/>
      <c r="N62" s="371"/>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65" t="s">
        <v>183</v>
      </c>
      <c r="C63" s="365"/>
      <c r="D63" s="365"/>
      <c r="E63" s="365"/>
      <c r="F63" s="365"/>
      <c r="G63" s="365"/>
      <c r="H63" s="365"/>
      <c r="I63" s="365"/>
      <c r="J63" s="365"/>
      <c r="K63" s="365"/>
      <c r="L63" s="369">
        <f>IF(L62&gt;P43,R43,IF(L62&gt;P42,R42,IF(L62&gt;P41,R41,IF(L62&gt;P40,R40,R39))))</f>
        <v>20</v>
      </c>
      <c r="M63" s="369"/>
      <c r="N63" s="369"/>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11" t="s">
        <v>185</v>
      </c>
      <c r="C64" s="311"/>
      <c r="D64" s="311"/>
      <c r="E64" s="311"/>
      <c r="F64" s="311"/>
      <c r="G64" s="311"/>
      <c r="H64" s="311"/>
      <c r="I64" s="311"/>
      <c r="J64" s="311"/>
      <c r="K64" s="311"/>
      <c r="L64" s="311"/>
      <c r="M64" s="311"/>
      <c r="N64" s="311"/>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75" t="s">
        <v>94</v>
      </c>
      <c r="C65" s="375"/>
      <c r="D65" s="375"/>
      <c r="E65" s="375"/>
      <c r="F65" s="375"/>
      <c r="G65" s="375"/>
      <c r="H65" s="375"/>
      <c r="I65" s="375"/>
      <c r="J65" s="375"/>
      <c r="K65" s="375"/>
      <c r="L65" s="375"/>
      <c r="M65" s="368">
        <f>$K$7</f>
        <v>0</v>
      </c>
      <c r="N65" s="368"/>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65" t="s">
        <v>188</v>
      </c>
      <c r="C66" s="365"/>
      <c r="D66" s="365"/>
      <c r="E66" s="365"/>
      <c r="F66" s="365"/>
      <c r="G66" s="365"/>
      <c r="H66" s="365"/>
      <c r="I66" s="365"/>
      <c r="J66" s="365"/>
      <c r="K66" s="365"/>
      <c r="L66" s="369">
        <f>IF(M65&gt;P48,R48,IF(M65&gt;P47,R47,IF(M65&gt;P46,R46,R45)))</f>
        <v>0</v>
      </c>
      <c r="M66" s="369"/>
      <c r="N66" s="369"/>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65" t="str">
        <f>"CAPACIDAD DE CONTRATACIÓN INTEGRANTE 1: "&amp;$B$22</f>
        <v>CAPACIDAD DE CONTRATACIÓN INTEGRANTE 1: INTEGRANTE 1: MARIA JOSE HERRERA GUZMAN</v>
      </c>
      <c r="C68" s="365"/>
      <c r="D68" s="365"/>
      <c r="E68" s="365"/>
      <c r="F68" s="365"/>
      <c r="G68" s="365"/>
      <c r="H68" s="365"/>
      <c r="I68" s="365"/>
      <c r="J68" s="365"/>
      <c r="K68" s="365"/>
      <c r="L68" s="314">
        <f>I31*((L58+L63+L66)/100)</f>
        <v>426630400</v>
      </c>
      <c r="M68" s="314"/>
      <c r="N68" s="314"/>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65" t="str">
        <f>"SALDO DE LOS CONTRATOS EN EJECUCIÓN INTEGRANTE 1: "&amp;$B$22</f>
        <v>SALDO DE LOS CONTRATOS EN EJECUCIÓN INTEGRANTE 1: INTEGRANTE 1: MARIA JOSE HERRERA GUZMAN</v>
      </c>
      <c r="C69" s="365"/>
      <c r="D69" s="365"/>
      <c r="E69" s="365"/>
      <c r="F69" s="365"/>
      <c r="G69" s="365"/>
      <c r="H69" s="365"/>
      <c r="I69" s="365"/>
      <c r="J69" s="365"/>
      <c r="K69" s="365"/>
      <c r="L69" s="314">
        <f>$M$7</f>
        <v>0</v>
      </c>
      <c r="M69" s="314"/>
      <c r="N69" s="314"/>
      <c r="Z69" s="376" t="s">
        <v>199</v>
      </c>
      <c r="AA69" s="376"/>
      <c r="AB69" s="376"/>
      <c r="AC69" s="376"/>
      <c r="AD69" s="376"/>
      <c r="AE69" s="126">
        <f>SUM(AE26:AE68)</f>
        <v>2921045560</v>
      </c>
    </row>
    <row r="70" spans="2:31" ht="15.75" customHeight="1" x14ac:dyDescent="0.2">
      <c r="B70" s="365" t="str">
        <f>"CAPACIDAD RESIDUAL DE CONTRATACIÓN INTEGRANTE 1: "&amp;$B$22</f>
        <v>CAPACIDAD RESIDUAL DE CONTRATACIÓN INTEGRANTE 1: INTEGRANTE 1: MARIA JOSE HERRERA GUZMAN</v>
      </c>
      <c r="C70" s="365"/>
      <c r="D70" s="365"/>
      <c r="E70" s="365"/>
      <c r="F70" s="365"/>
      <c r="G70" s="365"/>
      <c r="H70" s="365"/>
      <c r="I70" s="365"/>
      <c r="J70" s="365"/>
      <c r="K70" s="365"/>
      <c r="L70" s="314">
        <f>L68-L69</f>
        <v>426630400</v>
      </c>
      <c r="M70" s="314"/>
      <c r="N70" s="314"/>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72" t="str">
        <f>"INTEGRANTE 2: "&amp;$C$8</f>
        <v>INTEGRANTE 2: VENTURA &amp; CO. SAS</v>
      </c>
      <c r="C72" s="373"/>
      <c r="D72" s="373"/>
      <c r="E72" s="373"/>
      <c r="F72" s="373"/>
      <c r="G72" s="373"/>
      <c r="H72" s="373"/>
      <c r="I72" s="373"/>
      <c r="J72" s="373"/>
      <c r="K72" s="373"/>
      <c r="L72" s="373"/>
      <c r="M72" s="373"/>
      <c r="N72" s="374"/>
      <c r="T72" s="337" t="s">
        <v>108</v>
      </c>
      <c r="U72" s="337"/>
      <c r="V72" s="338" t="str">
        <f>B72</f>
        <v>INTEGRANTE 2: VENTURA &amp; CO. SAS</v>
      </c>
      <c r="W72" s="339"/>
      <c r="X72" s="339"/>
      <c r="Y72" s="339"/>
      <c r="Z72" s="339"/>
      <c r="AA72" s="340"/>
    </row>
    <row r="73" spans="2:31" ht="15.75" customHeight="1" x14ac:dyDescent="0.25">
      <c r="B73" s="314" t="s">
        <v>102</v>
      </c>
      <c r="C73" s="314"/>
      <c r="D73" s="314"/>
      <c r="E73" s="314"/>
      <c r="F73" s="314"/>
      <c r="G73" s="314"/>
      <c r="H73" s="314"/>
      <c r="I73" s="336">
        <f>$G$8</f>
        <v>0.5</v>
      </c>
      <c r="J73" s="336"/>
      <c r="K73" s="336"/>
      <c r="L73" s="336"/>
      <c r="M73" s="336"/>
      <c r="N73" s="336"/>
      <c r="T73" s="104" t="s">
        <v>111</v>
      </c>
      <c r="U73" s="129">
        <f>U22</f>
        <v>45614</v>
      </c>
    </row>
    <row r="74" spans="2:31" ht="15.75" customHeight="1" x14ac:dyDescent="0.25">
      <c r="B74" s="311" t="s">
        <v>103</v>
      </c>
      <c r="C74" s="311"/>
      <c r="D74" s="311"/>
      <c r="E74" s="311"/>
      <c r="F74" s="311"/>
      <c r="G74" s="311"/>
      <c r="H74" s="311" t="s">
        <v>104</v>
      </c>
      <c r="I74" s="311"/>
      <c r="J74" s="311"/>
      <c r="K74" s="311"/>
      <c r="L74" s="311"/>
      <c r="M74" s="311"/>
      <c r="N74" s="91" t="s">
        <v>105</v>
      </c>
      <c r="T74" s="109"/>
      <c r="U74" s="110"/>
    </row>
    <row r="75" spans="2:31" ht="18.75" customHeight="1" x14ac:dyDescent="0.25">
      <c r="B75" s="344"/>
      <c r="C75" s="345"/>
      <c r="D75" s="345"/>
      <c r="E75" s="345"/>
      <c r="F75" s="345"/>
      <c r="G75" s="346"/>
      <c r="H75" s="341" t="s">
        <v>106</v>
      </c>
      <c r="I75" s="341"/>
      <c r="J75" s="341"/>
      <c r="K75" s="341"/>
      <c r="L75" s="341"/>
      <c r="M75" s="341"/>
      <c r="N75" s="79">
        <v>120</v>
      </c>
      <c r="Q75" s="103" t="s">
        <v>210</v>
      </c>
      <c r="T75" s="353" t="s">
        <v>113</v>
      </c>
      <c r="U75" s="342" t="s">
        <v>114</v>
      </c>
      <c r="V75" s="342" t="s">
        <v>115</v>
      </c>
      <c r="W75" s="342" t="s">
        <v>116</v>
      </c>
      <c r="X75" s="342" t="s">
        <v>117</v>
      </c>
      <c r="Y75" s="342" t="s">
        <v>118</v>
      </c>
      <c r="Z75" s="342" t="s">
        <v>119</v>
      </c>
      <c r="AA75" s="342" t="s">
        <v>120</v>
      </c>
      <c r="AB75" s="342" t="s">
        <v>121</v>
      </c>
      <c r="AC75" s="342" t="s">
        <v>122</v>
      </c>
      <c r="AD75" s="342" t="s">
        <v>123</v>
      </c>
      <c r="AE75" s="342" t="s">
        <v>124</v>
      </c>
    </row>
    <row r="76" spans="2:31" ht="15.75" customHeight="1" x14ac:dyDescent="0.25">
      <c r="B76" s="347"/>
      <c r="C76" s="348"/>
      <c r="D76" s="348"/>
      <c r="E76" s="348"/>
      <c r="F76" s="348"/>
      <c r="G76" s="349"/>
      <c r="H76" s="341" t="s">
        <v>107</v>
      </c>
      <c r="I76" s="341"/>
      <c r="J76" s="341"/>
      <c r="K76" s="341"/>
      <c r="L76" s="341"/>
      <c r="M76" s="341"/>
      <c r="N76" s="79">
        <v>40</v>
      </c>
      <c r="Q76" s="108">
        <v>1423500</v>
      </c>
      <c r="T76" s="354"/>
      <c r="U76" s="343"/>
      <c r="V76" s="343"/>
      <c r="W76" s="343"/>
      <c r="X76" s="343"/>
      <c r="Y76" s="343"/>
      <c r="Z76" s="343"/>
      <c r="AA76" s="343"/>
      <c r="AB76" s="343"/>
      <c r="AC76" s="343"/>
      <c r="AD76" s="343"/>
      <c r="AE76" s="343"/>
    </row>
    <row r="77" spans="2:31" ht="15.75" customHeight="1" x14ac:dyDescent="0.25">
      <c r="B77" s="347"/>
      <c r="C77" s="348"/>
      <c r="D77" s="348"/>
      <c r="E77" s="348"/>
      <c r="F77" s="348"/>
      <c r="G77" s="349"/>
      <c r="H77" s="341" t="s">
        <v>109</v>
      </c>
      <c r="I77" s="341"/>
      <c r="J77" s="341"/>
      <c r="K77" s="341"/>
      <c r="L77" s="341"/>
      <c r="M77" s="341"/>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50"/>
      <c r="C78" s="351"/>
      <c r="D78" s="351"/>
      <c r="E78" s="351"/>
      <c r="F78" s="351"/>
      <c r="G78" s="352"/>
      <c r="H78" s="311" t="s">
        <v>44</v>
      </c>
      <c r="I78" s="311"/>
      <c r="J78" s="311"/>
      <c r="K78" s="311"/>
      <c r="L78" s="311"/>
      <c r="M78" s="311"/>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11" t="s">
        <v>211</v>
      </c>
      <c r="C79" s="311"/>
      <c r="D79" s="311"/>
      <c r="E79" s="311"/>
      <c r="F79" s="311"/>
      <c r="G79" s="311"/>
      <c r="H79" s="311"/>
      <c r="I79" s="311"/>
      <c r="J79" s="311"/>
      <c r="K79" s="311"/>
      <c r="L79" s="311"/>
      <c r="M79" s="311"/>
      <c r="N79" s="311"/>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89" t="s">
        <v>125</v>
      </c>
      <c r="C80" s="390"/>
      <c r="D80" s="390"/>
      <c r="E80" s="390"/>
      <c r="F80" s="390"/>
      <c r="G80" s="390"/>
      <c r="H80" s="391"/>
      <c r="I80" s="320" t="s">
        <v>126</v>
      </c>
      <c r="J80" s="321"/>
      <c r="K80" s="321"/>
      <c r="L80" s="321"/>
      <c r="M80" s="321"/>
      <c r="N80" s="322"/>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86" t="s">
        <v>127</v>
      </c>
      <c r="C81" s="387"/>
      <c r="D81" s="387"/>
      <c r="E81" s="387"/>
      <c r="F81" s="387"/>
      <c r="G81" s="387"/>
      <c r="H81" s="388"/>
      <c r="I81" s="362">
        <f>IF($H$8&gt;$R$31,$H$8,$R$31)</f>
        <v>533288000</v>
      </c>
      <c r="J81" s="363"/>
      <c r="K81" s="363"/>
      <c r="L81" s="363"/>
      <c r="M81" s="363"/>
      <c r="N81" s="364"/>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11" t="s">
        <v>212</v>
      </c>
      <c r="C82" s="311"/>
      <c r="D82" s="311"/>
      <c r="E82" s="311"/>
      <c r="F82" s="311"/>
      <c r="G82" s="311"/>
      <c r="H82" s="311"/>
      <c r="I82" s="311"/>
      <c r="J82" s="311"/>
      <c r="K82" s="311"/>
      <c r="L82" s="311"/>
      <c r="M82" s="311"/>
      <c r="N82" s="311"/>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1" t="s">
        <v>133</v>
      </c>
      <c r="C83" s="311"/>
      <c r="D83" s="311"/>
      <c r="E83" s="311"/>
      <c r="F83" s="311"/>
      <c r="G83" s="311"/>
      <c r="H83" s="311"/>
      <c r="I83" s="311"/>
      <c r="J83" s="311"/>
      <c r="K83" s="311"/>
      <c r="L83" s="311"/>
      <c r="M83" s="311"/>
      <c r="N83" s="311"/>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358" t="s">
        <v>137</v>
      </c>
      <c r="P84" s="311" t="s">
        <v>146</v>
      </c>
      <c r="Q84" s="311"/>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59"/>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59"/>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59"/>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59"/>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59"/>
      <c r="P89" s="311" t="s">
        <v>153</v>
      </c>
      <c r="Q89" s="311"/>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59"/>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59"/>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59"/>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59"/>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59"/>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59"/>
      <c r="P95" s="311" t="s">
        <v>160</v>
      </c>
      <c r="Q95" s="311"/>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59"/>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59"/>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59"/>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59"/>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59"/>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59"/>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59"/>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59"/>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59"/>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60"/>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65" t="s">
        <v>167</v>
      </c>
      <c r="C106" s="365"/>
      <c r="D106" s="365"/>
      <c r="E106" s="365"/>
      <c r="F106" s="365"/>
      <c r="G106" s="365"/>
      <c r="H106" s="365"/>
      <c r="I106" s="365"/>
      <c r="J106" s="366">
        <f>SUM(C85:C105,G85:G105,K85:K105,E85:E105,I85:I105,K85:K105,M85:M105)</f>
        <v>0</v>
      </c>
      <c r="K106" s="366"/>
      <c r="L106" s="366"/>
      <c r="M106" s="366"/>
      <c r="N106" s="366"/>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65" t="s">
        <v>171</v>
      </c>
      <c r="C107" s="365"/>
      <c r="D107" s="365"/>
      <c r="E107" s="365"/>
      <c r="F107" s="365"/>
      <c r="G107" s="365"/>
      <c r="H107" s="365"/>
      <c r="I107" s="365"/>
      <c r="J107" s="311">
        <f>IFERROR(J106/(($B$19)*I73),0)</f>
        <v>0</v>
      </c>
      <c r="K107" s="311"/>
      <c r="L107" s="311"/>
      <c r="M107" s="311"/>
      <c r="N107" s="311"/>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65" t="s">
        <v>173</v>
      </c>
      <c r="C108" s="365"/>
      <c r="D108" s="365"/>
      <c r="E108" s="365"/>
      <c r="F108" s="365"/>
      <c r="G108" s="365"/>
      <c r="H108" s="365"/>
      <c r="I108" s="365"/>
      <c r="J108" s="365"/>
      <c r="K108" s="365"/>
      <c r="L108" s="369">
        <f>IF(J107&gt;P88,R88,IF(J107&gt;P87,R87,IF(J107&gt;P86,R86,R85)))</f>
        <v>60</v>
      </c>
      <c r="M108" s="369"/>
      <c r="N108" s="369"/>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11" t="s">
        <v>215</v>
      </c>
      <c r="C109" s="311"/>
      <c r="D109" s="311"/>
      <c r="E109" s="311"/>
      <c r="F109" s="311"/>
      <c r="G109" s="311"/>
      <c r="H109" s="311"/>
      <c r="I109" s="311"/>
      <c r="J109" s="311"/>
      <c r="K109" s="311"/>
      <c r="L109" s="311"/>
      <c r="M109" s="311"/>
      <c r="N109" s="311"/>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44"/>
      <c r="C110" s="345"/>
      <c r="D110" s="345"/>
      <c r="E110" s="345"/>
      <c r="F110" s="345"/>
      <c r="G110" s="346"/>
      <c r="H110" s="370" t="s">
        <v>177</v>
      </c>
      <c r="I110" s="370"/>
      <c r="J110" s="370"/>
      <c r="K110" s="370"/>
      <c r="L110" s="333">
        <f>$I$8</f>
        <v>0</v>
      </c>
      <c r="M110" s="333"/>
      <c r="N110" s="333"/>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47"/>
      <c r="C111" s="348"/>
      <c r="D111" s="348"/>
      <c r="E111" s="348"/>
      <c r="F111" s="348"/>
      <c r="G111" s="349"/>
      <c r="H111" s="370" t="s">
        <v>179</v>
      </c>
      <c r="I111" s="370"/>
      <c r="J111" s="370"/>
      <c r="K111" s="370"/>
      <c r="L111" s="333">
        <f>$J$8</f>
        <v>0</v>
      </c>
      <c r="M111" s="333"/>
      <c r="N111" s="333"/>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50"/>
      <c r="C112" s="351"/>
      <c r="D112" s="351"/>
      <c r="E112" s="351"/>
      <c r="F112" s="351"/>
      <c r="G112" s="352"/>
      <c r="H112" s="365" t="s">
        <v>181</v>
      </c>
      <c r="I112" s="365"/>
      <c r="J112" s="365"/>
      <c r="K112" s="365"/>
      <c r="L112" s="371">
        <f>IFERROR(ROUND(L110/L111,2),0)</f>
        <v>0</v>
      </c>
      <c r="M112" s="371"/>
      <c r="N112" s="371"/>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65" t="s">
        <v>183</v>
      </c>
      <c r="C113" s="365"/>
      <c r="D113" s="365"/>
      <c r="E113" s="365"/>
      <c r="F113" s="365"/>
      <c r="G113" s="365"/>
      <c r="H113" s="365"/>
      <c r="I113" s="365"/>
      <c r="J113" s="365"/>
      <c r="K113" s="365"/>
      <c r="L113" s="369">
        <f>IF(L112&gt;P94,R94,IF(L112&gt;P93,R93,IF(L112&gt;P92,R92,IF(L112&gt;P91,R91,R90))))</f>
        <v>20</v>
      </c>
      <c r="M113" s="369"/>
      <c r="N113" s="369"/>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11" t="s">
        <v>185</v>
      </c>
      <c r="C114" s="311"/>
      <c r="D114" s="311"/>
      <c r="E114" s="311"/>
      <c r="F114" s="311"/>
      <c r="G114" s="311"/>
      <c r="H114" s="311"/>
      <c r="I114" s="311"/>
      <c r="J114" s="311"/>
      <c r="K114" s="311"/>
      <c r="L114" s="311"/>
      <c r="M114" s="311"/>
      <c r="N114" s="311"/>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75" t="s">
        <v>94</v>
      </c>
      <c r="C115" s="375"/>
      <c r="D115" s="375"/>
      <c r="E115" s="375"/>
      <c r="F115" s="375"/>
      <c r="G115" s="375"/>
      <c r="H115" s="375"/>
      <c r="I115" s="375"/>
      <c r="J115" s="375"/>
      <c r="K115" s="375"/>
      <c r="L115" s="375"/>
      <c r="M115" s="368">
        <f>$K$8</f>
        <v>0</v>
      </c>
      <c r="N115" s="368"/>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65" t="s">
        <v>188</v>
      </c>
      <c r="C116" s="365"/>
      <c r="D116" s="365"/>
      <c r="E116" s="365"/>
      <c r="F116" s="365"/>
      <c r="G116" s="365"/>
      <c r="H116" s="365"/>
      <c r="I116" s="365"/>
      <c r="J116" s="365"/>
      <c r="K116" s="365"/>
      <c r="L116" s="369">
        <f>IF(M115&gt;P99,R99,IF(M115&gt;P98,R98,IF(M115&gt;P97,R97,R96)))</f>
        <v>0</v>
      </c>
      <c r="M116" s="369"/>
      <c r="N116" s="369"/>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65" t="str">
        <f>"CAPACIDAD DE CONTRATACIÓN "&amp;$F$72</f>
        <v xml:space="preserve">CAPACIDAD DE CONTRATACIÓN </v>
      </c>
      <c r="C118" s="365"/>
      <c r="D118" s="365"/>
      <c r="E118" s="365"/>
      <c r="F118" s="365"/>
      <c r="G118" s="365"/>
      <c r="H118" s="365"/>
      <c r="I118" s="365"/>
      <c r="J118" s="365"/>
      <c r="K118" s="365"/>
      <c r="L118" s="314">
        <f>I81*((L108+L113+L116)/100)</f>
        <v>426630400</v>
      </c>
      <c r="M118" s="314"/>
      <c r="N118" s="314"/>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65" t="str">
        <f>"SALDO DE LOS CONTRATOS EN EJECUCIÓN "&amp;$F$72</f>
        <v xml:space="preserve">SALDO DE LOS CONTRATOS EN EJECUCIÓN </v>
      </c>
      <c r="C119" s="365"/>
      <c r="D119" s="365"/>
      <c r="E119" s="365"/>
      <c r="F119" s="365"/>
      <c r="G119" s="365"/>
      <c r="H119" s="365"/>
      <c r="I119" s="365"/>
      <c r="J119" s="365"/>
      <c r="K119" s="365"/>
      <c r="L119" s="314">
        <f>$M$8</f>
        <v>0</v>
      </c>
      <c r="M119" s="314"/>
      <c r="N119" s="314"/>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65" t="str">
        <f>"CAPACIDAD RESIDUAL DE CONTRATACIÓN "&amp;$F$72</f>
        <v xml:space="preserve">CAPACIDAD RESIDUAL DE CONTRATACIÓN </v>
      </c>
      <c r="C120" s="365"/>
      <c r="D120" s="365"/>
      <c r="E120" s="365"/>
      <c r="F120" s="365"/>
      <c r="G120" s="365"/>
      <c r="H120" s="365"/>
      <c r="I120" s="365"/>
      <c r="J120" s="365"/>
      <c r="K120" s="365"/>
      <c r="L120" s="314">
        <f>L118-L119</f>
        <v>426630400</v>
      </c>
      <c r="M120" s="314"/>
      <c r="N120" s="314"/>
      <c r="P120" s="82" t="s">
        <v>201</v>
      </c>
      <c r="R120" s="83">
        <v>16</v>
      </c>
      <c r="Z120" s="376" t="s">
        <v>199</v>
      </c>
      <c r="AA120" s="376"/>
      <c r="AB120" s="376"/>
      <c r="AC120" s="376"/>
      <c r="AD120" s="376"/>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72" t="str">
        <f>"INTEGRANTE 3: "&amp;$C$9</f>
        <v>INTEGRANTE 3: 0</v>
      </c>
      <c r="C122" s="373"/>
      <c r="D122" s="373"/>
      <c r="E122" s="373"/>
      <c r="F122" s="373"/>
      <c r="G122" s="373"/>
      <c r="H122" s="373"/>
      <c r="I122" s="373"/>
      <c r="J122" s="373"/>
      <c r="K122" s="373"/>
      <c r="L122" s="373"/>
      <c r="M122" s="373"/>
      <c r="N122" s="374"/>
      <c r="T122" s="337" t="s">
        <v>108</v>
      </c>
      <c r="U122" s="337"/>
      <c r="V122" s="338" t="str">
        <f>B122</f>
        <v>INTEGRANTE 3: 0</v>
      </c>
      <c r="W122" s="339"/>
      <c r="X122" s="339"/>
      <c r="Y122" s="339"/>
      <c r="Z122" s="339"/>
      <c r="AA122" s="340"/>
    </row>
    <row r="123" spans="2:31" ht="15.75" customHeight="1" x14ac:dyDescent="0.25">
      <c r="B123" s="314" t="s">
        <v>102</v>
      </c>
      <c r="C123" s="314"/>
      <c r="D123" s="314"/>
      <c r="E123" s="314"/>
      <c r="F123" s="314"/>
      <c r="G123" s="314"/>
      <c r="H123" s="314"/>
      <c r="I123" s="336">
        <f>$G$9</f>
        <v>0</v>
      </c>
      <c r="J123" s="336"/>
      <c r="K123" s="336"/>
      <c r="L123" s="336"/>
      <c r="M123" s="336"/>
      <c r="N123" s="336"/>
      <c r="T123" s="104" t="s">
        <v>111</v>
      </c>
      <c r="U123" s="129">
        <f>U72</f>
        <v>0</v>
      </c>
    </row>
    <row r="124" spans="2:31" ht="15.75" customHeight="1" x14ac:dyDescent="0.25">
      <c r="B124" s="311" t="s">
        <v>103</v>
      </c>
      <c r="C124" s="311"/>
      <c r="D124" s="311"/>
      <c r="E124" s="311"/>
      <c r="F124" s="311"/>
      <c r="G124" s="311"/>
      <c r="H124" s="311" t="s">
        <v>104</v>
      </c>
      <c r="I124" s="311"/>
      <c r="J124" s="311"/>
      <c r="K124" s="311"/>
      <c r="L124" s="311"/>
      <c r="M124" s="311"/>
      <c r="N124" s="91" t="s">
        <v>105</v>
      </c>
      <c r="T124" s="109"/>
      <c r="U124" s="110"/>
    </row>
    <row r="125" spans="2:31" ht="18.75" customHeight="1" x14ac:dyDescent="0.25">
      <c r="B125" s="344"/>
      <c r="C125" s="345"/>
      <c r="D125" s="345"/>
      <c r="E125" s="345"/>
      <c r="F125" s="345"/>
      <c r="G125" s="346"/>
      <c r="H125" s="341" t="s">
        <v>106</v>
      </c>
      <c r="I125" s="341"/>
      <c r="J125" s="341"/>
      <c r="K125" s="341"/>
      <c r="L125" s="341"/>
      <c r="M125" s="341"/>
      <c r="N125" s="79">
        <v>120</v>
      </c>
      <c r="Q125" s="103" t="s">
        <v>210</v>
      </c>
      <c r="T125" s="353" t="s">
        <v>113</v>
      </c>
      <c r="U125" s="342" t="s">
        <v>114</v>
      </c>
      <c r="V125" s="342" t="s">
        <v>115</v>
      </c>
      <c r="W125" s="342" t="s">
        <v>116</v>
      </c>
      <c r="X125" s="342" t="s">
        <v>117</v>
      </c>
      <c r="Y125" s="342" t="s">
        <v>118</v>
      </c>
      <c r="Z125" s="342" t="s">
        <v>119</v>
      </c>
      <c r="AA125" s="342" t="s">
        <v>120</v>
      </c>
      <c r="AB125" s="342" t="s">
        <v>121</v>
      </c>
      <c r="AC125" s="342" t="s">
        <v>122</v>
      </c>
      <c r="AD125" s="342" t="s">
        <v>123</v>
      </c>
      <c r="AE125" s="342" t="s">
        <v>124</v>
      </c>
    </row>
    <row r="126" spans="2:31" ht="15.75" customHeight="1" x14ac:dyDescent="0.25">
      <c r="B126" s="347"/>
      <c r="C126" s="348"/>
      <c r="D126" s="348"/>
      <c r="E126" s="348"/>
      <c r="F126" s="348"/>
      <c r="G126" s="349"/>
      <c r="H126" s="341" t="s">
        <v>107</v>
      </c>
      <c r="I126" s="341"/>
      <c r="J126" s="341"/>
      <c r="K126" s="341"/>
      <c r="L126" s="341"/>
      <c r="M126" s="341"/>
      <c r="N126" s="79">
        <v>40</v>
      </c>
      <c r="Q126" s="108">
        <v>1423500</v>
      </c>
      <c r="T126" s="354"/>
      <c r="U126" s="343"/>
      <c r="V126" s="343"/>
      <c r="W126" s="343"/>
      <c r="X126" s="343"/>
      <c r="Y126" s="343"/>
      <c r="Z126" s="343"/>
      <c r="AA126" s="343"/>
      <c r="AB126" s="343"/>
      <c r="AC126" s="343"/>
      <c r="AD126" s="343"/>
      <c r="AE126" s="343"/>
    </row>
    <row r="127" spans="2:31" ht="15.75" customHeight="1" x14ac:dyDescent="0.25">
      <c r="B127" s="347"/>
      <c r="C127" s="348"/>
      <c r="D127" s="348"/>
      <c r="E127" s="348"/>
      <c r="F127" s="348"/>
      <c r="G127" s="349"/>
      <c r="H127" s="341" t="s">
        <v>109</v>
      </c>
      <c r="I127" s="341"/>
      <c r="J127" s="341"/>
      <c r="K127" s="341"/>
      <c r="L127" s="341"/>
      <c r="M127" s="341"/>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50"/>
      <c r="C128" s="351"/>
      <c r="D128" s="351"/>
      <c r="E128" s="351"/>
      <c r="F128" s="351"/>
      <c r="G128" s="352"/>
      <c r="H128" s="311" t="s">
        <v>44</v>
      </c>
      <c r="I128" s="311"/>
      <c r="J128" s="311"/>
      <c r="K128" s="311"/>
      <c r="L128" s="311"/>
      <c r="M128" s="311"/>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11" t="s">
        <v>211</v>
      </c>
      <c r="C129" s="311"/>
      <c r="D129" s="311"/>
      <c r="E129" s="311"/>
      <c r="F129" s="311"/>
      <c r="G129" s="311"/>
      <c r="H129" s="311"/>
      <c r="I129" s="311"/>
      <c r="J129" s="311"/>
      <c r="K129" s="311"/>
      <c r="L129" s="311"/>
      <c r="M129" s="311"/>
      <c r="N129" s="311"/>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89" t="s">
        <v>125</v>
      </c>
      <c r="C130" s="390"/>
      <c r="D130" s="390"/>
      <c r="E130" s="390"/>
      <c r="F130" s="390"/>
      <c r="G130" s="390"/>
      <c r="H130" s="391"/>
      <c r="I130" s="320" t="s">
        <v>126</v>
      </c>
      <c r="J130" s="321"/>
      <c r="K130" s="321"/>
      <c r="L130" s="321"/>
      <c r="M130" s="321"/>
      <c r="N130" s="322"/>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86" t="s">
        <v>127</v>
      </c>
      <c r="C131" s="387"/>
      <c r="D131" s="387"/>
      <c r="E131" s="387"/>
      <c r="F131" s="387"/>
      <c r="G131" s="387"/>
      <c r="H131" s="388"/>
      <c r="I131" s="362">
        <f>IF($H$9&gt;$R$31,$H$9,$R$31)</f>
        <v>533288000</v>
      </c>
      <c r="J131" s="363"/>
      <c r="K131" s="363"/>
      <c r="L131" s="363"/>
      <c r="M131" s="363"/>
      <c r="N131" s="364"/>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11" t="s">
        <v>212</v>
      </c>
      <c r="C132" s="311"/>
      <c r="D132" s="311"/>
      <c r="E132" s="311"/>
      <c r="F132" s="311"/>
      <c r="G132" s="311"/>
      <c r="H132" s="311"/>
      <c r="I132" s="311"/>
      <c r="J132" s="311"/>
      <c r="K132" s="311"/>
      <c r="L132" s="311"/>
      <c r="M132" s="311"/>
      <c r="N132" s="311"/>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1" t="s">
        <v>133</v>
      </c>
      <c r="C133" s="311"/>
      <c r="D133" s="311"/>
      <c r="E133" s="311"/>
      <c r="F133" s="311"/>
      <c r="G133" s="311"/>
      <c r="H133" s="311"/>
      <c r="I133" s="311"/>
      <c r="J133" s="311"/>
      <c r="K133" s="311"/>
      <c r="L133" s="311"/>
      <c r="M133" s="311"/>
      <c r="N133" s="311"/>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358" t="s">
        <v>137</v>
      </c>
      <c r="P134" s="311" t="s">
        <v>146</v>
      </c>
      <c r="Q134" s="311"/>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59"/>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59"/>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59"/>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59"/>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59"/>
      <c r="P139" s="311" t="s">
        <v>153</v>
      </c>
      <c r="Q139" s="311"/>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59"/>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59"/>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59"/>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59"/>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59"/>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59"/>
      <c r="P145" s="311" t="s">
        <v>160</v>
      </c>
      <c r="Q145" s="311"/>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59"/>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59"/>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59"/>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59"/>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59"/>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59"/>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59"/>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59"/>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59"/>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60"/>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65" t="s">
        <v>167</v>
      </c>
      <c r="C156" s="365"/>
      <c r="D156" s="365"/>
      <c r="E156" s="365"/>
      <c r="F156" s="365"/>
      <c r="G156" s="365"/>
      <c r="H156" s="365"/>
      <c r="I156" s="365"/>
      <c r="J156" s="366">
        <f>SUM(C135:C155,G135:G155,K135:K155,E135:E155,I135:I155,K135:K155,M135:M155)</f>
        <v>0</v>
      </c>
      <c r="K156" s="366"/>
      <c r="L156" s="366"/>
      <c r="M156" s="366"/>
      <c r="N156" s="366"/>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65" t="s">
        <v>171</v>
      </c>
      <c r="C157" s="365"/>
      <c r="D157" s="365"/>
      <c r="E157" s="365"/>
      <c r="F157" s="365"/>
      <c r="G157" s="365"/>
      <c r="H157" s="365"/>
      <c r="I157" s="365"/>
      <c r="J157" s="311">
        <f>IFERROR(J156/(($B$19)*I123),0)</f>
        <v>0</v>
      </c>
      <c r="K157" s="311"/>
      <c r="L157" s="311"/>
      <c r="M157" s="311"/>
      <c r="N157" s="311"/>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65" t="s">
        <v>173</v>
      </c>
      <c r="C158" s="365"/>
      <c r="D158" s="365"/>
      <c r="E158" s="365"/>
      <c r="F158" s="365"/>
      <c r="G158" s="365"/>
      <c r="H158" s="365"/>
      <c r="I158" s="365"/>
      <c r="J158" s="365"/>
      <c r="K158" s="365"/>
      <c r="L158" s="369">
        <f>IF(J157&gt;P138,R138,IF(J157&gt;P137,R137,IF(J157&gt;P136,R136,R135)))</f>
        <v>60</v>
      </c>
      <c r="M158" s="369"/>
      <c r="N158" s="369"/>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11" t="s">
        <v>215</v>
      </c>
      <c r="C159" s="311"/>
      <c r="D159" s="311"/>
      <c r="E159" s="311"/>
      <c r="F159" s="311"/>
      <c r="G159" s="311"/>
      <c r="H159" s="311"/>
      <c r="I159" s="311"/>
      <c r="J159" s="311"/>
      <c r="K159" s="311"/>
      <c r="L159" s="311"/>
      <c r="M159" s="311"/>
      <c r="N159" s="311"/>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44"/>
      <c r="C160" s="345"/>
      <c r="D160" s="345"/>
      <c r="E160" s="345"/>
      <c r="F160" s="345"/>
      <c r="G160" s="346"/>
      <c r="H160" s="370" t="s">
        <v>177</v>
      </c>
      <c r="I160" s="370"/>
      <c r="J160" s="370"/>
      <c r="K160" s="370"/>
      <c r="L160" s="333">
        <f>$I$9</f>
        <v>0</v>
      </c>
      <c r="M160" s="333"/>
      <c r="N160" s="333"/>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47"/>
      <c r="C161" s="348"/>
      <c r="D161" s="348"/>
      <c r="E161" s="348"/>
      <c r="F161" s="348"/>
      <c r="G161" s="349"/>
      <c r="H161" s="370" t="s">
        <v>179</v>
      </c>
      <c r="I161" s="370"/>
      <c r="J161" s="370"/>
      <c r="K161" s="370"/>
      <c r="L161" s="333">
        <f>$J$9</f>
        <v>0</v>
      </c>
      <c r="M161" s="333"/>
      <c r="N161" s="333"/>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50"/>
      <c r="C162" s="351"/>
      <c r="D162" s="351"/>
      <c r="E162" s="351"/>
      <c r="F162" s="351"/>
      <c r="G162" s="352"/>
      <c r="H162" s="365" t="s">
        <v>181</v>
      </c>
      <c r="I162" s="365"/>
      <c r="J162" s="365"/>
      <c r="K162" s="365"/>
      <c r="L162" s="371">
        <f>IFERROR(ROUND(L160/L161,2),0)</f>
        <v>0</v>
      </c>
      <c r="M162" s="371"/>
      <c r="N162" s="371"/>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65" t="s">
        <v>183</v>
      </c>
      <c r="C163" s="365"/>
      <c r="D163" s="365"/>
      <c r="E163" s="365"/>
      <c r="F163" s="365"/>
      <c r="G163" s="365"/>
      <c r="H163" s="365"/>
      <c r="I163" s="365"/>
      <c r="J163" s="365"/>
      <c r="K163" s="365"/>
      <c r="L163" s="369">
        <f>IF(L162&gt;P144,R144,IF(L162&gt;P143,R143,IF(L162&gt;P142,R142,IF(L162&gt;P141,R141,R140))))</f>
        <v>20</v>
      </c>
      <c r="M163" s="369"/>
      <c r="N163" s="369"/>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11" t="s">
        <v>185</v>
      </c>
      <c r="C164" s="311"/>
      <c r="D164" s="311"/>
      <c r="E164" s="311"/>
      <c r="F164" s="311"/>
      <c r="G164" s="311"/>
      <c r="H164" s="311"/>
      <c r="I164" s="311"/>
      <c r="J164" s="311"/>
      <c r="K164" s="311"/>
      <c r="L164" s="311"/>
      <c r="M164" s="311"/>
      <c r="N164" s="311"/>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75" t="s">
        <v>94</v>
      </c>
      <c r="C165" s="375"/>
      <c r="D165" s="375"/>
      <c r="E165" s="375"/>
      <c r="F165" s="375"/>
      <c r="G165" s="375"/>
      <c r="H165" s="375"/>
      <c r="I165" s="375"/>
      <c r="J165" s="375"/>
      <c r="K165" s="375"/>
      <c r="L165" s="375"/>
      <c r="M165" s="368">
        <f>$K$9</f>
        <v>0</v>
      </c>
      <c r="N165" s="368"/>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65" t="s">
        <v>188</v>
      </c>
      <c r="C166" s="365"/>
      <c r="D166" s="365"/>
      <c r="E166" s="365"/>
      <c r="F166" s="365"/>
      <c r="G166" s="365"/>
      <c r="H166" s="365"/>
      <c r="I166" s="365"/>
      <c r="J166" s="365"/>
      <c r="K166" s="365"/>
      <c r="L166" s="369">
        <f>IF(M165&gt;P149,R149,IF(M165&gt;P148,R148,IF(M165&gt;P147,R147,R146)))</f>
        <v>0</v>
      </c>
      <c r="M166" s="369"/>
      <c r="N166" s="369"/>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65" t="str">
        <f>"CAPACIDAD DE CONTRATACIÓN "&amp;$F$122</f>
        <v xml:space="preserve">CAPACIDAD DE CONTRATACIÓN </v>
      </c>
      <c r="C168" s="365"/>
      <c r="D168" s="365"/>
      <c r="E168" s="365"/>
      <c r="F168" s="365"/>
      <c r="G168" s="365"/>
      <c r="H168" s="365"/>
      <c r="I168" s="365"/>
      <c r="J168" s="365"/>
      <c r="K168" s="365"/>
      <c r="L168" s="314">
        <f>I131*((L158+L163+L166)/100)</f>
        <v>426630400</v>
      </c>
      <c r="M168" s="314"/>
      <c r="N168" s="314"/>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65" t="str">
        <f>"SALDO DE LOS CONTRATOS EN EJECUCIÓN "&amp;$F$122</f>
        <v xml:space="preserve">SALDO DE LOS CONTRATOS EN EJECUCIÓN </v>
      </c>
      <c r="C169" s="365"/>
      <c r="D169" s="365"/>
      <c r="E169" s="365"/>
      <c r="F169" s="365"/>
      <c r="G169" s="365"/>
      <c r="H169" s="365"/>
      <c r="I169" s="365"/>
      <c r="J169" s="365"/>
      <c r="K169" s="365"/>
      <c r="L169" s="314">
        <f>$M$9</f>
        <v>0</v>
      </c>
      <c r="M169" s="314"/>
      <c r="N169" s="314"/>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65" t="str">
        <f>"CAPACIDAD RESIDUAL DE CONTRATACIÓN "&amp;$F$122</f>
        <v xml:space="preserve">CAPACIDAD RESIDUAL DE CONTRATACIÓN </v>
      </c>
      <c r="C170" s="365"/>
      <c r="D170" s="365"/>
      <c r="E170" s="365"/>
      <c r="F170" s="365"/>
      <c r="G170" s="365"/>
      <c r="H170" s="365"/>
      <c r="I170" s="365"/>
      <c r="J170" s="365"/>
      <c r="K170" s="365"/>
      <c r="L170" s="314">
        <f>L168-L169</f>
        <v>426630400</v>
      </c>
      <c r="M170" s="314"/>
      <c r="N170" s="314"/>
      <c r="P170" s="82" t="s">
        <v>201</v>
      </c>
      <c r="R170" s="83">
        <v>16</v>
      </c>
      <c r="Z170" s="376" t="s">
        <v>199</v>
      </c>
      <c r="AA170" s="376"/>
      <c r="AB170" s="376"/>
      <c r="AC170" s="376"/>
      <c r="AD170" s="376"/>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84" t="str">
        <f>"INTEGRANTE 1: "&amp;$C$7&amp;" PRESENTA ESTADOS FINANCIEROS DICTAMINADOS"</f>
        <v>INTEGRANTE 1: MARIA JOSE HERRERA GUZMAN PRESENTA ESTADOS FINANCIEROS DICTAMINADOS</v>
      </c>
      <c r="C172" s="385"/>
      <c r="D172" s="385"/>
      <c r="E172" s="385"/>
      <c r="F172" s="385"/>
      <c r="G172" s="385"/>
      <c r="H172" s="385"/>
      <c r="I172" s="385"/>
      <c r="J172" s="385"/>
      <c r="K172" s="409"/>
      <c r="L172" s="323" t="str">
        <f>IF(L173="","",IF(L174="","",IF(AND(L173="si",L174="si")=TRUE,"CUMPLE","NO CUMPLE")))</f>
        <v/>
      </c>
      <c r="M172" s="323"/>
      <c r="N172" s="323"/>
      <c r="P172" s="82" t="s">
        <v>202</v>
      </c>
      <c r="R172" s="83">
        <v>15</v>
      </c>
    </row>
    <row r="173" spans="2:31" ht="54.75" customHeight="1" x14ac:dyDescent="0.25">
      <c r="B173" s="378" t="s">
        <v>196</v>
      </c>
      <c r="C173" s="378"/>
      <c r="D173" s="378"/>
      <c r="E173" s="378"/>
      <c r="F173" s="378"/>
      <c r="G173" s="378"/>
      <c r="H173" s="378"/>
      <c r="I173" s="378"/>
      <c r="J173" s="378"/>
      <c r="K173" s="378"/>
      <c r="L173" s="379"/>
      <c r="M173" s="379"/>
      <c r="N173" s="379"/>
      <c r="P173" s="82"/>
      <c r="R173" s="83"/>
    </row>
    <row r="174" spans="2:31" ht="32.25" customHeight="1" x14ac:dyDescent="0.25">
      <c r="B174" s="378" t="s">
        <v>197</v>
      </c>
      <c r="C174" s="378"/>
      <c r="D174" s="378"/>
      <c r="E174" s="378"/>
      <c r="F174" s="378"/>
      <c r="G174" s="378"/>
      <c r="H174" s="378"/>
      <c r="I174" s="378"/>
      <c r="J174" s="378"/>
      <c r="K174" s="378"/>
      <c r="L174" s="379"/>
      <c r="M174" s="379"/>
      <c r="N174" s="379"/>
      <c r="P174" s="82"/>
      <c r="R174" s="83"/>
    </row>
    <row r="175" spans="2:31" ht="15.75" customHeight="1" x14ac:dyDescent="0.25">
      <c r="B175" s="384" t="str">
        <f>"INTEGRANTE 2: "&amp;$C$8&amp;" PRESENTA ESTADOS FINANCIEROS DICTAMINADOS"</f>
        <v>INTEGRANTE 2: VENTURA &amp; CO. SAS PRESENTA ESTADOS FINANCIEROS DICTAMINADOS</v>
      </c>
      <c r="C175" s="385"/>
      <c r="D175" s="385"/>
      <c r="E175" s="385"/>
      <c r="F175" s="385"/>
      <c r="G175" s="385"/>
      <c r="H175" s="385"/>
      <c r="I175" s="385"/>
      <c r="J175" s="385"/>
      <c r="K175" s="409"/>
      <c r="L175" s="323" t="str">
        <f>IF(L176="","",IF(L177="","",IF(AND(L176="si",L177="si")=TRUE,"CUMPLE","NO CUMPLE")))</f>
        <v/>
      </c>
      <c r="M175" s="323"/>
      <c r="N175" s="323"/>
      <c r="P175" s="82" t="s">
        <v>203</v>
      </c>
      <c r="R175" s="83">
        <v>19</v>
      </c>
    </row>
    <row r="176" spans="2:31" ht="54.75" customHeight="1" x14ac:dyDescent="0.25">
      <c r="B176" s="378" t="s">
        <v>196</v>
      </c>
      <c r="C176" s="378"/>
      <c r="D176" s="378"/>
      <c r="E176" s="378"/>
      <c r="F176" s="378"/>
      <c r="G176" s="378"/>
      <c r="H176" s="378"/>
      <c r="I176" s="378"/>
      <c r="J176" s="378"/>
      <c r="K176" s="378"/>
      <c r="L176" s="379"/>
      <c r="M176" s="379"/>
      <c r="N176" s="379"/>
      <c r="P176" s="82"/>
      <c r="R176" s="83"/>
    </row>
    <row r="177" spans="2:18" ht="32.25" customHeight="1" x14ac:dyDescent="0.25">
      <c r="B177" s="378" t="s">
        <v>197</v>
      </c>
      <c r="C177" s="378"/>
      <c r="D177" s="378"/>
      <c r="E177" s="378"/>
      <c r="F177" s="378"/>
      <c r="G177" s="378"/>
      <c r="H177" s="378"/>
      <c r="I177" s="378"/>
      <c r="J177" s="378"/>
      <c r="K177" s="378"/>
      <c r="L177" s="379"/>
      <c r="M177" s="379"/>
      <c r="N177" s="379"/>
      <c r="P177" s="82"/>
      <c r="R177" s="83"/>
    </row>
    <row r="178" spans="2:18" ht="15.75" customHeight="1" x14ac:dyDescent="0.25">
      <c r="B178" s="384" t="str">
        <f>"INTEGRANTE 3: "&amp;$C$9&amp;" PRESENTA ESTADOS FINANCIEROS DICTAMINADOS"</f>
        <v>INTEGRANTE 3: 0 PRESENTA ESTADOS FINANCIEROS DICTAMINADOS</v>
      </c>
      <c r="C178" s="385"/>
      <c r="D178" s="385"/>
      <c r="E178" s="385"/>
      <c r="F178" s="385"/>
      <c r="G178" s="385"/>
      <c r="H178" s="385"/>
      <c r="I178" s="385"/>
      <c r="J178" s="385"/>
      <c r="K178" s="409"/>
      <c r="L178" s="323" t="str">
        <f>IF(L179="","",IF(L180="","",IF(AND(L179="si",L180="si")=TRUE,"CUMPLE","NO CUMPLE")))</f>
        <v/>
      </c>
      <c r="M178" s="323"/>
      <c r="N178" s="323"/>
      <c r="P178" s="82"/>
      <c r="R178" s="83"/>
    </row>
    <row r="179" spans="2:18" ht="54.75" customHeight="1" x14ac:dyDescent="0.25">
      <c r="B179" s="378" t="s">
        <v>196</v>
      </c>
      <c r="C179" s="378"/>
      <c r="D179" s="378"/>
      <c r="E179" s="378"/>
      <c r="F179" s="378"/>
      <c r="G179" s="378"/>
      <c r="H179" s="378"/>
      <c r="I179" s="378"/>
      <c r="J179" s="378"/>
      <c r="K179" s="378"/>
      <c r="L179" s="379"/>
      <c r="M179" s="379"/>
      <c r="N179" s="379"/>
      <c r="P179" s="82"/>
      <c r="R179" s="83"/>
    </row>
    <row r="180" spans="2:18" ht="32.25" customHeight="1" x14ac:dyDescent="0.25">
      <c r="B180" s="378" t="s">
        <v>197</v>
      </c>
      <c r="C180" s="378"/>
      <c r="D180" s="378"/>
      <c r="E180" s="378"/>
      <c r="F180" s="378"/>
      <c r="G180" s="378"/>
      <c r="H180" s="378"/>
      <c r="I180" s="378"/>
      <c r="J180" s="378"/>
      <c r="K180" s="378"/>
      <c r="L180" s="379"/>
      <c r="M180" s="379"/>
      <c r="N180" s="379"/>
      <c r="P180" s="82"/>
      <c r="R180" s="83"/>
    </row>
    <row r="181" spans="2:18" ht="12.75" x14ac:dyDescent="0.25">
      <c r="P181" s="82" t="s">
        <v>204</v>
      </c>
      <c r="R181" s="83">
        <v>17</v>
      </c>
    </row>
    <row r="182" spans="2:18" ht="15.75" customHeight="1" x14ac:dyDescent="0.25">
      <c r="B182" s="410" t="s">
        <v>50</v>
      </c>
      <c r="C182" s="411"/>
      <c r="D182" s="411"/>
      <c r="E182" s="411"/>
      <c r="F182" s="411"/>
      <c r="G182" s="411"/>
      <c r="H182" s="411"/>
      <c r="I182" s="411"/>
      <c r="J182" s="411"/>
      <c r="K182" s="411"/>
      <c r="L182" s="411"/>
      <c r="M182" s="411"/>
      <c r="N182" s="412"/>
      <c r="P182" s="82" t="s">
        <v>205</v>
      </c>
      <c r="R182" s="83">
        <v>19</v>
      </c>
    </row>
    <row r="183" spans="2:18" ht="66" customHeight="1" x14ac:dyDescent="0.25">
      <c r="B183" s="380"/>
      <c r="C183" s="381"/>
      <c r="D183" s="381"/>
      <c r="E183" s="381"/>
      <c r="F183" s="381"/>
      <c r="G183" s="381"/>
      <c r="H183" s="381"/>
      <c r="I183" s="381"/>
      <c r="J183" s="381"/>
      <c r="K183" s="381"/>
      <c r="L183" s="381"/>
      <c r="M183" s="381"/>
      <c r="N183" s="382"/>
      <c r="P183" s="82" t="s">
        <v>206</v>
      </c>
      <c r="R183" s="83">
        <v>19</v>
      </c>
    </row>
    <row r="185" spans="2:18" ht="12.75" x14ac:dyDescent="0.25"/>
    <row r="186" spans="2:18" ht="12.75" x14ac:dyDescent="0.25"/>
    <row r="189" spans="2:18" ht="180" customHeight="1" x14ac:dyDescent="0.25"/>
  </sheetData>
  <sheetProtection selectLockedCells="1"/>
  <mergeCells count="244">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6:I156"/>
    <mergeCell ref="J156:N156"/>
    <mergeCell ref="B157:I157"/>
    <mergeCell ref="J157:N157"/>
    <mergeCell ref="N134:N155"/>
    <mergeCell ref="P145:Q145"/>
    <mergeCell ref="P134:Q134"/>
    <mergeCell ref="P139:Q139"/>
    <mergeCell ref="B122:N12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L111:N111"/>
    <mergeCell ref="H112:K112"/>
    <mergeCell ref="L112:N112"/>
    <mergeCell ref="B106:I106"/>
    <mergeCell ref="J106:N106"/>
    <mergeCell ref="B107:I107"/>
    <mergeCell ref="J107:N107"/>
    <mergeCell ref="N84:N105"/>
    <mergeCell ref="P95:Q95"/>
    <mergeCell ref="P84:Q84"/>
    <mergeCell ref="P89:Q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5" t="s">
        <v>217</v>
      </c>
      <c r="C2" s="316"/>
      <c r="D2" s="316"/>
      <c r="E2" s="316"/>
      <c r="F2" s="316"/>
      <c r="G2" s="316"/>
      <c r="H2" s="316"/>
      <c r="I2" s="316"/>
      <c r="J2" s="316"/>
      <c r="K2" s="316"/>
      <c r="L2" s="316"/>
      <c r="M2" s="316"/>
      <c r="N2" s="31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1" t="s">
        <v>207</v>
      </c>
      <c r="C4" s="311"/>
      <c r="D4" s="311"/>
      <c r="E4" s="311"/>
      <c r="F4" s="383" t="str">
        <f>'EVALUACIÓN EXPERIENCIA'!$G$3</f>
        <v>CONSORCIO VENTURA &amp; CO</v>
      </c>
      <c r="G4" s="383"/>
      <c r="H4" s="383"/>
      <c r="I4" s="383"/>
      <c r="J4" s="383"/>
      <c r="K4" s="383"/>
      <c r="L4" s="383"/>
      <c r="M4" s="383"/>
      <c r="N4" s="383"/>
      <c r="U4" s="89"/>
      <c r="Y4" s="89"/>
      <c r="Z4" s="89"/>
      <c r="AA4" s="89"/>
    </row>
    <row r="5" spans="1:32" ht="12.75" x14ac:dyDescent="0.25">
      <c r="A5" s="88"/>
      <c r="B5" s="313" t="s">
        <v>208</v>
      </c>
      <c r="C5" s="313"/>
      <c r="D5" s="313"/>
      <c r="E5" s="313"/>
      <c r="F5" s="313"/>
      <c r="G5" s="313"/>
      <c r="H5" s="313"/>
      <c r="I5" s="313"/>
      <c r="J5" s="313"/>
      <c r="K5" s="313"/>
      <c r="L5" s="313"/>
      <c r="M5" s="313"/>
      <c r="N5" s="313"/>
      <c r="U5" s="89"/>
      <c r="Y5" s="89"/>
      <c r="Z5" s="89"/>
      <c r="AA5" s="89"/>
    </row>
    <row r="6" spans="1:32" s="80" customFormat="1" ht="54.75" customHeight="1" x14ac:dyDescent="0.25">
      <c r="A6" s="86"/>
      <c r="B6" s="393" t="s">
        <v>209</v>
      </c>
      <c r="C6" s="393"/>
      <c r="D6" s="393"/>
      <c r="E6" s="393"/>
      <c r="F6" s="393"/>
      <c r="G6" s="87" t="s">
        <v>90</v>
      </c>
      <c r="H6" s="87" t="s">
        <v>91</v>
      </c>
      <c r="I6" s="87" t="s">
        <v>92</v>
      </c>
      <c r="J6" s="87" t="s">
        <v>93</v>
      </c>
      <c r="K6" s="394" t="s">
        <v>94</v>
      </c>
      <c r="L6" s="394"/>
      <c r="M6" s="394" t="s">
        <v>95</v>
      </c>
      <c r="N6" s="394"/>
      <c r="U6" s="135"/>
      <c r="Y6" s="135"/>
      <c r="Z6" s="135"/>
      <c r="AA6" s="135"/>
    </row>
    <row r="7" spans="1:32" ht="12.75" x14ac:dyDescent="0.25">
      <c r="A7" s="88"/>
      <c r="B7" s="92">
        <v>1</v>
      </c>
      <c r="C7" s="324" t="str">
        <f>'EVALUACIÓN EXPERIENCIA'!$A$29</f>
        <v>MARIA JOSE HERRERA GUZMAN</v>
      </c>
      <c r="D7" s="325"/>
      <c r="E7" s="325"/>
      <c r="F7" s="326"/>
      <c r="G7" s="93">
        <f>'EVALUACIÓN EXPERIENCIA'!$H$29</f>
        <v>0.5</v>
      </c>
      <c r="H7" s="94"/>
      <c r="I7" s="94"/>
      <c r="J7" s="94"/>
      <c r="K7" s="327"/>
      <c r="L7" s="328"/>
      <c r="M7" s="329"/>
      <c r="N7" s="330"/>
      <c r="U7" s="89"/>
      <c r="Y7" s="89"/>
      <c r="Z7" s="89"/>
      <c r="AA7" s="89"/>
    </row>
    <row r="8" spans="1:32" ht="12.75" x14ac:dyDescent="0.25">
      <c r="A8" s="88"/>
      <c r="B8" s="92">
        <v>2</v>
      </c>
      <c r="C8" s="324" t="str">
        <f>'EVALUACIÓN EXPERIENCIA'!$A$30</f>
        <v>VENTURA &amp; CO. SAS</v>
      </c>
      <c r="D8" s="325"/>
      <c r="E8" s="325"/>
      <c r="F8" s="326"/>
      <c r="G8" s="93">
        <f>'EVALUACIÓN EXPERIENCIA'!$H$30</f>
        <v>0.5</v>
      </c>
      <c r="H8" s="94"/>
      <c r="I8" s="94"/>
      <c r="J8" s="94"/>
      <c r="K8" s="395"/>
      <c r="L8" s="396"/>
      <c r="M8" s="329"/>
      <c r="N8" s="330"/>
      <c r="U8" s="89"/>
      <c r="Y8" s="89"/>
      <c r="Z8" s="89"/>
      <c r="AA8" s="89"/>
    </row>
    <row r="9" spans="1:32" ht="12.75" x14ac:dyDescent="0.25">
      <c r="A9" s="88"/>
      <c r="B9" s="92">
        <v>3</v>
      </c>
      <c r="C9" s="324">
        <f>'EVALUACIÓN EXPERIENCIA'!$A$31</f>
        <v>0</v>
      </c>
      <c r="D9" s="325"/>
      <c r="E9" s="325"/>
      <c r="F9" s="326"/>
      <c r="G9" s="93">
        <f>'EVALUACIÓN EXPERIENCIA'!$H$31</f>
        <v>0</v>
      </c>
      <c r="H9" s="94"/>
      <c r="I9" s="94"/>
      <c r="J9" s="94"/>
      <c r="K9" s="395"/>
      <c r="L9" s="396"/>
      <c r="M9" s="329"/>
      <c r="N9" s="330"/>
      <c r="U9" s="89"/>
      <c r="Y9" s="89"/>
      <c r="Z9" s="89"/>
      <c r="AA9" s="89"/>
    </row>
    <row r="10" spans="1:32" ht="15.75" customHeight="1" x14ac:dyDescent="0.25">
      <c r="A10" s="88"/>
      <c r="B10" s="92">
        <v>4</v>
      </c>
      <c r="C10" s="324">
        <f>'EVALUACIÓN EXPERIENCIA'!$A$32</f>
        <v>0</v>
      </c>
      <c r="D10" s="325"/>
      <c r="E10" s="325"/>
      <c r="F10" s="326"/>
      <c r="G10" s="93">
        <f>'EVALUACIÓN EXPERIENCIA'!$H$32</f>
        <v>0</v>
      </c>
      <c r="H10" s="94"/>
      <c r="I10" s="94"/>
      <c r="J10" s="94"/>
      <c r="K10" s="395"/>
      <c r="L10" s="396"/>
      <c r="M10" s="329"/>
      <c r="N10" s="330"/>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13" t="str">
        <f>"CRP INTEGRANTE 1: "&amp;$C$7</f>
        <v>CRP INTEGRANTE 1: MARIA JOSE HERRERA GUZMAN</v>
      </c>
      <c r="C12" s="313"/>
      <c r="D12" s="313"/>
      <c r="E12" s="313"/>
      <c r="F12" s="313"/>
      <c r="G12" s="313"/>
      <c r="H12" s="313"/>
      <c r="I12" s="313"/>
      <c r="J12" s="313"/>
      <c r="K12" s="313"/>
      <c r="L12" s="397">
        <f>L72</f>
        <v>426630400</v>
      </c>
      <c r="M12" s="313"/>
      <c r="N12" s="313"/>
    </row>
    <row r="13" spans="1:32" ht="12.75" x14ac:dyDescent="0.25">
      <c r="A13" s="88"/>
      <c r="B13" s="313" t="str">
        <f>"CRP INTEGRANTE 2: "&amp;$C$8</f>
        <v>CRP INTEGRANTE 2: VENTURA &amp; CO. SAS</v>
      </c>
      <c r="C13" s="313"/>
      <c r="D13" s="313"/>
      <c r="E13" s="313"/>
      <c r="F13" s="313"/>
      <c r="G13" s="313"/>
      <c r="H13" s="313"/>
      <c r="I13" s="313"/>
      <c r="J13" s="313"/>
      <c r="K13" s="313"/>
      <c r="L13" s="397">
        <f>L122</f>
        <v>426630400</v>
      </c>
      <c r="M13" s="313"/>
      <c r="N13" s="313"/>
      <c r="P13" s="95"/>
      <c r="Q13" s="95"/>
      <c r="R13" s="95"/>
      <c r="S13" s="95"/>
      <c r="T13" s="95"/>
      <c r="U13" s="95"/>
      <c r="V13" s="95"/>
      <c r="W13" s="95"/>
      <c r="X13" s="95"/>
      <c r="Y13" s="95"/>
      <c r="Z13" s="89"/>
      <c r="AA13" s="89"/>
    </row>
    <row r="14" spans="1:32" ht="15.75" customHeight="1" x14ac:dyDescent="0.2">
      <c r="A14" s="88"/>
      <c r="B14" s="313" t="str">
        <f>"CRP INTEGRANTE 3: "&amp;$C$9</f>
        <v>CRP INTEGRANTE 3: 0</v>
      </c>
      <c r="C14" s="313"/>
      <c r="D14" s="313"/>
      <c r="E14" s="313"/>
      <c r="F14" s="313"/>
      <c r="G14" s="313"/>
      <c r="H14" s="313"/>
      <c r="I14" s="313"/>
      <c r="J14" s="313"/>
      <c r="K14" s="313"/>
      <c r="L14" s="397">
        <f>L172</f>
        <v>426630400</v>
      </c>
      <c r="M14" s="313"/>
      <c r="N14" s="313"/>
      <c r="P14" s="64"/>
      <c r="Q14" s="64"/>
      <c r="R14" s="64"/>
      <c r="S14" s="64"/>
      <c r="T14" s="64"/>
      <c r="Z14" s="64"/>
      <c r="AA14" s="64"/>
      <c r="AB14" s="64"/>
      <c r="AC14" s="64"/>
      <c r="AD14" s="64"/>
      <c r="AE14" s="64"/>
      <c r="AF14" s="64"/>
    </row>
    <row r="15" spans="1:32" ht="15.75" customHeight="1" x14ac:dyDescent="0.2">
      <c r="A15" s="88"/>
      <c r="B15" s="313" t="str">
        <f>"CRP INTEGRANTE 4: "&amp;$C$10</f>
        <v>CRP INTEGRANTE 4: 0</v>
      </c>
      <c r="C15" s="313"/>
      <c r="D15" s="313"/>
      <c r="E15" s="313"/>
      <c r="F15" s="313"/>
      <c r="G15" s="313"/>
      <c r="H15" s="313"/>
      <c r="I15" s="313"/>
      <c r="J15" s="313"/>
      <c r="K15" s="313"/>
      <c r="L15" s="397">
        <f>$L$222</f>
        <v>426630400</v>
      </c>
      <c r="M15" s="313"/>
      <c r="N15" s="313"/>
      <c r="P15" s="97"/>
      <c r="Q15" s="97"/>
      <c r="R15" s="97"/>
      <c r="S15" s="97"/>
      <c r="T15" s="97"/>
      <c r="U15" s="97"/>
      <c r="V15" s="97"/>
      <c r="X15" s="98"/>
      <c r="Y15" s="98"/>
      <c r="Z15" s="64"/>
      <c r="AB15" s="64"/>
      <c r="AC15" s="64"/>
      <c r="AD15" s="64"/>
      <c r="AE15" s="64"/>
      <c r="AF15" s="64"/>
    </row>
    <row r="16" spans="1:32" ht="15.75" customHeight="1" x14ac:dyDescent="0.2">
      <c r="B16" s="313" t="str">
        <f>"TOTAL CRP PROPONENTE: "&amp;$F$4</f>
        <v>TOTAL CRP PROPONENTE: CONSORCIO VENTURA &amp; CO</v>
      </c>
      <c r="C16" s="313"/>
      <c r="D16" s="313"/>
      <c r="E16" s="313"/>
      <c r="F16" s="313"/>
      <c r="G16" s="313"/>
      <c r="H16" s="313"/>
      <c r="I16" s="313"/>
      <c r="J16" s="313"/>
      <c r="K16" s="313"/>
      <c r="L16" s="314">
        <f>SUM(L12:N15)</f>
        <v>1706521600</v>
      </c>
      <c r="M16" s="314"/>
      <c r="N16" s="314"/>
      <c r="P16" s="97"/>
      <c r="Q16" s="97"/>
      <c r="R16" s="97"/>
      <c r="S16" s="97"/>
      <c r="T16" s="97"/>
      <c r="U16" s="97"/>
      <c r="V16" s="97"/>
      <c r="X16" s="98"/>
      <c r="Y16" s="98"/>
      <c r="Z16" s="64"/>
      <c r="AB16" s="64"/>
      <c r="AC16" s="64"/>
      <c r="AD16" s="64"/>
      <c r="AE16" s="64"/>
      <c r="AF16" s="64"/>
    </row>
    <row r="17" spans="2:33" ht="15.75" customHeight="1" x14ac:dyDescent="0.2">
      <c r="B17" s="320" t="str">
        <f>"CONDICIÓN DEL PROPONENTE: "&amp;$F$4</f>
        <v>CONDICIÓN DEL PROPONENTE: CONSORCIO VENTURA &amp; CO</v>
      </c>
      <c r="C17" s="321"/>
      <c r="D17" s="321"/>
      <c r="E17" s="321"/>
      <c r="F17" s="321"/>
      <c r="G17" s="321"/>
      <c r="H17" s="321"/>
      <c r="I17" s="321"/>
      <c r="J17" s="321"/>
      <c r="K17" s="322"/>
      <c r="L17" s="323" t="str">
        <f>IF(AND(IF(L224="CUMPLE",TRUE,FALSE),IF(L227="CUMPLE",TRUE,FALSE),IF(L230="CUMPLE",TRUE,FALSE),IF(L233="CUMPLE",TRUE,FALSE),IF(IF(L16&lt;I22,Q28,Q27)="CUMPLE",TRUE,FALSE))=TRUE,"CUMPLE",IF(OR(L224="",L227="",L230="",L233="")=TRUE,"PENDIENTE REVISIÓN","NO CUMPLE"))</f>
        <v>PENDIENTE REVISIÓN</v>
      </c>
      <c r="M17" s="323"/>
      <c r="N17" s="323"/>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11" t="s">
        <v>96</v>
      </c>
      <c r="C19" s="311"/>
      <c r="D19" s="311"/>
      <c r="E19" s="311"/>
      <c r="F19" s="311"/>
      <c r="G19" s="311"/>
      <c r="H19" s="311"/>
      <c r="I19" s="311"/>
      <c r="J19" s="311"/>
      <c r="K19" s="311"/>
      <c r="L19" s="311"/>
      <c r="M19" s="311"/>
      <c r="N19" s="311"/>
      <c r="P19" s="64"/>
      <c r="Q19" s="64"/>
      <c r="R19" s="64"/>
      <c r="S19" s="64"/>
      <c r="T19" s="64"/>
      <c r="U19" s="64"/>
      <c r="V19" s="64"/>
      <c r="W19" s="64"/>
      <c r="X19" s="64"/>
      <c r="Y19" s="64"/>
      <c r="Z19" s="64"/>
      <c r="AA19" s="64"/>
      <c r="AB19" s="64"/>
      <c r="AC19" s="64"/>
      <c r="AD19" s="64"/>
      <c r="AE19" s="64"/>
      <c r="AF19" s="64"/>
    </row>
    <row r="20" spans="2:33" ht="15.75" customHeight="1" thickBot="1" x14ac:dyDescent="0.25">
      <c r="B20" s="311" t="s">
        <v>97</v>
      </c>
      <c r="C20" s="311"/>
      <c r="D20" s="311"/>
      <c r="E20" s="311"/>
      <c r="F20" s="311" t="s">
        <v>98</v>
      </c>
      <c r="G20" s="311"/>
      <c r="H20" s="91" t="s">
        <v>99</v>
      </c>
      <c r="I20" s="312" t="s">
        <v>100</v>
      </c>
      <c r="J20" s="312"/>
      <c r="K20" s="312"/>
      <c r="L20" s="312"/>
      <c r="M20" s="312"/>
      <c r="N20" s="312"/>
      <c r="P20" s="64"/>
      <c r="Q20" s="64"/>
      <c r="R20" s="64"/>
      <c r="S20" s="64"/>
      <c r="T20" s="64"/>
      <c r="U20" s="64"/>
      <c r="V20" s="64"/>
      <c r="W20" s="64"/>
      <c r="X20" s="64"/>
      <c r="Y20" s="64"/>
      <c r="Z20" s="64"/>
      <c r="AA20" s="64"/>
      <c r="AB20" s="64"/>
      <c r="AC20" s="64"/>
      <c r="AD20" s="64"/>
      <c r="AE20" s="64"/>
      <c r="AF20" s="64"/>
    </row>
    <row r="21" spans="2:33" ht="15.75" customHeight="1" thickBot="1" x14ac:dyDescent="0.3">
      <c r="B21" s="333">
        <f>+'EVALUACIÓN EXPERIENCIA'!D5</f>
        <v>724761029</v>
      </c>
      <c r="C21" s="333"/>
      <c r="D21" s="333"/>
      <c r="E21" s="333"/>
      <c r="F21" s="333">
        <f>+B21*25%</f>
        <v>181190257.25</v>
      </c>
      <c r="G21" s="333"/>
      <c r="H21" s="100">
        <v>3</v>
      </c>
      <c r="I21" s="334">
        <f>IFERROR(ROUND(((B21-F21)/H21)*12,0),0)</f>
        <v>2174283087</v>
      </c>
      <c r="J21" s="334"/>
      <c r="K21" s="334"/>
      <c r="L21" s="334"/>
      <c r="M21" s="334"/>
      <c r="N21" s="334"/>
      <c r="T21" s="337" t="s">
        <v>108</v>
      </c>
      <c r="U21" s="337"/>
      <c r="V21" s="338" t="str">
        <f>B24</f>
        <v>INTEGRANTE 1: MARIA JOSE HERRERA GUZMAN</v>
      </c>
      <c r="W21" s="339"/>
      <c r="X21" s="339"/>
      <c r="Y21" s="339"/>
      <c r="Z21" s="339"/>
      <c r="AA21" s="340"/>
    </row>
    <row r="22" spans="2:33" ht="15.75" customHeight="1" thickBot="1" x14ac:dyDescent="0.3">
      <c r="B22" s="335" t="s">
        <v>101</v>
      </c>
      <c r="C22" s="335"/>
      <c r="D22" s="335"/>
      <c r="E22" s="335"/>
      <c r="F22" s="335"/>
      <c r="G22" s="335"/>
      <c r="H22" s="335"/>
      <c r="I22" s="314">
        <f>SUM(I21:N21)</f>
        <v>2174283087</v>
      </c>
      <c r="J22" s="314"/>
      <c r="K22" s="314"/>
      <c r="L22" s="314"/>
      <c r="M22" s="314"/>
      <c r="N22" s="314"/>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72" t="str">
        <f>"INTEGRANTE 1: "&amp;$C$7</f>
        <v>INTEGRANTE 1: MARIA JOSE HERRERA GUZMAN</v>
      </c>
      <c r="C24" s="373"/>
      <c r="D24" s="373"/>
      <c r="E24" s="373"/>
      <c r="F24" s="373"/>
      <c r="G24" s="373"/>
      <c r="H24" s="373"/>
      <c r="I24" s="373"/>
      <c r="J24" s="373"/>
      <c r="K24" s="373"/>
      <c r="L24" s="373"/>
      <c r="M24" s="373"/>
      <c r="N24" s="374"/>
      <c r="Q24" s="112"/>
      <c r="T24" s="353" t="s">
        <v>113</v>
      </c>
      <c r="U24" s="342" t="s">
        <v>114</v>
      </c>
      <c r="V24" s="342" t="s">
        <v>115</v>
      </c>
      <c r="W24" s="342" t="s">
        <v>116</v>
      </c>
      <c r="X24" s="342" t="s">
        <v>117</v>
      </c>
      <c r="Y24" s="342" t="s">
        <v>118</v>
      </c>
      <c r="Z24" s="342" t="s">
        <v>119</v>
      </c>
      <c r="AA24" s="342" t="s">
        <v>120</v>
      </c>
      <c r="AB24" s="342" t="s">
        <v>121</v>
      </c>
      <c r="AC24" s="342" t="s">
        <v>122</v>
      </c>
      <c r="AD24" s="342" t="s">
        <v>123</v>
      </c>
      <c r="AE24" s="342" t="s">
        <v>124</v>
      </c>
    </row>
    <row r="25" spans="2:33" ht="13.5" thickBot="1" x14ac:dyDescent="0.3">
      <c r="B25" s="392" t="s">
        <v>102</v>
      </c>
      <c r="C25" s="392"/>
      <c r="D25" s="392"/>
      <c r="E25" s="392"/>
      <c r="F25" s="392"/>
      <c r="G25" s="392"/>
      <c r="H25" s="392"/>
      <c r="I25" s="336">
        <f>$G$7</f>
        <v>0.5</v>
      </c>
      <c r="J25" s="336"/>
      <c r="K25" s="336"/>
      <c r="L25" s="336"/>
      <c r="M25" s="336"/>
      <c r="N25" s="336"/>
      <c r="Q25" s="112"/>
      <c r="T25" s="354"/>
      <c r="U25" s="343"/>
      <c r="V25" s="343"/>
      <c r="W25" s="343"/>
      <c r="X25" s="343"/>
      <c r="Y25" s="343"/>
      <c r="Z25" s="343"/>
      <c r="AA25" s="343"/>
      <c r="AB25" s="343"/>
      <c r="AC25" s="343"/>
      <c r="AD25" s="343"/>
      <c r="AE25" s="343"/>
    </row>
    <row r="26" spans="2:33" ht="15.75" customHeight="1" thickBot="1" x14ac:dyDescent="0.3">
      <c r="B26" s="311" t="s">
        <v>103</v>
      </c>
      <c r="C26" s="311"/>
      <c r="D26" s="311"/>
      <c r="E26" s="311"/>
      <c r="F26" s="311"/>
      <c r="G26" s="311"/>
      <c r="H26" s="311" t="s">
        <v>104</v>
      </c>
      <c r="I26" s="311"/>
      <c r="J26" s="311"/>
      <c r="K26" s="311"/>
      <c r="L26" s="311"/>
      <c r="M26" s="311"/>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44"/>
      <c r="C27" s="345"/>
      <c r="D27" s="345"/>
      <c r="E27" s="345"/>
      <c r="F27" s="345"/>
      <c r="G27" s="346"/>
      <c r="H27" s="341" t="s">
        <v>106</v>
      </c>
      <c r="I27" s="341"/>
      <c r="J27" s="341"/>
      <c r="K27" s="341"/>
      <c r="L27" s="341"/>
      <c r="M27" s="341"/>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47"/>
      <c r="C28" s="348"/>
      <c r="D28" s="348"/>
      <c r="E28" s="348"/>
      <c r="F28" s="348"/>
      <c r="G28" s="349"/>
      <c r="H28" s="341" t="s">
        <v>107</v>
      </c>
      <c r="I28" s="341"/>
      <c r="J28" s="341"/>
      <c r="K28" s="341"/>
      <c r="L28" s="341"/>
      <c r="M28" s="341"/>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47"/>
      <c r="C29" s="348"/>
      <c r="D29" s="348"/>
      <c r="E29" s="348"/>
      <c r="F29" s="348"/>
      <c r="G29" s="349"/>
      <c r="H29" s="341" t="s">
        <v>109</v>
      </c>
      <c r="I29" s="341"/>
      <c r="J29" s="341"/>
      <c r="K29" s="341"/>
      <c r="L29" s="341"/>
      <c r="M29" s="341"/>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0"/>
      <c r="C30" s="351"/>
      <c r="D30" s="351"/>
      <c r="E30" s="351"/>
      <c r="F30" s="351"/>
      <c r="G30" s="352"/>
      <c r="H30" s="311" t="s">
        <v>44</v>
      </c>
      <c r="I30" s="311"/>
      <c r="J30" s="311"/>
      <c r="K30" s="311"/>
      <c r="L30" s="311"/>
      <c r="M30" s="311"/>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1" t="s">
        <v>112</v>
      </c>
      <c r="C31" s="311"/>
      <c r="D31" s="311"/>
      <c r="E31" s="311"/>
      <c r="F31" s="311"/>
      <c r="G31" s="311"/>
      <c r="H31" s="311"/>
      <c r="I31" s="311"/>
      <c r="J31" s="311"/>
      <c r="K31" s="311"/>
      <c r="L31" s="311"/>
      <c r="M31" s="311"/>
      <c r="N31" s="311"/>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55" t="s">
        <v>125</v>
      </c>
      <c r="C32" s="356"/>
      <c r="D32" s="356"/>
      <c r="E32" s="356"/>
      <c r="F32" s="356"/>
      <c r="G32" s="356"/>
      <c r="H32" s="357"/>
      <c r="I32" s="320" t="s">
        <v>126</v>
      </c>
      <c r="J32" s="321"/>
      <c r="K32" s="321"/>
      <c r="L32" s="321"/>
      <c r="M32" s="321"/>
      <c r="N32" s="322"/>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61" t="s">
        <v>127</v>
      </c>
      <c r="C33" s="361"/>
      <c r="D33" s="361"/>
      <c r="E33" s="361"/>
      <c r="F33" s="361"/>
      <c r="G33" s="361"/>
      <c r="H33" s="361"/>
      <c r="I33" s="362">
        <f>IF($H$7&gt;$R$31,$H$7,$R$31)</f>
        <v>533288000</v>
      </c>
      <c r="J33" s="363"/>
      <c r="K33" s="363"/>
      <c r="L33" s="363"/>
      <c r="M33" s="363"/>
      <c r="N33" s="364"/>
      <c r="P33" s="311" t="s">
        <v>146</v>
      </c>
      <c r="Q33" s="311"/>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11" t="s">
        <v>129</v>
      </c>
      <c r="C34" s="311"/>
      <c r="D34" s="311"/>
      <c r="E34" s="311"/>
      <c r="F34" s="311"/>
      <c r="G34" s="311"/>
      <c r="H34" s="311"/>
      <c r="I34" s="311"/>
      <c r="J34" s="311"/>
      <c r="K34" s="311"/>
      <c r="L34" s="311"/>
      <c r="M34" s="311"/>
      <c r="N34" s="311"/>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11" t="s">
        <v>133</v>
      </c>
      <c r="C35" s="311"/>
      <c r="D35" s="311"/>
      <c r="E35" s="311"/>
      <c r="F35" s="311"/>
      <c r="G35" s="311"/>
      <c r="H35" s="311"/>
      <c r="I35" s="311"/>
      <c r="J35" s="311"/>
      <c r="K35" s="311"/>
      <c r="L35" s="311"/>
      <c r="M35" s="311"/>
      <c r="N35" s="311"/>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358"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59"/>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59"/>
      <c r="P38" s="311" t="s">
        <v>153</v>
      </c>
      <c r="Q38" s="311"/>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59"/>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59"/>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59"/>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59"/>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59"/>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59"/>
      <c r="P44" s="311" t="s">
        <v>160</v>
      </c>
      <c r="Q44" s="311"/>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59"/>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59"/>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59"/>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59"/>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59"/>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59"/>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59"/>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59"/>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59"/>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59"/>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59"/>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59"/>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60"/>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65" t="s">
        <v>167</v>
      </c>
      <c r="C58" s="365"/>
      <c r="D58" s="365"/>
      <c r="E58" s="365"/>
      <c r="F58" s="365"/>
      <c r="G58" s="365"/>
      <c r="H58" s="365"/>
      <c r="I58" s="365"/>
      <c r="J58" s="366">
        <f>SUM(C37:C57,G37:G57,K37:K57,E37:E57,I37:I57,K37:K57,M37:M57)</f>
        <v>0</v>
      </c>
      <c r="K58" s="366"/>
      <c r="L58" s="366"/>
      <c r="M58" s="366"/>
      <c r="N58" s="366"/>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65" t="s">
        <v>171</v>
      </c>
      <c r="C59" s="365"/>
      <c r="D59" s="365"/>
      <c r="E59" s="365"/>
      <c r="F59" s="365"/>
      <c r="G59" s="365"/>
      <c r="H59" s="365"/>
      <c r="I59" s="365"/>
      <c r="J59" s="311">
        <f>IFERROR($J$58/(($B$21)*I25),0)</f>
        <v>0</v>
      </c>
      <c r="K59" s="311"/>
      <c r="L59" s="311"/>
      <c r="M59" s="311"/>
      <c r="N59" s="311"/>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65" t="s">
        <v>173</v>
      </c>
      <c r="C60" s="365"/>
      <c r="D60" s="365"/>
      <c r="E60" s="365"/>
      <c r="F60" s="365"/>
      <c r="G60" s="365"/>
      <c r="H60" s="365"/>
      <c r="I60" s="365"/>
      <c r="J60" s="365"/>
      <c r="K60" s="365"/>
      <c r="L60" s="369">
        <f>IF(J59&gt;P37,R37,IF(J59&gt;P36,R36,IF(J59&gt;P35,R35,R34)))</f>
        <v>60</v>
      </c>
      <c r="M60" s="369"/>
      <c r="N60" s="369"/>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11" t="s">
        <v>175</v>
      </c>
      <c r="C61" s="311"/>
      <c r="D61" s="311"/>
      <c r="E61" s="311"/>
      <c r="F61" s="311"/>
      <c r="G61" s="311"/>
      <c r="H61" s="311"/>
      <c r="I61" s="311"/>
      <c r="J61" s="311"/>
      <c r="K61" s="311"/>
      <c r="L61" s="311"/>
      <c r="M61" s="311"/>
      <c r="N61" s="311"/>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44"/>
      <c r="C62" s="345"/>
      <c r="D62" s="345"/>
      <c r="E62" s="345"/>
      <c r="F62" s="345"/>
      <c r="G62" s="346"/>
      <c r="H62" s="370" t="s">
        <v>177</v>
      </c>
      <c r="I62" s="370"/>
      <c r="J62" s="370"/>
      <c r="K62" s="370"/>
      <c r="L62" s="333">
        <f>$I$7</f>
        <v>0</v>
      </c>
      <c r="M62" s="333"/>
      <c r="N62" s="333"/>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47"/>
      <c r="C63" s="348"/>
      <c r="D63" s="348"/>
      <c r="E63" s="348"/>
      <c r="F63" s="348"/>
      <c r="G63" s="349"/>
      <c r="H63" s="370" t="s">
        <v>179</v>
      </c>
      <c r="I63" s="370"/>
      <c r="J63" s="370"/>
      <c r="K63" s="370"/>
      <c r="L63" s="333">
        <f>$J$7</f>
        <v>0</v>
      </c>
      <c r="M63" s="333"/>
      <c r="N63" s="333"/>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0"/>
      <c r="C64" s="351"/>
      <c r="D64" s="351"/>
      <c r="E64" s="351"/>
      <c r="F64" s="351"/>
      <c r="G64" s="352"/>
      <c r="H64" s="365" t="s">
        <v>181</v>
      </c>
      <c r="I64" s="365"/>
      <c r="J64" s="365"/>
      <c r="K64" s="365"/>
      <c r="L64" s="371">
        <f>IFERROR(ROUND(L62/L63,2),0)</f>
        <v>0</v>
      </c>
      <c r="M64" s="371"/>
      <c r="N64" s="371"/>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65" t="s">
        <v>183</v>
      </c>
      <c r="C65" s="365"/>
      <c r="D65" s="365"/>
      <c r="E65" s="365"/>
      <c r="F65" s="365"/>
      <c r="G65" s="365"/>
      <c r="H65" s="365"/>
      <c r="I65" s="365"/>
      <c r="J65" s="365"/>
      <c r="K65" s="365"/>
      <c r="L65" s="369">
        <f>IF(L64&gt;P43,R43,IF(L64&gt;P42,R42,IF(L64&gt;P41,R41,IF(L64&gt;P40,R40,R39))))</f>
        <v>20</v>
      </c>
      <c r="M65" s="369"/>
      <c r="N65" s="369"/>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11" t="s">
        <v>185</v>
      </c>
      <c r="C66" s="311"/>
      <c r="D66" s="311"/>
      <c r="E66" s="311"/>
      <c r="F66" s="311"/>
      <c r="G66" s="311"/>
      <c r="H66" s="311"/>
      <c r="I66" s="311"/>
      <c r="J66" s="311"/>
      <c r="K66" s="311"/>
      <c r="L66" s="311"/>
      <c r="M66" s="311"/>
      <c r="N66" s="311"/>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75" t="s">
        <v>94</v>
      </c>
      <c r="C67" s="375"/>
      <c r="D67" s="375"/>
      <c r="E67" s="375"/>
      <c r="F67" s="375"/>
      <c r="G67" s="375"/>
      <c r="H67" s="375"/>
      <c r="I67" s="375"/>
      <c r="J67" s="375"/>
      <c r="K67" s="375"/>
      <c r="L67" s="375"/>
      <c r="M67" s="368">
        <f>$K$7</f>
        <v>0</v>
      </c>
      <c r="N67" s="368"/>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65" t="s">
        <v>188</v>
      </c>
      <c r="C68" s="365"/>
      <c r="D68" s="365"/>
      <c r="E68" s="365"/>
      <c r="F68" s="365"/>
      <c r="G68" s="365"/>
      <c r="H68" s="365"/>
      <c r="I68" s="365"/>
      <c r="J68" s="365"/>
      <c r="K68" s="365"/>
      <c r="L68" s="369">
        <f>IF(M67&gt;P48,R48,IF(M67&gt;P47,R47,IF(M67&gt;P46,R46,R45)))</f>
        <v>0</v>
      </c>
      <c r="M68" s="369"/>
      <c r="N68" s="369"/>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76" t="s">
        <v>199</v>
      </c>
      <c r="AA69" s="376"/>
      <c r="AB69" s="376"/>
      <c r="AC69" s="376"/>
      <c r="AD69" s="376"/>
      <c r="AE69" s="126">
        <f>SUM(AE26:AE68)</f>
        <v>2921045560</v>
      </c>
    </row>
    <row r="70" spans="2:31" ht="15.75" customHeight="1" x14ac:dyDescent="0.2">
      <c r="B70" s="365" t="str">
        <f>"CAPACIDAD DE CONTRATACIÓN INTEGRANTE 1: "&amp;$F$24</f>
        <v xml:space="preserve">CAPACIDAD DE CONTRATACIÓN INTEGRANTE 1: </v>
      </c>
      <c r="C70" s="365"/>
      <c r="D70" s="365"/>
      <c r="E70" s="365"/>
      <c r="F70" s="365"/>
      <c r="G70" s="365"/>
      <c r="H70" s="365"/>
      <c r="I70" s="365"/>
      <c r="J70" s="365"/>
      <c r="K70" s="365"/>
      <c r="L70" s="314">
        <f>I33*((L60+L65+L68)/100)</f>
        <v>426630400</v>
      </c>
      <c r="M70" s="314"/>
      <c r="N70" s="314"/>
    </row>
    <row r="71" spans="2:31" ht="15.75" customHeight="1" thickBot="1" x14ac:dyDescent="0.25">
      <c r="B71" s="365" t="str">
        <f>"SALDO DE LOS CONTRATOS EN EJECUCIÓN INTEGRANTE 1: "&amp;$F$24</f>
        <v xml:space="preserve">SALDO DE LOS CONTRATOS EN EJECUCIÓN INTEGRANTE 1: </v>
      </c>
      <c r="C71" s="365"/>
      <c r="D71" s="365"/>
      <c r="E71" s="365"/>
      <c r="F71" s="365"/>
      <c r="G71" s="365"/>
      <c r="H71" s="365"/>
      <c r="I71" s="365"/>
      <c r="J71" s="365"/>
      <c r="K71" s="365"/>
      <c r="L71" s="314">
        <f>$M$7</f>
        <v>0</v>
      </c>
      <c r="M71" s="314"/>
      <c r="N71" s="314"/>
      <c r="P71" s="64"/>
    </row>
    <row r="72" spans="2:31" ht="15.75" customHeight="1" thickBot="1" x14ac:dyDescent="0.25">
      <c r="B72" s="365" t="str">
        <f>"CAPACIDAD RESIDUAL DE CONTRATACIÓN INTEGRANTE 1: "&amp;$F$24</f>
        <v xml:space="preserve">CAPACIDAD RESIDUAL DE CONTRATACIÓN INTEGRANTE 1: </v>
      </c>
      <c r="C72" s="365"/>
      <c r="D72" s="365"/>
      <c r="E72" s="365"/>
      <c r="F72" s="365"/>
      <c r="G72" s="365"/>
      <c r="H72" s="365"/>
      <c r="I72" s="365"/>
      <c r="J72" s="365"/>
      <c r="K72" s="365"/>
      <c r="L72" s="314">
        <f>L70-L71</f>
        <v>426630400</v>
      </c>
      <c r="M72" s="314"/>
      <c r="N72" s="314"/>
      <c r="T72" s="337" t="s">
        <v>108</v>
      </c>
      <c r="U72" s="337"/>
      <c r="V72" s="338" t="str">
        <f>B74</f>
        <v>INTEGRANTE 2: VENTURA &amp; CO. SAS</v>
      </c>
      <c r="W72" s="339"/>
      <c r="X72" s="339"/>
      <c r="Y72" s="339"/>
      <c r="Z72" s="339"/>
      <c r="AA72" s="340"/>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72" t="str">
        <f>"INTEGRANTE 2: "&amp;$C$8</f>
        <v>INTEGRANTE 2: VENTURA &amp; CO. SAS</v>
      </c>
      <c r="C74" s="373"/>
      <c r="D74" s="373"/>
      <c r="E74" s="373"/>
      <c r="F74" s="373"/>
      <c r="G74" s="373"/>
      <c r="H74" s="373"/>
      <c r="I74" s="373"/>
      <c r="J74" s="373"/>
      <c r="K74" s="373"/>
      <c r="L74" s="373"/>
      <c r="M74" s="373"/>
      <c r="N74" s="374"/>
      <c r="T74" s="109"/>
      <c r="U74" s="110"/>
    </row>
    <row r="75" spans="2:31" ht="18.75" customHeight="1" x14ac:dyDescent="0.25">
      <c r="B75" s="314" t="s">
        <v>102</v>
      </c>
      <c r="C75" s="314"/>
      <c r="D75" s="314"/>
      <c r="E75" s="314"/>
      <c r="F75" s="314"/>
      <c r="G75" s="314"/>
      <c r="H75" s="314"/>
      <c r="I75" s="336">
        <f>$G$8</f>
        <v>0.5</v>
      </c>
      <c r="J75" s="336"/>
      <c r="K75" s="336"/>
      <c r="L75" s="336"/>
      <c r="M75" s="336"/>
      <c r="N75" s="336"/>
      <c r="Q75" s="103" t="s">
        <v>210</v>
      </c>
      <c r="T75" s="353" t="s">
        <v>113</v>
      </c>
      <c r="U75" s="342" t="s">
        <v>114</v>
      </c>
      <c r="V75" s="342" t="s">
        <v>115</v>
      </c>
      <c r="W75" s="342" t="s">
        <v>116</v>
      </c>
      <c r="X75" s="342" t="s">
        <v>117</v>
      </c>
      <c r="Y75" s="342" t="s">
        <v>118</v>
      </c>
      <c r="Z75" s="342" t="s">
        <v>119</v>
      </c>
      <c r="AA75" s="342" t="s">
        <v>120</v>
      </c>
      <c r="AB75" s="342" t="s">
        <v>121</v>
      </c>
      <c r="AC75" s="342" t="s">
        <v>122</v>
      </c>
      <c r="AD75" s="342" t="s">
        <v>123</v>
      </c>
      <c r="AE75" s="342" t="s">
        <v>124</v>
      </c>
    </row>
    <row r="76" spans="2:31" ht="15.75" customHeight="1" thickBot="1" x14ac:dyDescent="0.3">
      <c r="B76" s="311" t="s">
        <v>103</v>
      </c>
      <c r="C76" s="311"/>
      <c r="D76" s="311"/>
      <c r="E76" s="311"/>
      <c r="F76" s="311"/>
      <c r="G76" s="311"/>
      <c r="H76" s="311" t="s">
        <v>104</v>
      </c>
      <c r="I76" s="311"/>
      <c r="J76" s="311"/>
      <c r="K76" s="311"/>
      <c r="L76" s="311"/>
      <c r="M76" s="311"/>
      <c r="N76" s="91" t="s">
        <v>105</v>
      </c>
      <c r="Q76" s="108">
        <v>1423500</v>
      </c>
      <c r="T76" s="354"/>
      <c r="U76" s="343"/>
      <c r="V76" s="343"/>
      <c r="W76" s="343"/>
      <c r="X76" s="343"/>
      <c r="Y76" s="343"/>
      <c r="Z76" s="343"/>
      <c r="AA76" s="343"/>
      <c r="AB76" s="343"/>
      <c r="AC76" s="343"/>
      <c r="AD76" s="343"/>
      <c r="AE76" s="343"/>
    </row>
    <row r="77" spans="2:31" ht="15.75" customHeight="1" thickBot="1" x14ac:dyDescent="0.3">
      <c r="B77" s="344"/>
      <c r="C77" s="345"/>
      <c r="D77" s="345"/>
      <c r="E77" s="345"/>
      <c r="F77" s="345"/>
      <c r="G77" s="346"/>
      <c r="H77" s="341" t="s">
        <v>106</v>
      </c>
      <c r="I77" s="341"/>
      <c r="J77" s="341"/>
      <c r="K77" s="341"/>
      <c r="L77" s="341"/>
      <c r="M77" s="341"/>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47"/>
      <c r="C78" s="348"/>
      <c r="D78" s="348"/>
      <c r="E78" s="348"/>
      <c r="F78" s="348"/>
      <c r="G78" s="349"/>
      <c r="H78" s="341" t="s">
        <v>107</v>
      </c>
      <c r="I78" s="341"/>
      <c r="J78" s="341"/>
      <c r="K78" s="341"/>
      <c r="L78" s="341"/>
      <c r="M78" s="341"/>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47"/>
      <c r="C79" s="348"/>
      <c r="D79" s="348"/>
      <c r="E79" s="348"/>
      <c r="F79" s="348"/>
      <c r="G79" s="349"/>
      <c r="H79" s="341" t="s">
        <v>109</v>
      </c>
      <c r="I79" s="341"/>
      <c r="J79" s="341"/>
      <c r="K79" s="341"/>
      <c r="L79" s="341"/>
      <c r="M79" s="341"/>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0"/>
      <c r="C80" s="351"/>
      <c r="D80" s="351"/>
      <c r="E80" s="351"/>
      <c r="F80" s="351"/>
      <c r="G80" s="352"/>
      <c r="H80" s="311" t="s">
        <v>44</v>
      </c>
      <c r="I80" s="311"/>
      <c r="J80" s="311"/>
      <c r="K80" s="311"/>
      <c r="L80" s="311"/>
      <c r="M80" s="311"/>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1" t="s">
        <v>211</v>
      </c>
      <c r="C81" s="311"/>
      <c r="D81" s="311"/>
      <c r="E81" s="311"/>
      <c r="F81" s="311"/>
      <c r="G81" s="311"/>
      <c r="H81" s="311"/>
      <c r="I81" s="311"/>
      <c r="J81" s="311"/>
      <c r="K81" s="311"/>
      <c r="L81" s="311"/>
      <c r="M81" s="311"/>
      <c r="N81" s="311"/>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89" t="s">
        <v>125</v>
      </c>
      <c r="C82" s="390"/>
      <c r="D82" s="390"/>
      <c r="E82" s="390"/>
      <c r="F82" s="390"/>
      <c r="G82" s="390"/>
      <c r="H82" s="391"/>
      <c r="I82" s="320" t="s">
        <v>126</v>
      </c>
      <c r="J82" s="321"/>
      <c r="K82" s="321"/>
      <c r="L82" s="321"/>
      <c r="M82" s="321"/>
      <c r="N82" s="322"/>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86" t="s">
        <v>127</v>
      </c>
      <c r="C83" s="387"/>
      <c r="D83" s="387"/>
      <c r="E83" s="387"/>
      <c r="F83" s="387"/>
      <c r="G83" s="387"/>
      <c r="H83" s="388"/>
      <c r="I83" s="362">
        <f>IF($H$8&gt;$R$31,$H$8,$R$31)</f>
        <v>533288000</v>
      </c>
      <c r="J83" s="363"/>
      <c r="K83" s="363"/>
      <c r="L83" s="363"/>
      <c r="M83" s="363"/>
      <c r="N83" s="364"/>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11" t="s">
        <v>212</v>
      </c>
      <c r="C84" s="311"/>
      <c r="D84" s="311"/>
      <c r="E84" s="311"/>
      <c r="F84" s="311"/>
      <c r="G84" s="311"/>
      <c r="H84" s="311"/>
      <c r="I84" s="311"/>
      <c r="J84" s="311"/>
      <c r="K84" s="311"/>
      <c r="L84" s="311"/>
      <c r="M84" s="311"/>
      <c r="N84" s="311"/>
      <c r="P84" s="311" t="s">
        <v>146</v>
      </c>
      <c r="Q84" s="311"/>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11" t="s">
        <v>133</v>
      </c>
      <c r="C85" s="311"/>
      <c r="D85" s="311"/>
      <c r="E85" s="311"/>
      <c r="F85" s="311"/>
      <c r="G85" s="311"/>
      <c r="H85" s="311"/>
      <c r="I85" s="311"/>
      <c r="J85" s="311"/>
      <c r="K85" s="311"/>
      <c r="L85" s="311"/>
      <c r="M85" s="311"/>
      <c r="N85" s="311"/>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358"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59"/>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59"/>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59"/>
      <c r="P89" s="311" t="s">
        <v>153</v>
      </c>
      <c r="Q89" s="311"/>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59"/>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59"/>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59"/>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59"/>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59"/>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59"/>
      <c r="P95" s="311" t="s">
        <v>160</v>
      </c>
      <c r="Q95" s="311"/>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59"/>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59"/>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59"/>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59"/>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59"/>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59"/>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59"/>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59"/>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59"/>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59"/>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59"/>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60"/>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65" t="s">
        <v>167</v>
      </c>
      <c r="C108" s="365"/>
      <c r="D108" s="365"/>
      <c r="E108" s="365"/>
      <c r="F108" s="365"/>
      <c r="G108" s="365"/>
      <c r="H108" s="365"/>
      <c r="I108" s="365"/>
      <c r="J108" s="366">
        <f>SUM(C87:C107,G87:G107,K87:K107,E87:E107,I87:I107,K87:K107,M87:M107)</f>
        <v>0</v>
      </c>
      <c r="K108" s="366"/>
      <c r="L108" s="366"/>
      <c r="M108" s="366"/>
      <c r="N108" s="366"/>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65" t="s">
        <v>171</v>
      </c>
      <c r="C109" s="365"/>
      <c r="D109" s="365"/>
      <c r="E109" s="365"/>
      <c r="F109" s="365"/>
      <c r="G109" s="365"/>
      <c r="H109" s="365"/>
      <c r="I109" s="365"/>
      <c r="J109" s="311">
        <f>IFERROR(J108/(($B$21)*I75),0)</f>
        <v>0</v>
      </c>
      <c r="K109" s="311"/>
      <c r="L109" s="311"/>
      <c r="M109" s="311"/>
      <c r="N109" s="311"/>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65" t="s">
        <v>173</v>
      </c>
      <c r="C110" s="365"/>
      <c r="D110" s="365"/>
      <c r="E110" s="365"/>
      <c r="F110" s="365"/>
      <c r="G110" s="365"/>
      <c r="H110" s="365"/>
      <c r="I110" s="365"/>
      <c r="J110" s="365"/>
      <c r="K110" s="365"/>
      <c r="L110" s="369">
        <f>IF(J109&gt;P88,R88,IF(J109&gt;P87,R87,IF(J109&gt;P86,R86,R85)))</f>
        <v>60</v>
      </c>
      <c r="M110" s="369"/>
      <c r="N110" s="369"/>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11" t="s">
        <v>215</v>
      </c>
      <c r="C111" s="311"/>
      <c r="D111" s="311"/>
      <c r="E111" s="311"/>
      <c r="F111" s="311"/>
      <c r="G111" s="311"/>
      <c r="H111" s="311"/>
      <c r="I111" s="311"/>
      <c r="J111" s="311"/>
      <c r="K111" s="311"/>
      <c r="L111" s="311"/>
      <c r="M111" s="311"/>
      <c r="N111" s="311"/>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44"/>
      <c r="C112" s="345"/>
      <c r="D112" s="345"/>
      <c r="E112" s="345"/>
      <c r="F112" s="345"/>
      <c r="G112" s="346"/>
      <c r="H112" s="370" t="s">
        <v>177</v>
      </c>
      <c r="I112" s="370"/>
      <c r="J112" s="370"/>
      <c r="K112" s="370"/>
      <c r="L112" s="333">
        <f>$I$8</f>
        <v>0</v>
      </c>
      <c r="M112" s="333"/>
      <c r="N112" s="333"/>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47"/>
      <c r="C113" s="348"/>
      <c r="D113" s="348"/>
      <c r="E113" s="348"/>
      <c r="F113" s="348"/>
      <c r="G113" s="349"/>
      <c r="H113" s="370" t="s">
        <v>179</v>
      </c>
      <c r="I113" s="370"/>
      <c r="J113" s="370"/>
      <c r="K113" s="370"/>
      <c r="L113" s="333">
        <f>$J$8</f>
        <v>0</v>
      </c>
      <c r="M113" s="333"/>
      <c r="N113" s="333"/>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0"/>
      <c r="C114" s="351"/>
      <c r="D114" s="351"/>
      <c r="E114" s="351"/>
      <c r="F114" s="351"/>
      <c r="G114" s="352"/>
      <c r="H114" s="365" t="s">
        <v>181</v>
      </c>
      <c r="I114" s="365"/>
      <c r="J114" s="365"/>
      <c r="K114" s="365"/>
      <c r="L114" s="371">
        <f>IFERROR(ROUND(L112/L113,2),0)</f>
        <v>0</v>
      </c>
      <c r="M114" s="371"/>
      <c r="N114" s="371"/>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65" t="s">
        <v>183</v>
      </c>
      <c r="C115" s="365"/>
      <c r="D115" s="365"/>
      <c r="E115" s="365"/>
      <c r="F115" s="365"/>
      <c r="G115" s="365"/>
      <c r="H115" s="365"/>
      <c r="I115" s="365"/>
      <c r="J115" s="365"/>
      <c r="K115" s="365"/>
      <c r="L115" s="369">
        <f>IF(L114&gt;P94,R94,IF(L114&gt;P93,R93,IF(L114&gt;P92,R92,IF(L114&gt;P91,R91,R90))))</f>
        <v>20</v>
      </c>
      <c r="M115" s="369"/>
      <c r="N115" s="369"/>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11" t="s">
        <v>185</v>
      </c>
      <c r="C116" s="311"/>
      <c r="D116" s="311"/>
      <c r="E116" s="311"/>
      <c r="F116" s="311"/>
      <c r="G116" s="311"/>
      <c r="H116" s="311"/>
      <c r="I116" s="311"/>
      <c r="J116" s="311"/>
      <c r="K116" s="311"/>
      <c r="L116" s="311"/>
      <c r="M116" s="311"/>
      <c r="N116" s="311"/>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75" t="s">
        <v>94</v>
      </c>
      <c r="C117" s="375"/>
      <c r="D117" s="375"/>
      <c r="E117" s="375"/>
      <c r="F117" s="375"/>
      <c r="G117" s="375"/>
      <c r="H117" s="375"/>
      <c r="I117" s="375"/>
      <c r="J117" s="375"/>
      <c r="K117" s="375"/>
      <c r="L117" s="375"/>
      <c r="M117" s="368">
        <f>$K$8</f>
        <v>0</v>
      </c>
      <c r="N117" s="368"/>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65" t="s">
        <v>188</v>
      </c>
      <c r="C118" s="365"/>
      <c r="D118" s="365"/>
      <c r="E118" s="365"/>
      <c r="F118" s="365"/>
      <c r="G118" s="365"/>
      <c r="H118" s="365"/>
      <c r="I118" s="365"/>
      <c r="J118" s="365"/>
      <c r="K118" s="365"/>
      <c r="L118" s="369">
        <f>IF(M117&gt;P99,R99,IF(M117&gt;P98,R98,IF(M117&gt;P97,R97,R96)))</f>
        <v>0</v>
      </c>
      <c r="M118" s="369"/>
      <c r="N118" s="369"/>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5" t="str">
        <f>"CAPACIDAD DE CONTRATACIÓN "&amp;$F$74</f>
        <v xml:space="preserve">CAPACIDAD DE CONTRATACIÓN </v>
      </c>
      <c r="C120" s="365"/>
      <c r="D120" s="365"/>
      <c r="E120" s="365"/>
      <c r="F120" s="365"/>
      <c r="G120" s="365"/>
      <c r="H120" s="365"/>
      <c r="I120" s="365"/>
      <c r="J120" s="365"/>
      <c r="K120" s="365"/>
      <c r="L120" s="314">
        <f>I83*((L110+L115+L118)/100)</f>
        <v>426630400</v>
      </c>
      <c r="M120" s="314"/>
      <c r="N120" s="314"/>
      <c r="P120" s="82" t="s">
        <v>201</v>
      </c>
      <c r="R120" s="83">
        <v>16</v>
      </c>
      <c r="Z120" s="376" t="s">
        <v>199</v>
      </c>
      <c r="AA120" s="376"/>
      <c r="AB120" s="376"/>
      <c r="AC120" s="376"/>
      <c r="AD120" s="376"/>
      <c r="AE120" s="126">
        <f>SUM(AE77:AE119)</f>
        <v>25000000</v>
      </c>
    </row>
    <row r="121" spans="2:31" ht="15.75" customHeight="1" thickBot="1" x14ac:dyDescent="0.25">
      <c r="B121" s="365" t="str">
        <f>"SALDO DE LOS CONTRATOS EN EJECUCIÓN "&amp;$F$74</f>
        <v xml:space="preserve">SALDO DE LOS CONTRATOS EN EJECUCIÓN </v>
      </c>
      <c r="C121" s="365"/>
      <c r="D121" s="365"/>
      <c r="E121" s="365"/>
      <c r="F121" s="365"/>
      <c r="G121" s="365"/>
      <c r="H121" s="365"/>
      <c r="I121" s="365"/>
      <c r="J121" s="365"/>
      <c r="K121" s="365"/>
      <c r="L121" s="314">
        <f>$M$8</f>
        <v>0</v>
      </c>
      <c r="M121" s="314"/>
      <c r="N121" s="314"/>
      <c r="P121" s="82"/>
      <c r="R121" s="83"/>
      <c r="Z121" s="132"/>
      <c r="AA121" s="132"/>
      <c r="AB121" s="132"/>
      <c r="AC121" s="132"/>
      <c r="AD121" s="132"/>
      <c r="AE121" s="133"/>
    </row>
    <row r="122" spans="2:31" ht="15.75" customHeight="1" thickBot="1" x14ac:dyDescent="0.25">
      <c r="B122" s="365" t="str">
        <f>"CAPACIDAD RESIDUAL DE CONTRATACIÓN "&amp;$F$74</f>
        <v xml:space="preserve">CAPACIDAD RESIDUAL DE CONTRATACIÓN </v>
      </c>
      <c r="C122" s="365"/>
      <c r="D122" s="365"/>
      <c r="E122" s="365"/>
      <c r="F122" s="365"/>
      <c r="G122" s="365"/>
      <c r="H122" s="365"/>
      <c r="I122" s="365"/>
      <c r="J122" s="365"/>
      <c r="K122" s="365"/>
      <c r="L122" s="314">
        <f>L120-L121</f>
        <v>426630400</v>
      </c>
      <c r="M122" s="314"/>
      <c r="N122" s="314"/>
      <c r="T122" s="337" t="s">
        <v>108</v>
      </c>
      <c r="U122" s="337"/>
      <c r="V122" s="338" t="str">
        <f>B124</f>
        <v>INTEGRANTE 3: 0</v>
      </c>
      <c r="W122" s="339"/>
      <c r="X122" s="339"/>
      <c r="Y122" s="339"/>
      <c r="Z122" s="339"/>
      <c r="AA122" s="340"/>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72" t="str">
        <f>"INTEGRANTE 3: "&amp;$C$9</f>
        <v>INTEGRANTE 3: 0</v>
      </c>
      <c r="C124" s="373"/>
      <c r="D124" s="373"/>
      <c r="E124" s="373"/>
      <c r="F124" s="373"/>
      <c r="G124" s="373"/>
      <c r="H124" s="373"/>
      <c r="I124" s="373"/>
      <c r="J124" s="373"/>
      <c r="K124" s="373"/>
      <c r="L124" s="373"/>
      <c r="M124" s="373"/>
      <c r="N124" s="374"/>
      <c r="T124" s="109"/>
      <c r="U124" s="110"/>
    </row>
    <row r="125" spans="2:31" ht="18.75" customHeight="1" x14ac:dyDescent="0.25">
      <c r="B125" s="314" t="s">
        <v>102</v>
      </c>
      <c r="C125" s="314"/>
      <c r="D125" s="314"/>
      <c r="E125" s="314"/>
      <c r="F125" s="314"/>
      <c r="G125" s="314"/>
      <c r="H125" s="314"/>
      <c r="I125" s="336">
        <f>$G$9</f>
        <v>0</v>
      </c>
      <c r="J125" s="336"/>
      <c r="K125" s="336"/>
      <c r="L125" s="336"/>
      <c r="M125" s="336"/>
      <c r="N125" s="336"/>
      <c r="Q125" s="103" t="s">
        <v>210</v>
      </c>
      <c r="T125" s="353" t="s">
        <v>113</v>
      </c>
      <c r="U125" s="342" t="s">
        <v>114</v>
      </c>
      <c r="V125" s="342" t="s">
        <v>115</v>
      </c>
      <c r="W125" s="342" t="s">
        <v>116</v>
      </c>
      <c r="X125" s="342" t="s">
        <v>117</v>
      </c>
      <c r="Y125" s="342" t="s">
        <v>118</v>
      </c>
      <c r="Z125" s="342" t="s">
        <v>119</v>
      </c>
      <c r="AA125" s="342" t="s">
        <v>120</v>
      </c>
      <c r="AB125" s="342" t="s">
        <v>121</v>
      </c>
      <c r="AC125" s="342" t="s">
        <v>122</v>
      </c>
      <c r="AD125" s="342" t="s">
        <v>123</v>
      </c>
      <c r="AE125" s="342" t="s">
        <v>124</v>
      </c>
    </row>
    <row r="126" spans="2:31" ht="15.75" customHeight="1" thickBot="1" x14ac:dyDescent="0.3">
      <c r="B126" s="311" t="s">
        <v>103</v>
      </c>
      <c r="C126" s="311"/>
      <c r="D126" s="311"/>
      <c r="E126" s="311"/>
      <c r="F126" s="311"/>
      <c r="G126" s="311"/>
      <c r="H126" s="311" t="s">
        <v>104</v>
      </c>
      <c r="I126" s="311"/>
      <c r="J126" s="311"/>
      <c r="K126" s="311"/>
      <c r="L126" s="311"/>
      <c r="M126" s="311"/>
      <c r="N126" s="91" t="s">
        <v>105</v>
      </c>
      <c r="Q126" s="108">
        <v>1423500</v>
      </c>
      <c r="T126" s="354"/>
      <c r="U126" s="343"/>
      <c r="V126" s="343"/>
      <c r="W126" s="343"/>
      <c r="X126" s="343"/>
      <c r="Y126" s="343"/>
      <c r="Z126" s="343"/>
      <c r="AA126" s="343"/>
      <c r="AB126" s="343"/>
      <c r="AC126" s="343"/>
      <c r="AD126" s="343"/>
      <c r="AE126" s="343"/>
    </row>
    <row r="127" spans="2:31" ht="15.75" customHeight="1" thickBot="1" x14ac:dyDescent="0.3">
      <c r="B127" s="344"/>
      <c r="C127" s="345"/>
      <c r="D127" s="345"/>
      <c r="E127" s="345"/>
      <c r="F127" s="345"/>
      <c r="G127" s="346"/>
      <c r="H127" s="341" t="s">
        <v>106</v>
      </c>
      <c r="I127" s="341"/>
      <c r="J127" s="341"/>
      <c r="K127" s="341"/>
      <c r="L127" s="341"/>
      <c r="M127" s="341"/>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47"/>
      <c r="C128" s="348"/>
      <c r="D128" s="348"/>
      <c r="E128" s="348"/>
      <c r="F128" s="348"/>
      <c r="G128" s="349"/>
      <c r="H128" s="341" t="s">
        <v>107</v>
      </c>
      <c r="I128" s="341"/>
      <c r="J128" s="341"/>
      <c r="K128" s="341"/>
      <c r="L128" s="341"/>
      <c r="M128" s="341"/>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47"/>
      <c r="C129" s="348"/>
      <c r="D129" s="348"/>
      <c r="E129" s="348"/>
      <c r="F129" s="348"/>
      <c r="G129" s="349"/>
      <c r="H129" s="341" t="s">
        <v>109</v>
      </c>
      <c r="I129" s="341"/>
      <c r="J129" s="341"/>
      <c r="K129" s="341"/>
      <c r="L129" s="341"/>
      <c r="M129" s="341"/>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0"/>
      <c r="C130" s="351"/>
      <c r="D130" s="351"/>
      <c r="E130" s="351"/>
      <c r="F130" s="351"/>
      <c r="G130" s="352"/>
      <c r="H130" s="311" t="s">
        <v>44</v>
      </c>
      <c r="I130" s="311"/>
      <c r="J130" s="311"/>
      <c r="K130" s="311"/>
      <c r="L130" s="311"/>
      <c r="M130" s="311"/>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1" t="s">
        <v>211</v>
      </c>
      <c r="C131" s="311"/>
      <c r="D131" s="311"/>
      <c r="E131" s="311"/>
      <c r="F131" s="311"/>
      <c r="G131" s="311"/>
      <c r="H131" s="311"/>
      <c r="I131" s="311"/>
      <c r="J131" s="311"/>
      <c r="K131" s="311"/>
      <c r="L131" s="311"/>
      <c r="M131" s="311"/>
      <c r="N131" s="311"/>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89" t="s">
        <v>125</v>
      </c>
      <c r="C132" s="390"/>
      <c r="D132" s="390"/>
      <c r="E132" s="390"/>
      <c r="F132" s="390"/>
      <c r="G132" s="390"/>
      <c r="H132" s="391"/>
      <c r="I132" s="320" t="s">
        <v>126</v>
      </c>
      <c r="J132" s="321"/>
      <c r="K132" s="321"/>
      <c r="L132" s="321"/>
      <c r="M132" s="321"/>
      <c r="N132" s="322"/>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86" t="s">
        <v>127</v>
      </c>
      <c r="C133" s="387"/>
      <c r="D133" s="387"/>
      <c r="E133" s="387"/>
      <c r="F133" s="387"/>
      <c r="G133" s="387"/>
      <c r="H133" s="388"/>
      <c r="I133" s="362">
        <f>IF($H$9&gt;$R$31,$H$9,$R$31)</f>
        <v>533288000</v>
      </c>
      <c r="J133" s="363"/>
      <c r="K133" s="363"/>
      <c r="L133" s="363"/>
      <c r="M133" s="363"/>
      <c r="N133" s="364"/>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11" t="s">
        <v>212</v>
      </c>
      <c r="C134" s="311"/>
      <c r="D134" s="311"/>
      <c r="E134" s="311"/>
      <c r="F134" s="311"/>
      <c r="G134" s="311"/>
      <c r="H134" s="311"/>
      <c r="I134" s="311"/>
      <c r="J134" s="311"/>
      <c r="K134" s="311"/>
      <c r="L134" s="311"/>
      <c r="M134" s="311"/>
      <c r="N134" s="311"/>
      <c r="P134" s="311" t="s">
        <v>146</v>
      </c>
      <c r="Q134" s="311"/>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11" t="s">
        <v>133</v>
      </c>
      <c r="C135" s="311"/>
      <c r="D135" s="311"/>
      <c r="E135" s="311"/>
      <c r="F135" s="311"/>
      <c r="G135" s="311"/>
      <c r="H135" s="311"/>
      <c r="I135" s="311"/>
      <c r="J135" s="311"/>
      <c r="K135" s="311"/>
      <c r="L135" s="311"/>
      <c r="M135" s="311"/>
      <c r="N135" s="311"/>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358"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59"/>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59"/>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59"/>
      <c r="P139" s="311" t="s">
        <v>153</v>
      </c>
      <c r="Q139" s="311"/>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59"/>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59"/>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59"/>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59"/>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59"/>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59"/>
      <c r="P145" s="311" t="s">
        <v>160</v>
      </c>
      <c r="Q145" s="311"/>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59"/>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59"/>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59"/>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59"/>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59"/>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59"/>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59"/>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59"/>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59"/>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59"/>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59"/>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60"/>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65" t="s">
        <v>167</v>
      </c>
      <c r="C158" s="365"/>
      <c r="D158" s="365"/>
      <c r="E158" s="365"/>
      <c r="F158" s="365"/>
      <c r="G158" s="365"/>
      <c r="H158" s="365"/>
      <c r="I158" s="365"/>
      <c r="J158" s="366">
        <f>SUM(C137:C157,G137:G157,K137:K157,E137:E157,I137:I157,K137:K157,M137:M157)</f>
        <v>0</v>
      </c>
      <c r="K158" s="366"/>
      <c r="L158" s="366"/>
      <c r="M158" s="366"/>
      <c r="N158" s="366"/>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65" t="s">
        <v>171</v>
      </c>
      <c r="C159" s="365"/>
      <c r="D159" s="365"/>
      <c r="E159" s="365"/>
      <c r="F159" s="365"/>
      <c r="G159" s="365"/>
      <c r="H159" s="365"/>
      <c r="I159" s="365"/>
      <c r="J159" s="311">
        <f>IFERROR(J158/(($B$21)*I125),0)</f>
        <v>0</v>
      </c>
      <c r="K159" s="311"/>
      <c r="L159" s="311"/>
      <c r="M159" s="311"/>
      <c r="N159" s="311"/>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65" t="s">
        <v>173</v>
      </c>
      <c r="C160" s="365"/>
      <c r="D160" s="365"/>
      <c r="E160" s="365"/>
      <c r="F160" s="365"/>
      <c r="G160" s="365"/>
      <c r="H160" s="365"/>
      <c r="I160" s="365"/>
      <c r="J160" s="365"/>
      <c r="K160" s="365"/>
      <c r="L160" s="369">
        <f>IF(J159&gt;P138,R138,IF(J159&gt;P137,R137,IF(J159&gt;P136,R136,R135)))</f>
        <v>60</v>
      </c>
      <c r="M160" s="369"/>
      <c r="N160" s="369"/>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11" t="s">
        <v>215</v>
      </c>
      <c r="C161" s="311"/>
      <c r="D161" s="311"/>
      <c r="E161" s="311"/>
      <c r="F161" s="311"/>
      <c r="G161" s="311"/>
      <c r="H161" s="311"/>
      <c r="I161" s="311"/>
      <c r="J161" s="311"/>
      <c r="K161" s="311"/>
      <c r="L161" s="311"/>
      <c r="M161" s="311"/>
      <c r="N161" s="311"/>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44"/>
      <c r="C162" s="345"/>
      <c r="D162" s="345"/>
      <c r="E162" s="345"/>
      <c r="F162" s="345"/>
      <c r="G162" s="346"/>
      <c r="H162" s="370" t="s">
        <v>177</v>
      </c>
      <c r="I162" s="370"/>
      <c r="J162" s="370"/>
      <c r="K162" s="370"/>
      <c r="L162" s="333">
        <f>$I$9</f>
        <v>0</v>
      </c>
      <c r="M162" s="333"/>
      <c r="N162" s="333"/>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47"/>
      <c r="C163" s="348"/>
      <c r="D163" s="348"/>
      <c r="E163" s="348"/>
      <c r="F163" s="348"/>
      <c r="G163" s="349"/>
      <c r="H163" s="370" t="s">
        <v>179</v>
      </c>
      <c r="I163" s="370"/>
      <c r="J163" s="370"/>
      <c r="K163" s="370"/>
      <c r="L163" s="333">
        <f>$J$9</f>
        <v>0</v>
      </c>
      <c r="M163" s="333"/>
      <c r="N163" s="333"/>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0"/>
      <c r="C164" s="351"/>
      <c r="D164" s="351"/>
      <c r="E164" s="351"/>
      <c r="F164" s="351"/>
      <c r="G164" s="352"/>
      <c r="H164" s="365" t="s">
        <v>181</v>
      </c>
      <c r="I164" s="365"/>
      <c r="J164" s="365"/>
      <c r="K164" s="365"/>
      <c r="L164" s="371">
        <f>IFERROR(ROUND(L162/L163,2),0)</f>
        <v>0</v>
      </c>
      <c r="M164" s="371"/>
      <c r="N164" s="371"/>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65" t="s">
        <v>183</v>
      </c>
      <c r="C165" s="365"/>
      <c r="D165" s="365"/>
      <c r="E165" s="365"/>
      <c r="F165" s="365"/>
      <c r="G165" s="365"/>
      <c r="H165" s="365"/>
      <c r="I165" s="365"/>
      <c r="J165" s="365"/>
      <c r="K165" s="365"/>
      <c r="L165" s="369">
        <f>IF(L164&gt;P144,R144,IF(L164&gt;P143,R143,IF(L164&gt;P142,R142,IF(L164&gt;P141,R141,R140))))</f>
        <v>20</v>
      </c>
      <c r="M165" s="369"/>
      <c r="N165" s="369"/>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11" t="s">
        <v>185</v>
      </c>
      <c r="C166" s="311"/>
      <c r="D166" s="311"/>
      <c r="E166" s="311"/>
      <c r="F166" s="311"/>
      <c r="G166" s="311"/>
      <c r="H166" s="311"/>
      <c r="I166" s="311"/>
      <c r="J166" s="311"/>
      <c r="K166" s="311"/>
      <c r="L166" s="311"/>
      <c r="M166" s="311"/>
      <c r="N166" s="311"/>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75" t="s">
        <v>94</v>
      </c>
      <c r="C167" s="375"/>
      <c r="D167" s="375"/>
      <c r="E167" s="375"/>
      <c r="F167" s="375"/>
      <c r="G167" s="375"/>
      <c r="H167" s="375"/>
      <c r="I167" s="375"/>
      <c r="J167" s="375"/>
      <c r="K167" s="375"/>
      <c r="L167" s="375"/>
      <c r="M167" s="368">
        <f>$K$9</f>
        <v>0</v>
      </c>
      <c r="N167" s="368"/>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65" t="s">
        <v>188</v>
      </c>
      <c r="C168" s="365"/>
      <c r="D168" s="365"/>
      <c r="E168" s="365"/>
      <c r="F168" s="365"/>
      <c r="G168" s="365"/>
      <c r="H168" s="365"/>
      <c r="I168" s="365"/>
      <c r="J168" s="365"/>
      <c r="K168" s="365"/>
      <c r="L168" s="369">
        <f>IF(M167&gt;P149,R149,IF(M167&gt;P148,R148,IF(M167&gt;P147,R147,R146)))</f>
        <v>0</v>
      </c>
      <c r="M168" s="369"/>
      <c r="N168" s="369"/>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65" t="str">
        <f>"CAPACIDAD DE CONTRATACIÓN "&amp;$F$124</f>
        <v xml:space="preserve">CAPACIDAD DE CONTRATACIÓN </v>
      </c>
      <c r="C170" s="365"/>
      <c r="D170" s="365"/>
      <c r="E170" s="365"/>
      <c r="F170" s="365"/>
      <c r="G170" s="365"/>
      <c r="H170" s="365"/>
      <c r="I170" s="365"/>
      <c r="J170" s="365"/>
      <c r="K170" s="365"/>
      <c r="L170" s="314">
        <f>I133*((L160+L165+L168)/100)</f>
        <v>426630400</v>
      </c>
      <c r="M170" s="314"/>
      <c r="N170" s="314"/>
      <c r="P170" s="82" t="s">
        <v>201</v>
      </c>
      <c r="R170" s="83">
        <v>16</v>
      </c>
      <c r="Z170" s="376" t="s">
        <v>199</v>
      </c>
      <c r="AA170" s="376"/>
      <c r="AB170" s="376"/>
      <c r="AC170" s="376"/>
      <c r="AD170" s="376"/>
      <c r="AE170" s="126">
        <f>SUM(AE127:AE169)</f>
        <v>25000000</v>
      </c>
    </row>
    <row r="171" spans="2:31" ht="15.75" customHeight="1" x14ac:dyDescent="0.2">
      <c r="B171" s="365" t="str">
        <f>"SALDO DE LOS CONTRATOS EN EJECUCIÓN "&amp;$F$124</f>
        <v xml:space="preserve">SALDO DE LOS CONTRATOS EN EJECUCIÓN </v>
      </c>
      <c r="C171" s="365"/>
      <c r="D171" s="365"/>
      <c r="E171" s="365"/>
      <c r="F171" s="365"/>
      <c r="G171" s="365"/>
      <c r="H171" s="365"/>
      <c r="I171" s="365"/>
      <c r="J171" s="365"/>
      <c r="K171" s="365"/>
      <c r="L171" s="314">
        <f>$M$9</f>
        <v>0</v>
      </c>
      <c r="M171" s="314"/>
      <c r="N171" s="314"/>
      <c r="P171" s="82"/>
      <c r="R171" s="83"/>
      <c r="Z171" s="132"/>
      <c r="AA171" s="132"/>
      <c r="AB171" s="132"/>
      <c r="AC171" s="132"/>
      <c r="AD171" s="132"/>
      <c r="AE171" s="133"/>
    </row>
    <row r="172" spans="2:31" ht="15.75" customHeight="1" x14ac:dyDescent="0.2">
      <c r="B172" s="365" t="str">
        <f>"CAPACIDAD RESIDUAL DE CONTRATACIÓN "&amp;$F$124</f>
        <v xml:space="preserve">CAPACIDAD RESIDUAL DE CONTRATACIÓN </v>
      </c>
      <c r="C172" s="365"/>
      <c r="D172" s="365"/>
      <c r="E172" s="365"/>
      <c r="F172" s="365"/>
      <c r="G172" s="365"/>
      <c r="H172" s="365"/>
      <c r="I172" s="365"/>
      <c r="J172" s="365"/>
      <c r="K172" s="365"/>
      <c r="L172" s="314">
        <f>L170-L171</f>
        <v>426630400</v>
      </c>
      <c r="M172" s="314"/>
      <c r="N172" s="314"/>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72" t="str">
        <f>"INTEGRANTE 4: "&amp;$C$10</f>
        <v>INTEGRANTE 4: 0</v>
      </c>
      <c r="C174" s="373"/>
      <c r="D174" s="373"/>
      <c r="E174" s="373"/>
      <c r="F174" s="373"/>
      <c r="G174" s="373"/>
      <c r="H174" s="373"/>
      <c r="I174" s="373"/>
      <c r="J174" s="373"/>
      <c r="K174" s="373"/>
      <c r="L174" s="373"/>
      <c r="M174" s="373"/>
      <c r="N174" s="374"/>
      <c r="T174" s="109"/>
      <c r="U174" s="110"/>
    </row>
    <row r="175" spans="2:31" ht="18.75" customHeight="1" x14ac:dyDescent="0.25">
      <c r="B175" s="362" t="s">
        <v>102</v>
      </c>
      <c r="C175" s="363"/>
      <c r="D175" s="363"/>
      <c r="E175" s="363"/>
      <c r="F175" s="363"/>
      <c r="G175" s="363"/>
      <c r="H175" s="364"/>
      <c r="I175" s="414">
        <f>$G$10</f>
        <v>0</v>
      </c>
      <c r="J175" s="415"/>
      <c r="K175" s="415"/>
      <c r="L175" s="415"/>
      <c r="M175" s="415"/>
      <c r="N175" s="416"/>
      <c r="Q175" s="103" t="s">
        <v>210</v>
      </c>
      <c r="T175" s="353" t="s">
        <v>113</v>
      </c>
      <c r="U175" s="342" t="s">
        <v>114</v>
      </c>
      <c r="V175" s="342" t="s">
        <v>115</v>
      </c>
      <c r="W175" s="342" t="s">
        <v>116</v>
      </c>
      <c r="X175" s="342" t="s">
        <v>117</v>
      </c>
      <c r="Y175" s="342" t="s">
        <v>118</v>
      </c>
      <c r="Z175" s="342" t="s">
        <v>119</v>
      </c>
      <c r="AA175" s="342" t="s">
        <v>120</v>
      </c>
      <c r="AB175" s="342" t="s">
        <v>121</v>
      </c>
      <c r="AC175" s="342" t="s">
        <v>122</v>
      </c>
      <c r="AD175" s="342" t="s">
        <v>123</v>
      </c>
      <c r="AE175" s="342" t="s">
        <v>124</v>
      </c>
    </row>
    <row r="176" spans="2:31" ht="15.75" customHeight="1" thickBot="1" x14ac:dyDescent="0.3">
      <c r="B176" s="320" t="s">
        <v>103</v>
      </c>
      <c r="C176" s="321"/>
      <c r="D176" s="321"/>
      <c r="E176" s="321"/>
      <c r="F176" s="321"/>
      <c r="G176" s="322"/>
      <c r="H176" s="320" t="s">
        <v>104</v>
      </c>
      <c r="I176" s="321"/>
      <c r="J176" s="321"/>
      <c r="K176" s="321"/>
      <c r="L176" s="321"/>
      <c r="M176" s="322"/>
      <c r="N176" s="91" t="s">
        <v>105</v>
      </c>
      <c r="Q176" s="108">
        <v>1423500</v>
      </c>
      <c r="T176" s="354"/>
      <c r="U176" s="343"/>
      <c r="V176" s="343"/>
      <c r="W176" s="343"/>
      <c r="X176" s="343"/>
      <c r="Y176" s="343"/>
      <c r="Z176" s="343"/>
      <c r="AA176" s="343"/>
      <c r="AB176" s="343"/>
      <c r="AC176" s="343"/>
      <c r="AD176" s="343"/>
      <c r="AE176" s="343"/>
    </row>
    <row r="177" spans="2:31" ht="15.75" customHeight="1" thickBot="1" x14ac:dyDescent="0.3">
      <c r="B177" s="344"/>
      <c r="C177" s="345"/>
      <c r="D177" s="345"/>
      <c r="E177" s="345"/>
      <c r="F177" s="345"/>
      <c r="G177" s="346"/>
      <c r="H177" s="417" t="s">
        <v>106</v>
      </c>
      <c r="I177" s="418"/>
      <c r="J177" s="418"/>
      <c r="K177" s="418"/>
      <c r="L177" s="418"/>
      <c r="M177" s="419"/>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47"/>
      <c r="C178" s="348"/>
      <c r="D178" s="348"/>
      <c r="E178" s="348"/>
      <c r="F178" s="348"/>
      <c r="G178" s="349"/>
      <c r="H178" s="417" t="s">
        <v>107</v>
      </c>
      <c r="I178" s="418"/>
      <c r="J178" s="418"/>
      <c r="K178" s="418"/>
      <c r="L178" s="418"/>
      <c r="M178" s="419"/>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47"/>
      <c r="C179" s="348"/>
      <c r="D179" s="348"/>
      <c r="E179" s="348"/>
      <c r="F179" s="348"/>
      <c r="G179" s="349"/>
      <c r="H179" s="417" t="s">
        <v>109</v>
      </c>
      <c r="I179" s="418"/>
      <c r="J179" s="418"/>
      <c r="K179" s="418"/>
      <c r="L179" s="418"/>
      <c r="M179" s="419"/>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0"/>
      <c r="C180" s="351"/>
      <c r="D180" s="351"/>
      <c r="E180" s="351"/>
      <c r="F180" s="351"/>
      <c r="G180" s="352"/>
      <c r="H180" s="320" t="s">
        <v>44</v>
      </c>
      <c r="I180" s="321"/>
      <c r="J180" s="321"/>
      <c r="K180" s="321"/>
      <c r="L180" s="321"/>
      <c r="M180" s="322"/>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20" t="s">
        <v>211</v>
      </c>
      <c r="C181" s="321"/>
      <c r="D181" s="321"/>
      <c r="E181" s="321"/>
      <c r="F181" s="321"/>
      <c r="G181" s="321"/>
      <c r="H181" s="321"/>
      <c r="I181" s="321"/>
      <c r="J181" s="321"/>
      <c r="K181" s="321"/>
      <c r="L181" s="321"/>
      <c r="M181" s="321"/>
      <c r="N181" s="322"/>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89" t="s">
        <v>125</v>
      </c>
      <c r="C182" s="390"/>
      <c r="D182" s="390"/>
      <c r="E182" s="390"/>
      <c r="F182" s="390"/>
      <c r="G182" s="390"/>
      <c r="H182" s="391"/>
      <c r="I182" s="320" t="s">
        <v>126</v>
      </c>
      <c r="J182" s="321"/>
      <c r="K182" s="321"/>
      <c r="L182" s="321"/>
      <c r="M182" s="321"/>
      <c r="N182" s="322"/>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86" t="s">
        <v>127</v>
      </c>
      <c r="C183" s="387"/>
      <c r="D183" s="387"/>
      <c r="E183" s="387"/>
      <c r="F183" s="387"/>
      <c r="G183" s="387"/>
      <c r="H183" s="388"/>
      <c r="I183" s="362">
        <f>IF($H$10&gt;$R$31,$H$10,$R$31)</f>
        <v>533288000</v>
      </c>
      <c r="J183" s="363"/>
      <c r="K183" s="363"/>
      <c r="L183" s="363"/>
      <c r="M183" s="363"/>
      <c r="N183" s="364"/>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20" t="s">
        <v>212</v>
      </c>
      <c r="C184" s="321"/>
      <c r="D184" s="321"/>
      <c r="E184" s="321"/>
      <c r="F184" s="321"/>
      <c r="G184" s="321"/>
      <c r="H184" s="321"/>
      <c r="I184" s="321"/>
      <c r="J184" s="321"/>
      <c r="K184" s="321"/>
      <c r="L184" s="321"/>
      <c r="M184" s="321"/>
      <c r="N184" s="322"/>
      <c r="P184" s="320" t="s">
        <v>146</v>
      </c>
      <c r="Q184" s="322"/>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20" t="s">
        <v>133</v>
      </c>
      <c r="C185" s="321"/>
      <c r="D185" s="321"/>
      <c r="E185" s="321"/>
      <c r="F185" s="321"/>
      <c r="G185" s="321"/>
      <c r="H185" s="321"/>
      <c r="I185" s="321"/>
      <c r="J185" s="321"/>
      <c r="K185" s="321"/>
      <c r="L185" s="321"/>
      <c r="M185" s="321"/>
      <c r="N185" s="322"/>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358"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59"/>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59"/>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59"/>
      <c r="P189" s="320" t="s">
        <v>153</v>
      </c>
      <c r="Q189" s="322"/>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59"/>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59"/>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59"/>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59"/>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59"/>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59"/>
      <c r="P195" s="320" t="s">
        <v>160</v>
      </c>
      <c r="Q195" s="322"/>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59"/>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59"/>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59"/>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59"/>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59"/>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59"/>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59"/>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59"/>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59"/>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59"/>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59"/>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60"/>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65" t="s">
        <v>167</v>
      </c>
      <c r="C208" s="365"/>
      <c r="D208" s="365"/>
      <c r="E208" s="365"/>
      <c r="F208" s="365"/>
      <c r="G208" s="365"/>
      <c r="H208" s="365"/>
      <c r="I208" s="365"/>
      <c r="J208" s="366">
        <f>SUM(C187:C207,G187:G207,K187:K207,E187:E207,I187:I207,K187:K207,M187:M207)</f>
        <v>0</v>
      </c>
      <c r="K208" s="366"/>
      <c r="L208" s="366"/>
      <c r="M208" s="366"/>
      <c r="N208" s="366"/>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20" t="s">
        <v>171</v>
      </c>
      <c r="C209" s="421"/>
      <c r="D209" s="421"/>
      <c r="E209" s="421"/>
      <c r="F209" s="421"/>
      <c r="G209" s="421"/>
      <c r="H209" s="421"/>
      <c r="I209" s="422"/>
      <c r="J209" s="320">
        <f>IFERROR(J208/(($B$21)*I175),0)</f>
        <v>0</v>
      </c>
      <c r="K209" s="321"/>
      <c r="L209" s="321"/>
      <c r="M209" s="321"/>
      <c r="N209" s="322"/>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20" t="s">
        <v>173</v>
      </c>
      <c r="C210" s="421"/>
      <c r="D210" s="421"/>
      <c r="E210" s="421"/>
      <c r="F210" s="421"/>
      <c r="G210" s="421"/>
      <c r="H210" s="421"/>
      <c r="I210" s="421"/>
      <c r="J210" s="421"/>
      <c r="K210" s="422"/>
      <c r="L210" s="426">
        <f>IF(J209&gt;P188,R188,IF(J209&gt;P187,R187,IF(J209&gt;P186,R186,R185)))</f>
        <v>60</v>
      </c>
      <c r="M210" s="427"/>
      <c r="N210" s="428"/>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20" t="s">
        <v>215</v>
      </c>
      <c r="C211" s="321"/>
      <c r="D211" s="321"/>
      <c r="E211" s="321"/>
      <c r="F211" s="321"/>
      <c r="G211" s="321"/>
      <c r="H211" s="321"/>
      <c r="I211" s="321"/>
      <c r="J211" s="321"/>
      <c r="K211" s="321"/>
      <c r="L211" s="321"/>
      <c r="M211" s="321"/>
      <c r="N211" s="322"/>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44"/>
      <c r="C212" s="345"/>
      <c r="D212" s="345"/>
      <c r="E212" s="345"/>
      <c r="F212" s="345"/>
      <c r="G212" s="346"/>
      <c r="H212" s="434" t="s">
        <v>177</v>
      </c>
      <c r="I212" s="435"/>
      <c r="J212" s="435"/>
      <c r="K212" s="436"/>
      <c r="L212" s="437">
        <f>$I$10</f>
        <v>0</v>
      </c>
      <c r="M212" s="438"/>
      <c r="N212" s="439"/>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47"/>
      <c r="C213" s="348"/>
      <c r="D213" s="348"/>
      <c r="E213" s="348"/>
      <c r="F213" s="348"/>
      <c r="G213" s="349"/>
      <c r="H213" s="434" t="s">
        <v>179</v>
      </c>
      <c r="I213" s="435"/>
      <c r="J213" s="435"/>
      <c r="K213" s="436"/>
      <c r="L213" s="437">
        <f>$J$10</f>
        <v>0</v>
      </c>
      <c r="M213" s="438"/>
      <c r="N213" s="439"/>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0"/>
      <c r="C214" s="351"/>
      <c r="D214" s="351"/>
      <c r="E214" s="351"/>
      <c r="F214" s="351"/>
      <c r="G214" s="352"/>
      <c r="H214" s="420" t="s">
        <v>181</v>
      </c>
      <c r="I214" s="421"/>
      <c r="J214" s="421"/>
      <c r="K214" s="422"/>
      <c r="L214" s="423">
        <f>IFERROR(ROUND(L212/L213,2),0)</f>
        <v>0</v>
      </c>
      <c r="M214" s="424"/>
      <c r="N214" s="425"/>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20" t="s">
        <v>183</v>
      </c>
      <c r="C215" s="421"/>
      <c r="D215" s="421"/>
      <c r="E215" s="421"/>
      <c r="F215" s="421"/>
      <c r="G215" s="421"/>
      <c r="H215" s="421"/>
      <c r="I215" s="421"/>
      <c r="J215" s="421"/>
      <c r="K215" s="422"/>
      <c r="L215" s="426">
        <f>IF(L214&gt;P194,R194,IF(L214&gt;P193,R193,IF(L214&gt;P192,R192,IF(L214&gt;P191,R191,R190))))</f>
        <v>20</v>
      </c>
      <c r="M215" s="427"/>
      <c r="N215" s="428"/>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20" t="s">
        <v>185</v>
      </c>
      <c r="C216" s="321"/>
      <c r="D216" s="321"/>
      <c r="E216" s="321"/>
      <c r="F216" s="321"/>
      <c r="G216" s="321"/>
      <c r="H216" s="321"/>
      <c r="I216" s="321"/>
      <c r="J216" s="321"/>
      <c r="K216" s="321"/>
      <c r="L216" s="321"/>
      <c r="M216" s="321"/>
      <c r="N216" s="322"/>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29" t="s">
        <v>94</v>
      </c>
      <c r="C217" s="430"/>
      <c r="D217" s="430"/>
      <c r="E217" s="430"/>
      <c r="F217" s="430"/>
      <c r="G217" s="430"/>
      <c r="H217" s="430"/>
      <c r="I217" s="430"/>
      <c r="J217" s="430"/>
      <c r="K217" s="430"/>
      <c r="L217" s="431"/>
      <c r="M217" s="432">
        <f>$K$10</f>
        <v>0</v>
      </c>
      <c r="N217" s="433"/>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20" t="s">
        <v>188</v>
      </c>
      <c r="C218" s="421"/>
      <c r="D218" s="421"/>
      <c r="E218" s="421"/>
      <c r="F218" s="421"/>
      <c r="G218" s="421"/>
      <c r="H218" s="421"/>
      <c r="I218" s="421"/>
      <c r="J218" s="421"/>
      <c r="K218" s="422"/>
      <c r="L218" s="426">
        <f>IF(M217&gt;P199,R199,IF(M217&gt;P198,R198,IF(M217&gt;P197,R197,R196)))</f>
        <v>0</v>
      </c>
      <c r="M218" s="427"/>
      <c r="N218" s="428"/>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0" t="str">
        <f>"CAPACIDAD DE CONTRATACIÓN "&amp;$F$124</f>
        <v xml:space="preserve">CAPACIDAD DE CONTRATACIÓN </v>
      </c>
      <c r="C220" s="421"/>
      <c r="D220" s="421"/>
      <c r="E220" s="421"/>
      <c r="F220" s="421"/>
      <c r="G220" s="421"/>
      <c r="H220" s="421"/>
      <c r="I220" s="421"/>
      <c r="J220" s="421"/>
      <c r="K220" s="422"/>
      <c r="L220" s="362">
        <f>I183*((L210+L215+L218)/100)</f>
        <v>426630400</v>
      </c>
      <c r="M220" s="363"/>
      <c r="N220" s="364"/>
      <c r="P220" s="82" t="s">
        <v>201</v>
      </c>
      <c r="R220" s="83">
        <v>16</v>
      </c>
      <c r="Z220" s="440" t="s">
        <v>199</v>
      </c>
      <c r="AA220" s="441"/>
      <c r="AB220" s="441"/>
      <c r="AC220" s="441"/>
      <c r="AD220" s="442"/>
      <c r="AE220" s="126">
        <f>SUM(AE177:AE219)</f>
        <v>25000000</v>
      </c>
    </row>
    <row r="221" spans="2:31" ht="15.75" customHeight="1" x14ac:dyDescent="0.2">
      <c r="B221" s="420" t="str">
        <f>"SALDO DE LOS CONTRATOS EN EJECUCIÓN "&amp;$F$124</f>
        <v xml:space="preserve">SALDO DE LOS CONTRATOS EN EJECUCIÓN </v>
      </c>
      <c r="C221" s="421"/>
      <c r="D221" s="421"/>
      <c r="E221" s="421"/>
      <c r="F221" s="421"/>
      <c r="G221" s="421"/>
      <c r="H221" s="421"/>
      <c r="I221" s="421"/>
      <c r="J221" s="421"/>
      <c r="K221" s="422"/>
      <c r="L221" s="362">
        <f>$M$10</f>
        <v>0</v>
      </c>
      <c r="M221" s="363"/>
      <c r="N221" s="364"/>
      <c r="P221" s="82"/>
      <c r="R221" s="83"/>
      <c r="Z221" s="132"/>
      <c r="AA221" s="132"/>
      <c r="AB221" s="132"/>
      <c r="AC221" s="132"/>
      <c r="AD221" s="132"/>
      <c r="AE221" s="133"/>
    </row>
    <row r="222" spans="2:31" ht="15.75" customHeight="1" x14ac:dyDescent="0.2">
      <c r="B222" s="420" t="str">
        <f>"CAPACIDAD RESIDUAL DE CONTRATACIÓN "&amp;$F$124</f>
        <v xml:space="preserve">CAPACIDAD RESIDUAL DE CONTRATACIÓN </v>
      </c>
      <c r="C222" s="421"/>
      <c r="D222" s="421"/>
      <c r="E222" s="421"/>
      <c r="F222" s="421"/>
      <c r="G222" s="421"/>
      <c r="H222" s="421"/>
      <c r="I222" s="421"/>
      <c r="J222" s="421"/>
      <c r="K222" s="422"/>
      <c r="L222" s="362">
        <f>L220-L221</f>
        <v>426630400</v>
      </c>
      <c r="M222" s="363"/>
      <c r="N222" s="364"/>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84" t="str">
        <f>"INTEGRANTE 1: "&amp;$C$7&amp;" PRESENTA ESTADOS FINANCIEROS DICTAMINADOS"</f>
        <v>INTEGRANTE 1: MARIA JOSE HERRERA GUZMAN PRESENTA ESTADOS FINANCIEROS DICTAMINADOS</v>
      </c>
      <c r="C224" s="385"/>
      <c r="D224" s="385"/>
      <c r="E224" s="385"/>
      <c r="F224" s="385"/>
      <c r="G224" s="385"/>
      <c r="H224" s="385"/>
      <c r="I224" s="385"/>
      <c r="J224" s="385"/>
      <c r="K224" s="409"/>
      <c r="L224" s="323" t="str">
        <f>IF(L225="","",IF(L226="","",IF(AND(L225="si",L226="si")=TRUE,"CUMPLE","NO CUMPLE")))</f>
        <v/>
      </c>
      <c r="M224" s="323"/>
      <c r="N224" s="323"/>
      <c r="P224" s="82"/>
      <c r="R224" s="83"/>
    </row>
    <row r="225" spans="2:18" ht="54.75" customHeight="1" x14ac:dyDescent="0.25">
      <c r="B225" s="378" t="s">
        <v>196</v>
      </c>
      <c r="C225" s="378"/>
      <c r="D225" s="378"/>
      <c r="E225" s="378"/>
      <c r="F225" s="378"/>
      <c r="G225" s="378"/>
      <c r="H225" s="378"/>
      <c r="I225" s="378"/>
      <c r="J225" s="378"/>
      <c r="K225" s="378"/>
      <c r="L225" s="379"/>
      <c r="M225" s="379"/>
      <c r="N225" s="379"/>
      <c r="P225" s="82"/>
      <c r="R225" s="83"/>
    </row>
    <row r="226" spans="2:18" ht="30" customHeight="1" x14ac:dyDescent="0.25">
      <c r="B226" s="378" t="s">
        <v>197</v>
      </c>
      <c r="C226" s="378"/>
      <c r="D226" s="378"/>
      <c r="E226" s="378"/>
      <c r="F226" s="378"/>
      <c r="G226" s="378"/>
      <c r="H226" s="378"/>
      <c r="I226" s="378"/>
      <c r="J226" s="378"/>
      <c r="K226" s="378"/>
      <c r="L226" s="379"/>
      <c r="M226" s="379"/>
      <c r="N226" s="379"/>
      <c r="P226" s="82"/>
      <c r="R226" s="83"/>
    </row>
    <row r="227" spans="2:18" ht="12.75" x14ac:dyDescent="0.25">
      <c r="B227" s="384" t="str">
        <f>"INTEGRANTE 2: "&amp;$C$8&amp;" PRESENTA ESTADOS FINANCIEROS DICTAMINADOS"</f>
        <v>INTEGRANTE 2: VENTURA &amp; CO. SAS PRESENTA ESTADOS FINANCIEROS DICTAMINADOS</v>
      </c>
      <c r="C227" s="385"/>
      <c r="D227" s="385"/>
      <c r="E227" s="385"/>
      <c r="F227" s="385"/>
      <c r="G227" s="385"/>
      <c r="H227" s="385"/>
      <c r="I227" s="385"/>
      <c r="J227" s="385"/>
      <c r="K227" s="409"/>
      <c r="L227" s="323" t="str">
        <f>IF(L228="","",IF(L229="","",IF(AND(L228="si",L229="si")=TRUE,"CUMPLE","NO CUMPLE")))</f>
        <v/>
      </c>
      <c r="M227" s="323"/>
      <c r="N227" s="323"/>
      <c r="P227" s="82" t="s">
        <v>204</v>
      </c>
      <c r="R227" s="83">
        <v>17</v>
      </c>
    </row>
    <row r="228" spans="2:18" ht="54.75" customHeight="1" x14ac:dyDescent="0.25">
      <c r="B228" s="378" t="s">
        <v>196</v>
      </c>
      <c r="C228" s="378"/>
      <c r="D228" s="378"/>
      <c r="E228" s="378"/>
      <c r="F228" s="378"/>
      <c r="G228" s="378"/>
      <c r="H228" s="378"/>
      <c r="I228" s="378"/>
      <c r="J228" s="378"/>
      <c r="K228" s="378"/>
      <c r="L228" s="379"/>
      <c r="M228" s="379"/>
      <c r="N228" s="379"/>
      <c r="P228" s="82"/>
      <c r="R228" s="83"/>
    </row>
    <row r="229" spans="2:18" ht="30" customHeight="1" x14ac:dyDescent="0.25">
      <c r="B229" s="378" t="s">
        <v>197</v>
      </c>
      <c r="C229" s="378"/>
      <c r="D229" s="378"/>
      <c r="E229" s="378"/>
      <c r="F229" s="378"/>
      <c r="G229" s="378"/>
      <c r="H229" s="378"/>
      <c r="I229" s="378"/>
      <c r="J229" s="378"/>
      <c r="K229" s="378"/>
      <c r="L229" s="323" t="str">
        <f>IF(L230="","",IF(L231="","",IF(AND(L230="si",L231="si")=TRUE,"CUMPLE","NO CUMPLE")))</f>
        <v/>
      </c>
      <c r="M229" s="323"/>
      <c r="N229" s="323"/>
      <c r="P229" s="82"/>
      <c r="R229" s="83"/>
    </row>
    <row r="230" spans="2:18" ht="15.75" customHeight="1" x14ac:dyDescent="0.25">
      <c r="B230" s="384" t="str">
        <f>"INTEGRANTE 3: "&amp;$C$9&amp;" PRESENTA ESTADOS FINANCIEROS DICTAMINADOS"</f>
        <v>INTEGRANTE 3: 0 PRESENTA ESTADOS FINANCIEROS DICTAMINADOS</v>
      </c>
      <c r="C230" s="385"/>
      <c r="D230" s="385"/>
      <c r="E230" s="385"/>
      <c r="F230" s="385"/>
      <c r="G230" s="385"/>
      <c r="H230" s="385"/>
      <c r="I230" s="385"/>
      <c r="J230" s="385"/>
      <c r="K230" s="409"/>
      <c r="L230" s="327"/>
      <c r="M230" s="413"/>
      <c r="N230" s="328"/>
      <c r="P230" s="82" t="s">
        <v>205</v>
      </c>
      <c r="R230" s="83">
        <v>19</v>
      </c>
    </row>
    <row r="231" spans="2:18" ht="54.75" customHeight="1" x14ac:dyDescent="0.25">
      <c r="B231" s="378" t="s">
        <v>196</v>
      </c>
      <c r="C231" s="378"/>
      <c r="D231" s="378"/>
      <c r="E231" s="378"/>
      <c r="F231" s="378"/>
      <c r="G231" s="378"/>
      <c r="H231" s="378"/>
      <c r="I231" s="378"/>
      <c r="J231" s="378"/>
      <c r="K231" s="378"/>
      <c r="L231" s="379"/>
      <c r="M231" s="379"/>
      <c r="N231" s="379"/>
      <c r="P231" s="82"/>
      <c r="R231" s="83"/>
    </row>
    <row r="232" spans="2:18" ht="30" customHeight="1" x14ac:dyDescent="0.25">
      <c r="B232" s="378" t="s">
        <v>197</v>
      </c>
      <c r="C232" s="378"/>
      <c r="D232" s="378"/>
      <c r="E232" s="378"/>
      <c r="F232" s="378"/>
      <c r="G232" s="378"/>
      <c r="H232" s="378"/>
      <c r="I232" s="378"/>
      <c r="J232" s="378"/>
      <c r="K232" s="378"/>
      <c r="L232" s="379"/>
      <c r="M232" s="379"/>
      <c r="N232" s="379"/>
      <c r="P232" s="82"/>
      <c r="R232" s="83"/>
    </row>
    <row r="233" spans="2:18" ht="12.75" x14ac:dyDescent="0.25">
      <c r="B233" s="384" t="str">
        <f>"INTEGRANTE 4: "&amp;$C$10&amp;" PRESENTA ESTADOS FINANCIEROS DICTAMINADOS"</f>
        <v>INTEGRANTE 4: 0 PRESENTA ESTADOS FINANCIEROS DICTAMINADOS</v>
      </c>
      <c r="C233" s="385"/>
      <c r="D233" s="385"/>
      <c r="E233" s="385"/>
      <c r="F233" s="385"/>
      <c r="G233" s="385"/>
      <c r="H233" s="385"/>
      <c r="I233" s="385"/>
      <c r="J233" s="385"/>
      <c r="K233" s="409"/>
      <c r="L233" s="323" t="str">
        <f>IF(L234="","",IF(L235="","",IF(AND(L234="si",L235="si")=TRUE,"CUMPLE","NO CUMPLE")))</f>
        <v/>
      </c>
      <c r="M233" s="323"/>
      <c r="N233" s="323"/>
      <c r="P233" s="82" t="s">
        <v>206</v>
      </c>
      <c r="R233" s="83">
        <v>19</v>
      </c>
    </row>
    <row r="234" spans="2:18" ht="54.75" customHeight="1" x14ac:dyDescent="0.25">
      <c r="B234" s="378" t="s">
        <v>196</v>
      </c>
      <c r="C234" s="378"/>
      <c r="D234" s="378"/>
      <c r="E234" s="378"/>
      <c r="F234" s="378"/>
      <c r="G234" s="378"/>
      <c r="H234" s="378"/>
      <c r="I234" s="378"/>
      <c r="J234" s="378"/>
      <c r="K234" s="378"/>
      <c r="L234" s="379"/>
      <c r="M234" s="379"/>
      <c r="N234" s="379"/>
      <c r="P234" s="84"/>
      <c r="R234" s="85"/>
    </row>
    <row r="235" spans="2:18" ht="30" customHeight="1" x14ac:dyDescent="0.25">
      <c r="B235" s="378" t="s">
        <v>197</v>
      </c>
      <c r="C235" s="378"/>
      <c r="D235" s="378"/>
      <c r="E235" s="378"/>
      <c r="F235" s="378"/>
      <c r="G235" s="378"/>
      <c r="H235" s="378"/>
      <c r="I235" s="378"/>
      <c r="J235" s="378"/>
      <c r="K235" s="378"/>
      <c r="L235" s="379"/>
      <c r="M235" s="379"/>
      <c r="N235" s="379"/>
      <c r="P235" s="84"/>
      <c r="R235" s="85"/>
    </row>
    <row r="236" spans="2:18" ht="12.75" x14ac:dyDescent="0.25">
      <c r="P236" s="84"/>
      <c r="R236" s="85"/>
    </row>
    <row r="237" spans="2:18" ht="15.75" customHeight="1" x14ac:dyDescent="0.25">
      <c r="B237" s="410" t="s">
        <v>50</v>
      </c>
      <c r="C237" s="411"/>
      <c r="D237" s="411"/>
      <c r="E237" s="411"/>
      <c r="F237" s="411"/>
      <c r="G237" s="411"/>
      <c r="H237" s="411"/>
      <c r="I237" s="411"/>
      <c r="J237" s="411"/>
      <c r="K237" s="411"/>
      <c r="L237" s="411"/>
      <c r="M237" s="411"/>
      <c r="N237" s="412"/>
    </row>
    <row r="238" spans="2:18" ht="66.75" customHeight="1" x14ac:dyDescent="0.25">
      <c r="B238" s="380"/>
      <c r="C238" s="381"/>
      <c r="D238" s="381"/>
      <c r="E238" s="381"/>
      <c r="F238" s="381"/>
      <c r="G238" s="381"/>
      <c r="H238" s="381"/>
      <c r="I238" s="381"/>
      <c r="J238" s="381"/>
      <c r="K238" s="381"/>
      <c r="L238" s="381"/>
      <c r="M238" s="381"/>
      <c r="N238" s="382"/>
    </row>
    <row r="239" spans="2:18" ht="12.75" x14ac:dyDescent="0.25"/>
    <row r="242" ht="180" customHeight="1" x14ac:dyDescent="0.25"/>
  </sheetData>
  <sheetProtection selectLockedCells="1"/>
  <mergeCells count="31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8:I158"/>
    <mergeCell ref="J158:N158"/>
    <mergeCell ref="B159:I159"/>
    <mergeCell ref="J159:N159"/>
    <mergeCell ref="N136:N157"/>
    <mergeCell ref="P145:Q145"/>
    <mergeCell ref="B135:N135"/>
    <mergeCell ref="P134:Q134"/>
    <mergeCell ref="P139:Q139"/>
    <mergeCell ref="B131:N131"/>
    <mergeCell ref="B132:H132"/>
    <mergeCell ref="I132:N132"/>
    <mergeCell ref="B133:H133"/>
    <mergeCell ref="I133:N133"/>
    <mergeCell ref="B134:N134"/>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8:I108"/>
    <mergeCell ref="J108:N108"/>
    <mergeCell ref="B109:I109"/>
    <mergeCell ref="J109:N109"/>
    <mergeCell ref="N86:N107"/>
    <mergeCell ref="P95:Q95"/>
    <mergeCell ref="B85:N85"/>
    <mergeCell ref="P84:Q84"/>
    <mergeCell ref="P89:Q89"/>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8:I58"/>
    <mergeCell ref="J58:N58"/>
    <mergeCell ref="B59:I59"/>
    <mergeCell ref="J59:N59"/>
    <mergeCell ref="N36:N57"/>
    <mergeCell ref="P44:Q44"/>
    <mergeCell ref="B35:N35"/>
    <mergeCell ref="P33:Q33"/>
    <mergeCell ref="P38:Q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5" t="s">
        <v>217</v>
      </c>
      <c r="C2" s="316"/>
      <c r="D2" s="316"/>
      <c r="E2" s="316"/>
      <c r="F2" s="316"/>
      <c r="G2" s="316"/>
      <c r="H2" s="316"/>
      <c r="I2" s="316"/>
      <c r="J2" s="316"/>
      <c r="K2" s="316"/>
      <c r="L2" s="316"/>
      <c r="M2" s="316"/>
      <c r="N2" s="31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1" t="s">
        <v>207</v>
      </c>
      <c r="C4" s="311"/>
      <c r="D4" s="311"/>
      <c r="E4" s="311"/>
      <c r="F4" s="383" t="str">
        <f>'EVALUACIÓN EXPERIENCIA'!$G$3</f>
        <v>CONSORCIO VENTURA &amp; CO</v>
      </c>
      <c r="G4" s="383"/>
      <c r="H4" s="383"/>
      <c r="I4" s="383"/>
      <c r="J4" s="383"/>
      <c r="K4" s="383"/>
      <c r="L4" s="383"/>
      <c r="M4" s="383"/>
      <c r="N4" s="383"/>
      <c r="U4" s="89"/>
      <c r="Y4" s="89"/>
      <c r="Z4" s="89"/>
      <c r="AA4" s="89"/>
    </row>
    <row r="5" spans="1:32" ht="12.75" x14ac:dyDescent="0.25">
      <c r="A5" s="88"/>
      <c r="B5" s="313" t="s">
        <v>208</v>
      </c>
      <c r="C5" s="313"/>
      <c r="D5" s="313"/>
      <c r="E5" s="313"/>
      <c r="F5" s="313"/>
      <c r="G5" s="313"/>
      <c r="H5" s="313"/>
      <c r="I5" s="313"/>
      <c r="J5" s="313"/>
      <c r="K5" s="313"/>
      <c r="L5" s="313"/>
      <c r="M5" s="313"/>
      <c r="N5" s="313"/>
      <c r="U5" s="89"/>
      <c r="Y5" s="89"/>
      <c r="Z5" s="89"/>
      <c r="AA5" s="89"/>
    </row>
    <row r="6" spans="1:32" ht="54.75" customHeight="1" x14ac:dyDescent="0.25">
      <c r="A6" s="88"/>
      <c r="B6" s="393" t="s">
        <v>209</v>
      </c>
      <c r="C6" s="393"/>
      <c r="D6" s="393"/>
      <c r="E6" s="393"/>
      <c r="F6" s="393"/>
      <c r="G6" s="87" t="s">
        <v>90</v>
      </c>
      <c r="H6" s="87" t="s">
        <v>91</v>
      </c>
      <c r="I6" s="87" t="s">
        <v>92</v>
      </c>
      <c r="J6" s="87" t="s">
        <v>93</v>
      </c>
      <c r="K6" s="394" t="s">
        <v>94</v>
      </c>
      <c r="L6" s="394"/>
      <c r="M6" s="394" t="s">
        <v>95</v>
      </c>
      <c r="N6" s="394"/>
      <c r="U6" s="89"/>
      <c r="Y6" s="89"/>
      <c r="Z6" s="89"/>
      <c r="AA6" s="89"/>
    </row>
    <row r="7" spans="1:32" ht="12.75" x14ac:dyDescent="0.25">
      <c r="A7" s="88"/>
      <c r="B7" s="92">
        <v>1</v>
      </c>
      <c r="C7" s="324" t="str">
        <f>'EVALUACIÓN EXPERIENCIA'!$A$29</f>
        <v>MARIA JOSE HERRERA GUZMAN</v>
      </c>
      <c r="D7" s="325"/>
      <c r="E7" s="325"/>
      <c r="F7" s="326"/>
      <c r="G7" s="93">
        <f>'EVALUACIÓN EXPERIENCIA'!$H$29</f>
        <v>0.5</v>
      </c>
      <c r="H7" s="94"/>
      <c r="I7" s="94"/>
      <c r="J7" s="94"/>
      <c r="K7" s="327"/>
      <c r="L7" s="328"/>
      <c r="M7" s="329"/>
      <c r="N7" s="330"/>
      <c r="U7" s="89"/>
      <c r="Y7" s="89"/>
      <c r="Z7" s="89"/>
      <c r="AA7" s="89"/>
    </row>
    <row r="8" spans="1:32" ht="12.75" x14ac:dyDescent="0.25">
      <c r="A8" s="88"/>
      <c r="B8" s="92">
        <v>2</v>
      </c>
      <c r="C8" s="324" t="str">
        <f>'EVALUACIÓN EXPERIENCIA'!$A$30</f>
        <v>VENTURA &amp; CO. SAS</v>
      </c>
      <c r="D8" s="325"/>
      <c r="E8" s="325"/>
      <c r="F8" s="326"/>
      <c r="G8" s="93">
        <f>'EVALUACIÓN EXPERIENCIA'!$H$30</f>
        <v>0.5</v>
      </c>
      <c r="H8" s="94"/>
      <c r="I8" s="94"/>
      <c r="J8" s="94"/>
      <c r="K8" s="395"/>
      <c r="L8" s="396"/>
      <c r="M8" s="329"/>
      <c r="N8" s="330"/>
      <c r="U8" s="89"/>
      <c r="Y8" s="89"/>
      <c r="Z8" s="89"/>
      <c r="AA8" s="89"/>
    </row>
    <row r="9" spans="1:32" ht="12.75" x14ac:dyDescent="0.25">
      <c r="A9" s="88"/>
      <c r="B9" s="92">
        <v>3</v>
      </c>
      <c r="C9" s="324">
        <f>'EVALUACIÓN EXPERIENCIA'!$A$31</f>
        <v>0</v>
      </c>
      <c r="D9" s="325"/>
      <c r="E9" s="325"/>
      <c r="F9" s="326"/>
      <c r="G9" s="93">
        <f>'EVALUACIÓN EXPERIENCIA'!$H$31</f>
        <v>0</v>
      </c>
      <c r="H9" s="94"/>
      <c r="I9" s="94"/>
      <c r="J9" s="94"/>
      <c r="K9" s="395"/>
      <c r="L9" s="396"/>
      <c r="M9" s="329"/>
      <c r="N9" s="330"/>
      <c r="U9" s="89"/>
      <c r="Y9" s="89"/>
      <c r="Z9" s="89"/>
      <c r="AA9" s="89"/>
    </row>
    <row r="10" spans="1:32" ht="15.75" customHeight="1" x14ac:dyDescent="0.25">
      <c r="A10" s="88"/>
      <c r="B10" s="92">
        <v>4</v>
      </c>
      <c r="C10" s="324">
        <f>'EVALUACIÓN EXPERIENCIA'!$A$32</f>
        <v>0</v>
      </c>
      <c r="D10" s="325"/>
      <c r="E10" s="325"/>
      <c r="F10" s="326"/>
      <c r="G10" s="93">
        <f>'EVALUACIÓN EXPERIENCIA'!$H$32</f>
        <v>0</v>
      </c>
      <c r="H10" s="94"/>
      <c r="I10" s="94"/>
      <c r="J10" s="94"/>
      <c r="K10" s="395"/>
      <c r="L10" s="396"/>
      <c r="M10" s="329"/>
      <c r="N10" s="330"/>
      <c r="U10" s="89"/>
      <c r="Y10" s="89"/>
      <c r="Z10" s="89"/>
      <c r="AA10" s="89"/>
    </row>
    <row r="11" spans="1:32" ht="12.75" x14ac:dyDescent="0.25">
      <c r="A11" s="88"/>
      <c r="B11" s="92">
        <v>5</v>
      </c>
      <c r="C11" s="324">
        <f>'EVALUACIÓN EXPERIENCIA'!$A$33</f>
        <v>0</v>
      </c>
      <c r="D11" s="325"/>
      <c r="E11" s="325"/>
      <c r="F11" s="326"/>
      <c r="G11" s="93">
        <f>'EVALUACIÓN EXPERIENCIA'!$H$33</f>
        <v>0</v>
      </c>
      <c r="H11" s="94"/>
      <c r="I11" s="94"/>
      <c r="J11" s="94"/>
      <c r="K11" s="395"/>
      <c r="L11" s="396"/>
      <c r="M11" s="329"/>
      <c r="N11" s="330"/>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13" t="str">
        <f>"CRP INTEGRANTE 1: "&amp;$C$7</f>
        <v>CRP INTEGRANTE 1: MARIA JOSE HERRERA GUZMAN</v>
      </c>
      <c r="C13" s="313"/>
      <c r="D13" s="313"/>
      <c r="E13" s="313"/>
      <c r="F13" s="313"/>
      <c r="G13" s="313"/>
      <c r="H13" s="313"/>
      <c r="I13" s="313"/>
      <c r="J13" s="313"/>
      <c r="K13" s="313"/>
      <c r="L13" s="397">
        <f>L74</f>
        <v>426630400</v>
      </c>
      <c r="M13" s="313"/>
      <c r="N13" s="313"/>
      <c r="P13" s="95"/>
      <c r="Q13" s="95"/>
      <c r="R13" s="95"/>
      <c r="S13" s="95"/>
      <c r="T13" s="95"/>
      <c r="U13" s="95"/>
      <c r="V13" s="95"/>
      <c r="W13" s="95"/>
      <c r="X13" s="95"/>
      <c r="Y13" s="95"/>
      <c r="Z13" s="89"/>
      <c r="AA13" s="89"/>
    </row>
    <row r="14" spans="1:32" ht="15.75" customHeight="1" x14ac:dyDescent="0.2">
      <c r="A14" s="88"/>
      <c r="B14" s="313" t="str">
        <f>"CRP INTEGRANTE 2: "&amp;$C$8</f>
        <v>CRP INTEGRANTE 2: VENTURA &amp; CO. SAS</v>
      </c>
      <c r="C14" s="313"/>
      <c r="D14" s="313"/>
      <c r="E14" s="313"/>
      <c r="F14" s="313"/>
      <c r="G14" s="313"/>
      <c r="H14" s="313"/>
      <c r="I14" s="313"/>
      <c r="J14" s="313"/>
      <c r="K14" s="313"/>
      <c r="L14" s="397">
        <f>L124</f>
        <v>426630400</v>
      </c>
      <c r="M14" s="313"/>
      <c r="N14" s="313"/>
      <c r="P14" s="64"/>
      <c r="Q14" s="64"/>
      <c r="R14" s="64"/>
      <c r="S14" s="64"/>
      <c r="T14" s="64"/>
      <c r="Z14" s="64"/>
      <c r="AA14" s="64"/>
      <c r="AB14" s="64"/>
      <c r="AC14" s="64"/>
      <c r="AD14" s="64"/>
      <c r="AE14" s="64"/>
      <c r="AF14" s="64"/>
    </row>
    <row r="15" spans="1:32" ht="15.75" customHeight="1" x14ac:dyDescent="0.2">
      <c r="A15" s="88"/>
      <c r="B15" s="313" t="str">
        <f>"CRP INTEGRANTE 3: "&amp;$C$9</f>
        <v>CRP INTEGRANTE 3: 0</v>
      </c>
      <c r="C15" s="313"/>
      <c r="D15" s="313"/>
      <c r="E15" s="313"/>
      <c r="F15" s="313"/>
      <c r="G15" s="313"/>
      <c r="H15" s="313"/>
      <c r="I15" s="313"/>
      <c r="J15" s="313"/>
      <c r="K15" s="313"/>
      <c r="L15" s="397">
        <f>L174</f>
        <v>426630400</v>
      </c>
      <c r="M15" s="313"/>
      <c r="N15" s="313"/>
      <c r="P15" s="97"/>
      <c r="Q15" s="97"/>
      <c r="R15" s="97"/>
      <c r="S15" s="97"/>
      <c r="T15" s="97"/>
      <c r="U15" s="97"/>
      <c r="V15" s="97"/>
      <c r="X15" s="98"/>
      <c r="Y15" s="98"/>
      <c r="Z15" s="64"/>
      <c r="AB15" s="64"/>
      <c r="AC15" s="64"/>
      <c r="AD15" s="64"/>
      <c r="AE15" s="64"/>
      <c r="AF15" s="64"/>
    </row>
    <row r="16" spans="1:32" ht="15.75" customHeight="1" x14ac:dyDescent="0.2">
      <c r="A16" s="88"/>
      <c r="B16" s="313" t="str">
        <f>"CRP INTEGRANTE 4: "&amp;$C$10</f>
        <v>CRP INTEGRANTE 4: 0</v>
      </c>
      <c r="C16" s="313"/>
      <c r="D16" s="313"/>
      <c r="E16" s="313"/>
      <c r="F16" s="313"/>
      <c r="G16" s="313"/>
      <c r="H16" s="313"/>
      <c r="I16" s="313"/>
      <c r="J16" s="313"/>
      <c r="K16" s="313"/>
      <c r="L16" s="397">
        <f>$L$224</f>
        <v>426630400</v>
      </c>
      <c r="M16" s="313"/>
      <c r="N16" s="313"/>
      <c r="P16" s="97"/>
      <c r="Q16" s="97"/>
      <c r="R16" s="97"/>
      <c r="S16" s="97"/>
      <c r="T16" s="97"/>
      <c r="U16" s="97"/>
      <c r="V16" s="97"/>
      <c r="X16" s="98"/>
      <c r="Y16" s="98"/>
      <c r="Z16" s="64"/>
      <c r="AB16" s="64"/>
      <c r="AC16" s="64"/>
      <c r="AD16" s="64"/>
      <c r="AE16" s="64"/>
      <c r="AF16" s="64"/>
    </row>
    <row r="17" spans="1:33" ht="15.75" customHeight="1" x14ac:dyDescent="0.2">
      <c r="A17" s="88"/>
      <c r="B17" s="313" t="str">
        <f>"CRP INTEGRANTE 5: "&amp;$C$11</f>
        <v>CRP INTEGRANTE 5: 0</v>
      </c>
      <c r="C17" s="313"/>
      <c r="D17" s="313"/>
      <c r="E17" s="313"/>
      <c r="F17" s="313"/>
      <c r="G17" s="313"/>
      <c r="H17" s="313"/>
      <c r="I17" s="313"/>
      <c r="J17" s="313"/>
      <c r="K17" s="313"/>
      <c r="L17" s="397">
        <f>$L$224</f>
        <v>426630400</v>
      </c>
      <c r="M17" s="313"/>
      <c r="N17" s="313"/>
      <c r="P17" s="96"/>
      <c r="Q17" s="96"/>
      <c r="R17" s="96"/>
      <c r="S17" s="96"/>
      <c r="T17" s="96"/>
      <c r="U17" s="96"/>
      <c r="V17" s="96"/>
      <c r="X17" s="98"/>
      <c r="Y17" s="98"/>
      <c r="Z17" s="64"/>
      <c r="AB17" s="64"/>
      <c r="AC17" s="64"/>
      <c r="AD17" s="64"/>
      <c r="AE17" s="64"/>
      <c r="AF17" s="64"/>
    </row>
    <row r="18" spans="1:33" ht="12.75" x14ac:dyDescent="0.2">
      <c r="B18" s="313" t="str">
        <f>"TOTAL CRP PROPONENTE: "&amp;$F$4</f>
        <v>TOTAL CRP PROPONENTE: CONSORCIO VENTURA &amp; CO</v>
      </c>
      <c r="C18" s="313"/>
      <c r="D18" s="313"/>
      <c r="E18" s="313"/>
      <c r="F18" s="313"/>
      <c r="G18" s="313"/>
      <c r="H18" s="313"/>
      <c r="I18" s="313"/>
      <c r="J18" s="313"/>
      <c r="K18" s="313"/>
      <c r="L18" s="314">
        <f>SUM(L13:N17)</f>
        <v>2133152000</v>
      </c>
      <c r="M18" s="314"/>
      <c r="N18" s="314"/>
      <c r="P18" s="96"/>
      <c r="Q18" s="96"/>
      <c r="R18" s="96"/>
      <c r="S18" s="96"/>
      <c r="T18" s="96"/>
      <c r="U18" s="96"/>
      <c r="V18" s="96"/>
      <c r="X18" s="64"/>
      <c r="Y18" s="64"/>
      <c r="Z18" s="64"/>
      <c r="AB18" s="64"/>
      <c r="AC18" s="64"/>
      <c r="AD18" s="64"/>
      <c r="AE18" s="64"/>
      <c r="AF18" s="64"/>
    </row>
    <row r="19" spans="1:33" ht="15.75" customHeight="1" x14ac:dyDescent="0.2">
      <c r="B19" s="320" t="str">
        <f>"CONDICIÓN DEL PROPONENTE: "&amp;$F$4</f>
        <v>CONDICIÓN DEL PROPONENTE: CONSORCIO VENTURA &amp; CO</v>
      </c>
      <c r="C19" s="321"/>
      <c r="D19" s="321"/>
      <c r="E19" s="321"/>
      <c r="F19" s="321"/>
      <c r="G19" s="321"/>
      <c r="H19" s="321"/>
      <c r="I19" s="321"/>
      <c r="J19" s="321"/>
      <c r="K19" s="322"/>
      <c r="L19" s="323" t="str">
        <f>IF(AND(IF(L277="CUMPLE",TRUE,FALSE),IF(L280="CUMPLE",TRUE,FALSE),IF(L283="CUMPLE",TRUE,FALSE),IF(L286="CUMPLE",TRUE,FALSE),IF(L289="CUMPLE",TRUE,FALSE),IF(IF(L18&lt;I24,Q28,Q27)="CUMPLE",TRUE,FALSE))=TRUE,"CUMPLE",IF(OR(L277="",L280="",L283="",L286="",L289="")=TRUE,"PENDIENTE REVISIÓN","NO CUMPLE"))</f>
        <v>PENDIENTE REVISIÓN</v>
      </c>
      <c r="M19" s="323"/>
      <c r="N19" s="323"/>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11" t="s">
        <v>96</v>
      </c>
      <c r="C21" s="311"/>
      <c r="D21" s="311"/>
      <c r="E21" s="311"/>
      <c r="F21" s="311"/>
      <c r="G21" s="311"/>
      <c r="H21" s="311"/>
      <c r="I21" s="311"/>
      <c r="J21" s="311"/>
      <c r="K21" s="311"/>
      <c r="L21" s="311"/>
      <c r="M21" s="311"/>
      <c r="N21" s="311"/>
      <c r="T21" s="337" t="s">
        <v>108</v>
      </c>
      <c r="U21" s="337"/>
      <c r="V21" s="338" t="str">
        <f>B26</f>
        <v>INTEGRANTE 1: MARIA JOSE HERRERA GUZMAN</v>
      </c>
      <c r="W21" s="339"/>
      <c r="X21" s="339"/>
      <c r="Y21" s="339"/>
      <c r="Z21" s="339"/>
      <c r="AA21" s="340"/>
    </row>
    <row r="22" spans="1:33" ht="15.75" customHeight="1" thickBot="1" x14ac:dyDescent="0.3">
      <c r="B22" s="311" t="s">
        <v>97</v>
      </c>
      <c r="C22" s="311"/>
      <c r="D22" s="311"/>
      <c r="E22" s="311"/>
      <c r="F22" s="311" t="s">
        <v>98</v>
      </c>
      <c r="G22" s="311"/>
      <c r="H22" s="91" t="s">
        <v>99</v>
      </c>
      <c r="I22" s="312" t="s">
        <v>100</v>
      </c>
      <c r="J22" s="312"/>
      <c r="K22" s="312"/>
      <c r="L22" s="312"/>
      <c r="M22" s="312"/>
      <c r="N22" s="312"/>
      <c r="Q22" s="103" t="s">
        <v>210</v>
      </c>
      <c r="T22" s="104" t="s">
        <v>111</v>
      </c>
      <c r="U22" s="105">
        <v>45614</v>
      </c>
      <c r="AA22" s="106"/>
      <c r="AC22" s="107"/>
      <c r="AE22" s="107"/>
    </row>
    <row r="23" spans="1:33" ht="13.5" thickBot="1" x14ac:dyDescent="0.3">
      <c r="B23" s="333">
        <f>+'EVALUACIÓN EXPERIENCIA'!D5</f>
        <v>724761029</v>
      </c>
      <c r="C23" s="333"/>
      <c r="D23" s="333"/>
      <c r="E23" s="333"/>
      <c r="F23" s="333">
        <f>+B23*25%</f>
        <v>181190257.25</v>
      </c>
      <c r="G23" s="333"/>
      <c r="H23" s="100">
        <v>3</v>
      </c>
      <c r="I23" s="334">
        <f>IFERROR(ROUND(((B23-F23)/H23)*12,0),0)</f>
        <v>2174283087</v>
      </c>
      <c r="J23" s="334"/>
      <c r="K23" s="334"/>
      <c r="L23" s="334"/>
      <c r="M23" s="334"/>
      <c r="N23" s="334"/>
      <c r="Q23" s="108">
        <v>1423500</v>
      </c>
      <c r="T23" s="109"/>
      <c r="U23" s="110"/>
      <c r="Y23" s="106"/>
      <c r="AA23" s="107"/>
      <c r="AB23" s="111"/>
      <c r="AE23" s="107"/>
    </row>
    <row r="24" spans="1:33" ht="12.75" x14ac:dyDescent="0.25">
      <c r="B24" s="335" t="s">
        <v>101</v>
      </c>
      <c r="C24" s="335"/>
      <c r="D24" s="335"/>
      <c r="E24" s="335"/>
      <c r="F24" s="335"/>
      <c r="G24" s="335"/>
      <c r="H24" s="335"/>
      <c r="I24" s="314">
        <f>SUM(I23:N23)</f>
        <v>2174283087</v>
      </c>
      <c r="J24" s="314"/>
      <c r="K24" s="314"/>
      <c r="L24" s="314"/>
      <c r="M24" s="314"/>
      <c r="N24" s="314"/>
      <c r="Q24" s="112"/>
      <c r="T24" s="353" t="s">
        <v>113</v>
      </c>
      <c r="U24" s="342" t="s">
        <v>114</v>
      </c>
      <c r="V24" s="342" t="s">
        <v>115</v>
      </c>
      <c r="W24" s="342" t="s">
        <v>116</v>
      </c>
      <c r="X24" s="342" t="s">
        <v>117</v>
      </c>
      <c r="Y24" s="342" t="s">
        <v>118</v>
      </c>
      <c r="Z24" s="342" t="s">
        <v>119</v>
      </c>
      <c r="AA24" s="342" t="s">
        <v>120</v>
      </c>
      <c r="AB24" s="342" t="s">
        <v>121</v>
      </c>
      <c r="AC24" s="342" t="s">
        <v>122</v>
      </c>
      <c r="AD24" s="342" t="s">
        <v>123</v>
      </c>
      <c r="AE24" s="342" t="s">
        <v>124</v>
      </c>
    </row>
    <row r="25" spans="1:33" ht="13.5" thickBot="1" x14ac:dyDescent="0.3">
      <c r="B25" s="101"/>
      <c r="C25" s="101"/>
      <c r="D25" s="101"/>
      <c r="E25" s="101"/>
      <c r="F25" s="101"/>
      <c r="G25" s="101"/>
      <c r="H25" s="101"/>
      <c r="I25" s="102"/>
      <c r="J25" s="102"/>
      <c r="K25" s="102"/>
      <c r="L25" s="102"/>
      <c r="M25" s="102"/>
      <c r="N25" s="102"/>
      <c r="Q25" s="112"/>
      <c r="T25" s="354"/>
      <c r="U25" s="343"/>
      <c r="V25" s="343"/>
      <c r="W25" s="343"/>
      <c r="X25" s="343"/>
      <c r="Y25" s="343"/>
      <c r="Z25" s="343"/>
      <c r="AA25" s="343"/>
      <c r="AB25" s="343"/>
      <c r="AC25" s="343"/>
      <c r="AD25" s="343"/>
      <c r="AE25" s="343"/>
    </row>
    <row r="26" spans="1:33" ht="15.75" customHeight="1" thickBot="1" x14ac:dyDescent="0.3">
      <c r="B26" s="372" t="str">
        <f>"INTEGRANTE 1: "&amp;$C$7</f>
        <v>INTEGRANTE 1: MARIA JOSE HERRERA GUZMAN</v>
      </c>
      <c r="C26" s="373"/>
      <c r="D26" s="373"/>
      <c r="E26" s="373"/>
      <c r="F26" s="373"/>
      <c r="G26" s="373"/>
      <c r="H26" s="373"/>
      <c r="I26" s="373"/>
      <c r="J26" s="373"/>
      <c r="K26" s="373"/>
      <c r="L26" s="373"/>
      <c r="M26" s="373"/>
      <c r="N26" s="374"/>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92" t="s">
        <v>102</v>
      </c>
      <c r="C27" s="392"/>
      <c r="D27" s="392"/>
      <c r="E27" s="392"/>
      <c r="F27" s="392"/>
      <c r="G27" s="392"/>
      <c r="H27" s="392"/>
      <c r="I27" s="336">
        <f>$G$7</f>
        <v>0.5</v>
      </c>
      <c r="J27" s="336"/>
      <c r="K27" s="336"/>
      <c r="L27" s="336"/>
      <c r="M27" s="336"/>
      <c r="N27" s="336"/>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11" t="s">
        <v>103</v>
      </c>
      <c r="C28" s="311"/>
      <c r="D28" s="311"/>
      <c r="E28" s="311"/>
      <c r="F28" s="311"/>
      <c r="G28" s="311"/>
      <c r="H28" s="311" t="s">
        <v>104</v>
      </c>
      <c r="I28" s="311"/>
      <c r="J28" s="311"/>
      <c r="K28" s="311"/>
      <c r="L28" s="311"/>
      <c r="M28" s="311"/>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44"/>
      <c r="C29" s="345"/>
      <c r="D29" s="345"/>
      <c r="E29" s="345"/>
      <c r="F29" s="345"/>
      <c r="G29" s="346"/>
      <c r="H29" s="341" t="s">
        <v>106</v>
      </c>
      <c r="I29" s="341"/>
      <c r="J29" s="341"/>
      <c r="K29" s="341"/>
      <c r="L29" s="341"/>
      <c r="M29" s="341"/>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47"/>
      <c r="C30" s="348"/>
      <c r="D30" s="348"/>
      <c r="E30" s="348"/>
      <c r="F30" s="348"/>
      <c r="G30" s="349"/>
      <c r="H30" s="341" t="s">
        <v>107</v>
      </c>
      <c r="I30" s="341"/>
      <c r="J30" s="341"/>
      <c r="K30" s="341"/>
      <c r="L30" s="341"/>
      <c r="M30" s="341"/>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47"/>
      <c r="C31" s="348"/>
      <c r="D31" s="348"/>
      <c r="E31" s="348"/>
      <c r="F31" s="348"/>
      <c r="G31" s="349"/>
      <c r="H31" s="341" t="s">
        <v>109</v>
      </c>
      <c r="I31" s="341"/>
      <c r="J31" s="341"/>
      <c r="K31" s="341"/>
      <c r="L31" s="341"/>
      <c r="M31" s="341"/>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0"/>
      <c r="C32" s="351"/>
      <c r="D32" s="351"/>
      <c r="E32" s="351"/>
      <c r="F32" s="351"/>
      <c r="G32" s="352"/>
      <c r="H32" s="311" t="s">
        <v>44</v>
      </c>
      <c r="I32" s="311"/>
      <c r="J32" s="311"/>
      <c r="K32" s="311"/>
      <c r="L32" s="311"/>
      <c r="M32" s="311"/>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1" t="s">
        <v>112</v>
      </c>
      <c r="C33" s="311"/>
      <c r="D33" s="311"/>
      <c r="E33" s="311"/>
      <c r="F33" s="311"/>
      <c r="G33" s="311"/>
      <c r="H33" s="311"/>
      <c r="I33" s="311"/>
      <c r="J33" s="311"/>
      <c r="K33" s="311"/>
      <c r="L33" s="311"/>
      <c r="M33" s="311"/>
      <c r="N33" s="311"/>
      <c r="O33" s="119"/>
      <c r="P33" s="311" t="s">
        <v>146</v>
      </c>
      <c r="Q33" s="311"/>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55" t="s">
        <v>125</v>
      </c>
      <c r="C34" s="356"/>
      <c r="D34" s="356"/>
      <c r="E34" s="356"/>
      <c r="F34" s="356"/>
      <c r="G34" s="356"/>
      <c r="H34" s="357"/>
      <c r="I34" s="320" t="s">
        <v>126</v>
      </c>
      <c r="J34" s="321"/>
      <c r="K34" s="321"/>
      <c r="L34" s="321"/>
      <c r="M34" s="321"/>
      <c r="N34" s="322"/>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61" t="s">
        <v>127</v>
      </c>
      <c r="C35" s="361"/>
      <c r="D35" s="361"/>
      <c r="E35" s="361"/>
      <c r="F35" s="361"/>
      <c r="G35" s="361"/>
      <c r="H35" s="361"/>
      <c r="I35" s="362">
        <f>IF($H$7&gt;$R$31,$H$7,$R$31)</f>
        <v>533288000</v>
      </c>
      <c r="J35" s="363"/>
      <c r="K35" s="363"/>
      <c r="L35" s="363"/>
      <c r="M35" s="363"/>
      <c r="N35" s="364"/>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11" t="s">
        <v>129</v>
      </c>
      <c r="C36" s="311"/>
      <c r="D36" s="311"/>
      <c r="E36" s="311"/>
      <c r="F36" s="311"/>
      <c r="G36" s="311"/>
      <c r="H36" s="311"/>
      <c r="I36" s="311"/>
      <c r="J36" s="311"/>
      <c r="K36" s="311"/>
      <c r="L36" s="311"/>
      <c r="M36" s="311"/>
      <c r="N36" s="311"/>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11" t="s">
        <v>133</v>
      </c>
      <c r="C37" s="311"/>
      <c r="D37" s="311"/>
      <c r="E37" s="311"/>
      <c r="F37" s="311"/>
      <c r="G37" s="311"/>
      <c r="H37" s="311"/>
      <c r="I37" s="311"/>
      <c r="J37" s="311"/>
      <c r="K37" s="311"/>
      <c r="L37" s="311"/>
      <c r="M37" s="311"/>
      <c r="N37" s="311"/>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358" t="s">
        <v>137</v>
      </c>
      <c r="P38" s="311" t="s">
        <v>153</v>
      </c>
      <c r="Q38" s="311"/>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59"/>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59"/>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59"/>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59"/>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59"/>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59"/>
      <c r="P44" s="311" t="s">
        <v>160</v>
      </c>
      <c r="Q44" s="311"/>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59"/>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59"/>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59"/>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59"/>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59"/>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59"/>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59"/>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59"/>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59"/>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59"/>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59"/>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59"/>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59"/>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59"/>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60"/>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65" t="s">
        <v>167</v>
      </c>
      <c r="C60" s="365"/>
      <c r="D60" s="365"/>
      <c r="E60" s="365"/>
      <c r="F60" s="365"/>
      <c r="G60" s="365"/>
      <c r="H60" s="365"/>
      <c r="I60" s="365"/>
      <c r="J60" s="366">
        <f>SUM(C39:C59,G39:G59,K39:K59,E39:E59,I39:I59,K39:K59,M39:M59)</f>
        <v>0</v>
      </c>
      <c r="K60" s="366"/>
      <c r="L60" s="366"/>
      <c r="M60" s="366"/>
      <c r="N60" s="366"/>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65" t="s">
        <v>171</v>
      </c>
      <c r="C61" s="365"/>
      <c r="D61" s="365"/>
      <c r="E61" s="365"/>
      <c r="F61" s="365"/>
      <c r="G61" s="365"/>
      <c r="H61" s="365"/>
      <c r="I61" s="365"/>
      <c r="J61" s="311">
        <f>IFERROR($J$60/(($B$23)*I27),0)</f>
        <v>0</v>
      </c>
      <c r="K61" s="311"/>
      <c r="L61" s="311"/>
      <c r="M61" s="311"/>
      <c r="N61" s="311"/>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65" t="s">
        <v>173</v>
      </c>
      <c r="C62" s="365"/>
      <c r="D62" s="365"/>
      <c r="E62" s="365"/>
      <c r="F62" s="365"/>
      <c r="G62" s="365"/>
      <c r="H62" s="365"/>
      <c r="I62" s="365"/>
      <c r="J62" s="365"/>
      <c r="K62" s="365"/>
      <c r="L62" s="369">
        <f>IF(J61&gt;P37,R37,IF(J61&gt;P36,R36,IF(J61&gt;P35,R35,R34)))</f>
        <v>60</v>
      </c>
      <c r="M62" s="369"/>
      <c r="N62" s="369"/>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1" t="s">
        <v>175</v>
      </c>
      <c r="C63" s="311"/>
      <c r="D63" s="311"/>
      <c r="E63" s="311"/>
      <c r="F63" s="311"/>
      <c r="G63" s="311"/>
      <c r="H63" s="311"/>
      <c r="I63" s="311"/>
      <c r="J63" s="311"/>
      <c r="K63" s="311"/>
      <c r="L63" s="311"/>
      <c r="M63" s="311"/>
      <c r="N63" s="311"/>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44"/>
      <c r="C64" s="345"/>
      <c r="D64" s="345"/>
      <c r="E64" s="345"/>
      <c r="F64" s="345"/>
      <c r="G64" s="346"/>
      <c r="H64" s="370" t="s">
        <v>177</v>
      </c>
      <c r="I64" s="370"/>
      <c r="J64" s="370"/>
      <c r="K64" s="370"/>
      <c r="L64" s="333">
        <f>$I$7</f>
        <v>0</v>
      </c>
      <c r="M64" s="333"/>
      <c r="N64" s="333"/>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47"/>
      <c r="C65" s="348"/>
      <c r="D65" s="348"/>
      <c r="E65" s="348"/>
      <c r="F65" s="348"/>
      <c r="G65" s="349"/>
      <c r="H65" s="370" t="s">
        <v>179</v>
      </c>
      <c r="I65" s="370"/>
      <c r="J65" s="370"/>
      <c r="K65" s="370"/>
      <c r="L65" s="333">
        <f>$J$7</f>
        <v>0</v>
      </c>
      <c r="M65" s="333"/>
      <c r="N65" s="333"/>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0"/>
      <c r="C66" s="351"/>
      <c r="D66" s="351"/>
      <c r="E66" s="351"/>
      <c r="F66" s="351"/>
      <c r="G66" s="352"/>
      <c r="H66" s="365" t="s">
        <v>181</v>
      </c>
      <c r="I66" s="365"/>
      <c r="J66" s="365"/>
      <c r="K66" s="365"/>
      <c r="L66" s="371">
        <f>IFERROR(ROUND(L64/L65,2),0)</f>
        <v>0</v>
      </c>
      <c r="M66" s="371"/>
      <c r="N66" s="371"/>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65" t="s">
        <v>183</v>
      </c>
      <c r="C67" s="365"/>
      <c r="D67" s="365"/>
      <c r="E67" s="365"/>
      <c r="F67" s="365"/>
      <c r="G67" s="365"/>
      <c r="H67" s="365"/>
      <c r="I67" s="365"/>
      <c r="J67" s="365"/>
      <c r="K67" s="365"/>
      <c r="L67" s="369">
        <f>IF(L66&gt;P43,R43,IF(L66&gt;P42,R42,IF(L66&gt;P41,R41,IF(L66&gt;P40,R40,R39))))</f>
        <v>20</v>
      </c>
      <c r="M67" s="369"/>
      <c r="N67" s="369"/>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11" t="s">
        <v>185</v>
      </c>
      <c r="C68" s="311"/>
      <c r="D68" s="311"/>
      <c r="E68" s="311"/>
      <c r="F68" s="311"/>
      <c r="G68" s="311"/>
      <c r="H68" s="311"/>
      <c r="I68" s="311"/>
      <c r="J68" s="311"/>
      <c r="K68" s="311"/>
      <c r="L68" s="311"/>
      <c r="M68" s="311"/>
      <c r="N68" s="311"/>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75" t="s">
        <v>94</v>
      </c>
      <c r="C69" s="375"/>
      <c r="D69" s="375"/>
      <c r="E69" s="375"/>
      <c r="F69" s="375"/>
      <c r="G69" s="375"/>
      <c r="H69" s="375"/>
      <c r="I69" s="375"/>
      <c r="J69" s="375"/>
      <c r="K69" s="375"/>
      <c r="L69" s="375"/>
      <c r="M69" s="368">
        <f>$K$7</f>
        <v>0</v>
      </c>
      <c r="N69" s="368"/>
      <c r="Z69" s="376" t="s">
        <v>199</v>
      </c>
      <c r="AA69" s="376"/>
      <c r="AB69" s="376"/>
      <c r="AC69" s="376"/>
      <c r="AD69" s="376"/>
      <c r="AE69" s="126">
        <f>SUM(AE26:AE68)</f>
        <v>2921045560</v>
      </c>
    </row>
    <row r="70" spans="2:31" ht="15.75" customHeight="1" x14ac:dyDescent="0.2">
      <c r="B70" s="365" t="s">
        <v>188</v>
      </c>
      <c r="C70" s="365"/>
      <c r="D70" s="365"/>
      <c r="E70" s="365"/>
      <c r="F70" s="365"/>
      <c r="G70" s="365"/>
      <c r="H70" s="365"/>
      <c r="I70" s="365"/>
      <c r="J70" s="365"/>
      <c r="K70" s="365"/>
      <c r="L70" s="369">
        <f>IF(M69&gt;P48,R48,IF(M69&gt;P47,R47,IF(M69&gt;P46,R46,R45)))</f>
        <v>0</v>
      </c>
      <c r="M70" s="369"/>
      <c r="N70" s="369"/>
    </row>
    <row r="71" spans="2:31" ht="15.75" customHeight="1" thickBot="1" x14ac:dyDescent="0.25">
      <c r="P71" s="64"/>
    </row>
    <row r="72" spans="2:31" ht="15.75" customHeight="1" thickBot="1" x14ac:dyDescent="0.25">
      <c r="B72" s="365" t="str">
        <f>"CAPACIDAD DE CONTRATACIÓN INTEGRANTE 1: "&amp;$F$26</f>
        <v xml:space="preserve">CAPACIDAD DE CONTRATACIÓN INTEGRANTE 1: </v>
      </c>
      <c r="C72" s="365"/>
      <c r="D72" s="365"/>
      <c r="E72" s="365"/>
      <c r="F72" s="365"/>
      <c r="G72" s="365"/>
      <c r="H72" s="365"/>
      <c r="I72" s="365"/>
      <c r="J72" s="365"/>
      <c r="K72" s="365"/>
      <c r="L72" s="314">
        <f>I35*((L62+L67+L70)/100)</f>
        <v>426630400</v>
      </c>
      <c r="M72" s="314"/>
      <c r="N72" s="314"/>
      <c r="T72" s="337" t="s">
        <v>108</v>
      </c>
      <c r="U72" s="337"/>
      <c r="V72" s="338" t="str">
        <f>B76</f>
        <v>INTEGRANTE 2: VENTURA &amp; CO. SAS</v>
      </c>
      <c r="W72" s="339"/>
      <c r="X72" s="339"/>
      <c r="Y72" s="339"/>
      <c r="Z72" s="339"/>
      <c r="AA72" s="340"/>
    </row>
    <row r="73" spans="2:31" ht="15.75" customHeight="1" thickBot="1" x14ac:dyDescent="0.25">
      <c r="B73" s="365" t="str">
        <f>"SALDO DE LOS CONTRATOS EN EJECUCIÓN INTEGRANTE 1: "&amp;$F$26</f>
        <v xml:space="preserve">SALDO DE LOS CONTRATOS EN EJECUCIÓN INTEGRANTE 1: </v>
      </c>
      <c r="C73" s="365"/>
      <c r="D73" s="365"/>
      <c r="E73" s="365"/>
      <c r="F73" s="365"/>
      <c r="G73" s="365"/>
      <c r="H73" s="365"/>
      <c r="I73" s="365"/>
      <c r="J73" s="365"/>
      <c r="K73" s="365"/>
      <c r="L73" s="314">
        <f>$M$7</f>
        <v>0</v>
      </c>
      <c r="M73" s="314"/>
      <c r="N73" s="314"/>
      <c r="T73" s="104" t="s">
        <v>111</v>
      </c>
      <c r="U73" s="129">
        <f>U22</f>
        <v>45614</v>
      </c>
    </row>
    <row r="74" spans="2:31" ht="15.75" customHeight="1" thickBot="1" x14ac:dyDescent="0.25">
      <c r="B74" s="365" t="str">
        <f>"CAPACIDAD RESIDUAL DE CONTRATACIÓN INTEGRANTE 1: "&amp;$F$26</f>
        <v xml:space="preserve">CAPACIDAD RESIDUAL DE CONTRATACIÓN INTEGRANTE 1: </v>
      </c>
      <c r="C74" s="365"/>
      <c r="D74" s="365"/>
      <c r="E74" s="365"/>
      <c r="F74" s="365"/>
      <c r="G74" s="365"/>
      <c r="H74" s="365"/>
      <c r="I74" s="365"/>
      <c r="J74" s="365"/>
      <c r="K74" s="365"/>
      <c r="L74" s="314">
        <f>L72-L73</f>
        <v>426630400</v>
      </c>
      <c r="M74" s="314"/>
      <c r="N74" s="314"/>
      <c r="T74" s="109"/>
      <c r="U74" s="110"/>
    </row>
    <row r="75" spans="2:31" ht="18.75" customHeight="1" x14ac:dyDescent="0.2">
      <c r="B75" s="127"/>
      <c r="C75" s="127"/>
      <c r="D75" s="127"/>
      <c r="E75" s="127"/>
      <c r="F75" s="127"/>
      <c r="G75" s="127"/>
      <c r="H75" s="127"/>
      <c r="I75" s="127"/>
      <c r="J75" s="127"/>
      <c r="K75" s="127"/>
      <c r="L75" s="128"/>
      <c r="M75" s="128"/>
      <c r="N75" s="128"/>
      <c r="Q75" s="103" t="s">
        <v>210</v>
      </c>
      <c r="T75" s="353" t="s">
        <v>113</v>
      </c>
      <c r="U75" s="342" t="s">
        <v>114</v>
      </c>
      <c r="V75" s="342" t="s">
        <v>115</v>
      </c>
      <c r="W75" s="342" t="s">
        <v>116</v>
      </c>
      <c r="X75" s="342" t="s">
        <v>117</v>
      </c>
      <c r="Y75" s="342" t="s">
        <v>118</v>
      </c>
      <c r="Z75" s="342" t="s">
        <v>119</v>
      </c>
      <c r="AA75" s="342" t="s">
        <v>120</v>
      </c>
      <c r="AB75" s="342" t="s">
        <v>121</v>
      </c>
      <c r="AC75" s="342" t="s">
        <v>122</v>
      </c>
      <c r="AD75" s="342" t="s">
        <v>123</v>
      </c>
      <c r="AE75" s="342" t="s">
        <v>124</v>
      </c>
    </row>
    <row r="76" spans="2:31" ht="15.75" customHeight="1" thickBot="1" x14ac:dyDescent="0.3">
      <c r="B76" s="372" t="str">
        <f>"INTEGRANTE 2: "&amp;$C$8</f>
        <v>INTEGRANTE 2: VENTURA &amp; CO. SAS</v>
      </c>
      <c r="C76" s="373"/>
      <c r="D76" s="373"/>
      <c r="E76" s="373"/>
      <c r="F76" s="373"/>
      <c r="G76" s="373"/>
      <c r="H76" s="373"/>
      <c r="I76" s="373"/>
      <c r="J76" s="373"/>
      <c r="K76" s="373"/>
      <c r="L76" s="373"/>
      <c r="M76" s="373"/>
      <c r="N76" s="374"/>
      <c r="Q76" s="108">
        <v>1423500</v>
      </c>
      <c r="T76" s="354"/>
      <c r="U76" s="343"/>
      <c r="V76" s="343"/>
      <c r="W76" s="343"/>
      <c r="X76" s="343"/>
      <c r="Y76" s="343"/>
      <c r="Z76" s="343"/>
      <c r="AA76" s="343"/>
      <c r="AB76" s="343"/>
      <c r="AC76" s="343"/>
      <c r="AD76" s="343"/>
      <c r="AE76" s="343"/>
    </row>
    <row r="77" spans="2:31" ht="15.75" customHeight="1" thickBot="1" x14ac:dyDescent="0.3">
      <c r="B77" s="314" t="s">
        <v>102</v>
      </c>
      <c r="C77" s="314"/>
      <c r="D77" s="314"/>
      <c r="E77" s="314"/>
      <c r="F77" s="314"/>
      <c r="G77" s="314"/>
      <c r="H77" s="314"/>
      <c r="I77" s="336">
        <f>$G$8</f>
        <v>0.5</v>
      </c>
      <c r="J77" s="336"/>
      <c r="K77" s="336"/>
      <c r="L77" s="336"/>
      <c r="M77" s="336"/>
      <c r="N77" s="336"/>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1" t="s">
        <v>103</v>
      </c>
      <c r="C78" s="311"/>
      <c r="D78" s="311"/>
      <c r="E78" s="311"/>
      <c r="F78" s="311"/>
      <c r="G78" s="311"/>
      <c r="H78" s="311" t="s">
        <v>104</v>
      </c>
      <c r="I78" s="311"/>
      <c r="J78" s="311"/>
      <c r="K78" s="311"/>
      <c r="L78" s="311"/>
      <c r="M78" s="311"/>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44"/>
      <c r="C79" s="345"/>
      <c r="D79" s="345"/>
      <c r="E79" s="345"/>
      <c r="F79" s="345"/>
      <c r="G79" s="346"/>
      <c r="H79" s="341" t="s">
        <v>106</v>
      </c>
      <c r="I79" s="341"/>
      <c r="J79" s="341"/>
      <c r="K79" s="341"/>
      <c r="L79" s="341"/>
      <c r="M79" s="341"/>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47"/>
      <c r="C80" s="348"/>
      <c r="D80" s="348"/>
      <c r="E80" s="348"/>
      <c r="F80" s="348"/>
      <c r="G80" s="349"/>
      <c r="H80" s="341" t="s">
        <v>107</v>
      </c>
      <c r="I80" s="341"/>
      <c r="J80" s="341"/>
      <c r="K80" s="341"/>
      <c r="L80" s="341"/>
      <c r="M80" s="341"/>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47"/>
      <c r="C81" s="348"/>
      <c r="D81" s="348"/>
      <c r="E81" s="348"/>
      <c r="F81" s="348"/>
      <c r="G81" s="349"/>
      <c r="H81" s="341" t="s">
        <v>109</v>
      </c>
      <c r="I81" s="341"/>
      <c r="J81" s="341"/>
      <c r="K81" s="341"/>
      <c r="L81" s="341"/>
      <c r="M81" s="341"/>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50"/>
      <c r="C82" s="351"/>
      <c r="D82" s="351"/>
      <c r="E82" s="351"/>
      <c r="F82" s="351"/>
      <c r="G82" s="352"/>
      <c r="H82" s="311" t="s">
        <v>44</v>
      </c>
      <c r="I82" s="311"/>
      <c r="J82" s="311"/>
      <c r="K82" s="311"/>
      <c r="L82" s="311"/>
      <c r="M82" s="311"/>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1" t="s">
        <v>211</v>
      </c>
      <c r="C83" s="311"/>
      <c r="D83" s="311"/>
      <c r="E83" s="311"/>
      <c r="F83" s="311"/>
      <c r="G83" s="311"/>
      <c r="H83" s="311"/>
      <c r="I83" s="311"/>
      <c r="J83" s="311"/>
      <c r="K83" s="311"/>
      <c r="L83" s="311"/>
      <c r="M83" s="311"/>
      <c r="N83" s="311"/>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89" t="s">
        <v>125</v>
      </c>
      <c r="C84" s="390"/>
      <c r="D84" s="390"/>
      <c r="E84" s="390"/>
      <c r="F84" s="390"/>
      <c r="G84" s="390"/>
      <c r="H84" s="391"/>
      <c r="I84" s="320" t="s">
        <v>126</v>
      </c>
      <c r="J84" s="321"/>
      <c r="K84" s="321"/>
      <c r="L84" s="321"/>
      <c r="M84" s="321"/>
      <c r="N84" s="322"/>
      <c r="P84" s="311" t="s">
        <v>146</v>
      </c>
      <c r="Q84" s="311"/>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86" t="s">
        <v>127</v>
      </c>
      <c r="C85" s="387"/>
      <c r="D85" s="387"/>
      <c r="E85" s="387"/>
      <c r="F85" s="387"/>
      <c r="G85" s="387"/>
      <c r="H85" s="388"/>
      <c r="I85" s="362">
        <f>IF($H$8&gt;$R$31,$H$8,$R$31)</f>
        <v>533288000</v>
      </c>
      <c r="J85" s="363"/>
      <c r="K85" s="363"/>
      <c r="L85" s="363"/>
      <c r="M85" s="363"/>
      <c r="N85" s="364"/>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11" t="s">
        <v>212</v>
      </c>
      <c r="C86" s="311"/>
      <c r="D86" s="311"/>
      <c r="E86" s="311"/>
      <c r="F86" s="311"/>
      <c r="G86" s="311"/>
      <c r="H86" s="311"/>
      <c r="I86" s="311"/>
      <c r="J86" s="311"/>
      <c r="K86" s="311"/>
      <c r="L86" s="311"/>
      <c r="M86" s="311"/>
      <c r="N86" s="311"/>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11" t="s">
        <v>133</v>
      </c>
      <c r="C87" s="311"/>
      <c r="D87" s="311"/>
      <c r="E87" s="311"/>
      <c r="F87" s="311"/>
      <c r="G87" s="311"/>
      <c r="H87" s="311"/>
      <c r="I87" s="311"/>
      <c r="J87" s="311"/>
      <c r="K87" s="311"/>
      <c r="L87" s="311"/>
      <c r="M87" s="311"/>
      <c r="N87" s="311"/>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358"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59"/>
      <c r="P89" s="311" t="s">
        <v>153</v>
      </c>
      <c r="Q89" s="311"/>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59"/>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59"/>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59"/>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59"/>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59"/>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59"/>
      <c r="P95" s="311" t="s">
        <v>160</v>
      </c>
      <c r="Q95" s="311"/>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59"/>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59"/>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59"/>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59"/>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59"/>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59"/>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59"/>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59"/>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59"/>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59"/>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59"/>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59"/>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59"/>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60"/>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65" t="s">
        <v>167</v>
      </c>
      <c r="C110" s="365"/>
      <c r="D110" s="365"/>
      <c r="E110" s="365"/>
      <c r="F110" s="365"/>
      <c r="G110" s="365"/>
      <c r="H110" s="365"/>
      <c r="I110" s="365"/>
      <c r="J110" s="366">
        <f>SUM(C89:C109,G89:G109,K89:K109,E89:E109,I89:I109,K89:K109,M89:M109)</f>
        <v>0</v>
      </c>
      <c r="K110" s="366"/>
      <c r="L110" s="366"/>
      <c r="M110" s="366"/>
      <c r="N110" s="366"/>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65" t="s">
        <v>171</v>
      </c>
      <c r="C111" s="365"/>
      <c r="D111" s="365"/>
      <c r="E111" s="365"/>
      <c r="F111" s="365"/>
      <c r="G111" s="365"/>
      <c r="H111" s="365"/>
      <c r="I111" s="365"/>
      <c r="J111" s="311">
        <f>IFERROR(J110/(($B$23)*I77),0)</f>
        <v>0</v>
      </c>
      <c r="K111" s="311"/>
      <c r="L111" s="311"/>
      <c r="M111" s="311"/>
      <c r="N111" s="311"/>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65" t="s">
        <v>173</v>
      </c>
      <c r="C112" s="365"/>
      <c r="D112" s="365"/>
      <c r="E112" s="365"/>
      <c r="F112" s="365"/>
      <c r="G112" s="365"/>
      <c r="H112" s="365"/>
      <c r="I112" s="365"/>
      <c r="J112" s="365"/>
      <c r="K112" s="365"/>
      <c r="L112" s="369">
        <f>IF(J111&gt;P88,R88,IF(J111&gt;P87,R87,IF(J111&gt;P86,R86,R85)))</f>
        <v>60</v>
      </c>
      <c r="M112" s="369"/>
      <c r="N112" s="369"/>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11" t="s">
        <v>215</v>
      </c>
      <c r="C113" s="311"/>
      <c r="D113" s="311"/>
      <c r="E113" s="311"/>
      <c r="F113" s="311"/>
      <c r="G113" s="311"/>
      <c r="H113" s="311"/>
      <c r="I113" s="311"/>
      <c r="J113" s="311"/>
      <c r="K113" s="311"/>
      <c r="L113" s="311"/>
      <c r="M113" s="311"/>
      <c r="N113" s="311"/>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44"/>
      <c r="C114" s="345"/>
      <c r="D114" s="345"/>
      <c r="E114" s="345"/>
      <c r="F114" s="345"/>
      <c r="G114" s="346"/>
      <c r="H114" s="370" t="s">
        <v>177</v>
      </c>
      <c r="I114" s="370"/>
      <c r="J114" s="370"/>
      <c r="K114" s="370"/>
      <c r="L114" s="333">
        <f>$I$8</f>
        <v>0</v>
      </c>
      <c r="M114" s="333"/>
      <c r="N114" s="333"/>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47"/>
      <c r="C115" s="348"/>
      <c r="D115" s="348"/>
      <c r="E115" s="348"/>
      <c r="F115" s="348"/>
      <c r="G115" s="349"/>
      <c r="H115" s="370" t="s">
        <v>179</v>
      </c>
      <c r="I115" s="370"/>
      <c r="J115" s="370"/>
      <c r="K115" s="370"/>
      <c r="L115" s="333">
        <f>$J$8</f>
        <v>0</v>
      </c>
      <c r="M115" s="333"/>
      <c r="N115" s="333"/>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50"/>
      <c r="C116" s="351"/>
      <c r="D116" s="351"/>
      <c r="E116" s="351"/>
      <c r="F116" s="351"/>
      <c r="G116" s="352"/>
      <c r="H116" s="365" t="s">
        <v>181</v>
      </c>
      <c r="I116" s="365"/>
      <c r="J116" s="365"/>
      <c r="K116" s="365"/>
      <c r="L116" s="371">
        <f>IFERROR(ROUND(L114/L115,2),0)</f>
        <v>0</v>
      </c>
      <c r="M116" s="371"/>
      <c r="N116" s="371"/>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65" t="s">
        <v>183</v>
      </c>
      <c r="C117" s="365"/>
      <c r="D117" s="365"/>
      <c r="E117" s="365"/>
      <c r="F117" s="365"/>
      <c r="G117" s="365"/>
      <c r="H117" s="365"/>
      <c r="I117" s="365"/>
      <c r="J117" s="365"/>
      <c r="K117" s="365"/>
      <c r="L117" s="369">
        <f>IF(L116&gt;P94,R94,IF(L116&gt;P93,R93,IF(L116&gt;P92,R92,IF(L116&gt;P91,R91,R90))))</f>
        <v>20</v>
      </c>
      <c r="M117" s="369"/>
      <c r="N117" s="369"/>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11" t="s">
        <v>185</v>
      </c>
      <c r="C118" s="311"/>
      <c r="D118" s="311"/>
      <c r="E118" s="311"/>
      <c r="F118" s="311"/>
      <c r="G118" s="311"/>
      <c r="H118" s="311"/>
      <c r="I118" s="311"/>
      <c r="J118" s="311"/>
      <c r="K118" s="311"/>
      <c r="L118" s="311"/>
      <c r="M118" s="311"/>
      <c r="N118" s="311"/>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75" t="s">
        <v>94</v>
      </c>
      <c r="C119" s="375"/>
      <c r="D119" s="375"/>
      <c r="E119" s="375"/>
      <c r="F119" s="375"/>
      <c r="G119" s="375"/>
      <c r="H119" s="375"/>
      <c r="I119" s="375"/>
      <c r="J119" s="375"/>
      <c r="K119" s="375"/>
      <c r="L119" s="375"/>
      <c r="M119" s="368">
        <f>$K$8</f>
        <v>0</v>
      </c>
      <c r="N119" s="36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5" t="s">
        <v>188</v>
      </c>
      <c r="C120" s="365"/>
      <c r="D120" s="365"/>
      <c r="E120" s="365"/>
      <c r="F120" s="365"/>
      <c r="G120" s="365"/>
      <c r="H120" s="365"/>
      <c r="I120" s="365"/>
      <c r="J120" s="365"/>
      <c r="K120" s="365"/>
      <c r="L120" s="369">
        <f>IF(M119&gt;P99,R99,IF(M119&gt;P98,R98,IF(M119&gt;P97,R97,R96)))</f>
        <v>0</v>
      </c>
      <c r="M120" s="369"/>
      <c r="N120" s="369"/>
      <c r="P120" s="82" t="s">
        <v>201</v>
      </c>
      <c r="R120" s="83">
        <v>16</v>
      </c>
      <c r="Z120" s="376" t="s">
        <v>199</v>
      </c>
      <c r="AA120" s="376"/>
      <c r="AB120" s="376"/>
      <c r="AC120" s="376"/>
      <c r="AD120" s="376"/>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65" t="str">
        <f>"CAPACIDAD DE CONTRATACIÓN "&amp;$F$76</f>
        <v xml:space="preserve">CAPACIDAD DE CONTRATACIÓN </v>
      </c>
      <c r="C122" s="365"/>
      <c r="D122" s="365"/>
      <c r="E122" s="365"/>
      <c r="F122" s="365"/>
      <c r="G122" s="365"/>
      <c r="H122" s="365"/>
      <c r="I122" s="365"/>
      <c r="J122" s="365"/>
      <c r="K122" s="365"/>
      <c r="L122" s="314">
        <f>I85*((L112+L117+L120)/100)</f>
        <v>426630400</v>
      </c>
      <c r="M122" s="314"/>
      <c r="N122" s="314"/>
      <c r="T122" s="337" t="s">
        <v>108</v>
      </c>
      <c r="U122" s="337"/>
      <c r="V122" s="338" t="str">
        <f>B126</f>
        <v>INTEGRANTE 3: 0</v>
      </c>
      <c r="W122" s="339"/>
      <c r="X122" s="339"/>
      <c r="Y122" s="339"/>
      <c r="Z122" s="339"/>
      <c r="AA122" s="340"/>
    </row>
    <row r="123" spans="2:31" ht="15.75" customHeight="1" thickBot="1" x14ac:dyDescent="0.25">
      <c r="B123" s="365" t="str">
        <f>"SALDO DE LOS CONTRATOS EN EJECUCIÓN "&amp;$F$76</f>
        <v xml:space="preserve">SALDO DE LOS CONTRATOS EN EJECUCIÓN </v>
      </c>
      <c r="C123" s="365"/>
      <c r="D123" s="365"/>
      <c r="E123" s="365"/>
      <c r="F123" s="365"/>
      <c r="G123" s="365"/>
      <c r="H123" s="365"/>
      <c r="I123" s="365"/>
      <c r="J123" s="365"/>
      <c r="K123" s="365"/>
      <c r="L123" s="314">
        <f>$M$8</f>
        <v>0</v>
      </c>
      <c r="M123" s="314"/>
      <c r="N123" s="314"/>
      <c r="T123" s="104" t="s">
        <v>111</v>
      </c>
      <c r="U123" s="129">
        <f>U72</f>
        <v>0</v>
      </c>
    </row>
    <row r="124" spans="2:31" ht="15.75" customHeight="1" thickBot="1" x14ac:dyDescent="0.25">
      <c r="B124" s="365" t="str">
        <f>"CAPACIDAD RESIDUAL DE CONTRATACIÓN "&amp;$F$76</f>
        <v xml:space="preserve">CAPACIDAD RESIDUAL DE CONTRATACIÓN </v>
      </c>
      <c r="C124" s="365"/>
      <c r="D124" s="365"/>
      <c r="E124" s="365"/>
      <c r="F124" s="365"/>
      <c r="G124" s="365"/>
      <c r="H124" s="365"/>
      <c r="I124" s="365"/>
      <c r="J124" s="365"/>
      <c r="K124" s="365"/>
      <c r="L124" s="314">
        <f>L122-L123</f>
        <v>426630400</v>
      </c>
      <c r="M124" s="314"/>
      <c r="N124" s="314"/>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53" t="s">
        <v>113</v>
      </c>
      <c r="U125" s="342" t="s">
        <v>114</v>
      </c>
      <c r="V125" s="342" t="s">
        <v>115</v>
      </c>
      <c r="W125" s="342" t="s">
        <v>116</v>
      </c>
      <c r="X125" s="342" t="s">
        <v>117</v>
      </c>
      <c r="Y125" s="342" t="s">
        <v>118</v>
      </c>
      <c r="Z125" s="342" t="s">
        <v>119</v>
      </c>
      <c r="AA125" s="342" t="s">
        <v>120</v>
      </c>
      <c r="AB125" s="342" t="s">
        <v>121</v>
      </c>
      <c r="AC125" s="342" t="s">
        <v>122</v>
      </c>
      <c r="AD125" s="342" t="s">
        <v>123</v>
      </c>
      <c r="AE125" s="342" t="s">
        <v>124</v>
      </c>
    </row>
    <row r="126" spans="2:31" ht="15.75" customHeight="1" thickBot="1" x14ac:dyDescent="0.3">
      <c r="B126" s="372" t="str">
        <f>"INTEGRANTE 3: "&amp;$C$9</f>
        <v>INTEGRANTE 3: 0</v>
      </c>
      <c r="C126" s="373"/>
      <c r="D126" s="373"/>
      <c r="E126" s="373"/>
      <c r="F126" s="373"/>
      <c r="G126" s="373"/>
      <c r="H126" s="373"/>
      <c r="I126" s="373"/>
      <c r="J126" s="373"/>
      <c r="K126" s="373"/>
      <c r="L126" s="373"/>
      <c r="M126" s="373"/>
      <c r="N126" s="374"/>
      <c r="Q126" s="108">
        <v>1423500</v>
      </c>
      <c r="T126" s="354"/>
      <c r="U126" s="343"/>
      <c r="V126" s="343"/>
      <c r="W126" s="343"/>
      <c r="X126" s="343"/>
      <c r="Y126" s="343"/>
      <c r="Z126" s="343"/>
      <c r="AA126" s="343"/>
      <c r="AB126" s="343"/>
      <c r="AC126" s="343"/>
      <c r="AD126" s="343"/>
      <c r="AE126" s="343"/>
    </row>
    <row r="127" spans="2:31" ht="15.75" customHeight="1" thickBot="1" x14ac:dyDescent="0.3">
      <c r="B127" s="314" t="s">
        <v>102</v>
      </c>
      <c r="C127" s="314"/>
      <c r="D127" s="314"/>
      <c r="E127" s="314"/>
      <c r="F127" s="314"/>
      <c r="G127" s="314"/>
      <c r="H127" s="314"/>
      <c r="I127" s="336">
        <f>$G$9</f>
        <v>0</v>
      </c>
      <c r="J127" s="336"/>
      <c r="K127" s="336"/>
      <c r="L127" s="336"/>
      <c r="M127" s="336"/>
      <c r="N127" s="336"/>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1" t="s">
        <v>103</v>
      </c>
      <c r="C128" s="311"/>
      <c r="D128" s="311"/>
      <c r="E128" s="311"/>
      <c r="F128" s="311"/>
      <c r="G128" s="311"/>
      <c r="H128" s="311" t="s">
        <v>104</v>
      </c>
      <c r="I128" s="311"/>
      <c r="J128" s="311"/>
      <c r="K128" s="311"/>
      <c r="L128" s="311"/>
      <c r="M128" s="311"/>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44"/>
      <c r="C129" s="345"/>
      <c r="D129" s="345"/>
      <c r="E129" s="345"/>
      <c r="F129" s="345"/>
      <c r="G129" s="346"/>
      <c r="H129" s="341" t="s">
        <v>106</v>
      </c>
      <c r="I129" s="341"/>
      <c r="J129" s="341"/>
      <c r="K129" s="341"/>
      <c r="L129" s="341"/>
      <c r="M129" s="341"/>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47"/>
      <c r="C130" s="348"/>
      <c r="D130" s="348"/>
      <c r="E130" s="348"/>
      <c r="F130" s="348"/>
      <c r="G130" s="349"/>
      <c r="H130" s="341" t="s">
        <v>107</v>
      </c>
      <c r="I130" s="341"/>
      <c r="J130" s="341"/>
      <c r="K130" s="341"/>
      <c r="L130" s="341"/>
      <c r="M130" s="341"/>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47"/>
      <c r="C131" s="348"/>
      <c r="D131" s="348"/>
      <c r="E131" s="348"/>
      <c r="F131" s="348"/>
      <c r="G131" s="349"/>
      <c r="H131" s="341" t="s">
        <v>109</v>
      </c>
      <c r="I131" s="341"/>
      <c r="J131" s="341"/>
      <c r="K131" s="341"/>
      <c r="L131" s="341"/>
      <c r="M131" s="341"/>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50"/>
      <c r="C132" s="351"/>
      <c r="D132" s="351"/>
      <c r="E132" s="351"/>
      <c r="F132" s="351"/>
      <c r="G132" s="352"/>
      <c r="H132" s="311" t="s">
        <v>44</v>
      </c>
      <c r="I132" s="311"/>
      <c r="J132" s="311"/>
      <c r="K132" s="311"/>
      <c r="L132" s="311"/>
      <c r="M132" s="311"/>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1" t="s">
        <v>211</v>
      </c>
      <c r="C133" s="311"/>
      <c r="D133" s="311"/>
      <c r="E133" s="311"/>
      <c r="F133" s="311"/>
      <c r="G133" s="311"/>
      <c r="H133" s="311"/>
      <c r="I133" s="311"/>
      <c r="J133" s="311"/>
      <c r="K133" s="311"/>
      <c r="L133" s="311"/>
      <c r="M133" s="311"/>
      <c r="N133" s="311"/>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89" t="s">
        <v>125</v>
      </c>
      <c r="C134" s="390"/>
      <c r="D134" s="390"/>
      <c r="E134" s="390"/>
      <c r="F134" s="390"/>
      <c r="G134" s="390"/>
      <c r="H134" s="391"/>
      <c r="I134" s="320" t="s">
        <v>126</v>
      </c>
      <c r="J134" s="321"/>
      <c r="K134" s="321"/>
      <c r="L134" s="321"/>
      <c r="M134" s="321"/>
      <c r="N134" s="322"/>
      <c r="P134" s="311" t="s">
        <v>146</v>
      </c>
      <c r="Q134" s="311"/>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86" t="s">
        <v>127</v>
      </c>
      <c r="C135" s="387"/>
      <c r="D135" s="387"/>
      <c r="E135" s="387"/>
      <c r="F135" s="387"/>
      <c r="G135" s="387"/>
      <c r="H135" s="388"/>
      <c r="I135" s="362">
        <f>IF($H$9&gt;$R$31,$H$9,$R$31)</f>
        <v>533288000</v>
      </c>
      <c r="J135" s="363"/>
      <c r="K135" s="363"/>
      <c r="L135" s="363"/>
      <c r="M135" s="363"/>
      <c r="N135" s="364"/>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11" t="s">
        <v>212</v>
      </c>
      <c r="C136" s="311"/>
      <c r="D136" s="311"/>
      <c r="E136" s="311"/>
      <c r="F136" s="311"/>
      <c r="G136" s="311"/>
      <c r="H136" s="311"/>
      <c r="I136" s="311"/>
      <c r="J136" s="311"/>
      <c r="K136" s="311"/>
      <c r="L136" s="311"/>
      <c r="M136" s="311"/>
      <c r="N136" s="311"/>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11" t="s">
        <v>133</v>
      </c>
      <c r="C137" s="311"/>
      <c r="D137" s="311"/>
      <c r="E137" s="311"/>
      <c r="F137" s="311"/>
      <c r="G137" s="311"/>
      <c r="H137" s="311"/>
      <c r="I137" s="311"/>
      <c r="J137" s="311"/>
      <c r="K137" s="311"/>
      <c r="L137" s="311"/>
      <c r="M137" s="311"/>
      <c r="N137" s="311"/>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358"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59"/>
      <c r="P139" s="311" t="s">
        <v>153</v>
      </c>
      <c r="Q139" s="311"/>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59"/>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59"/>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59"/>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59"/>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59"/>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59"/>
      <c r="P145" s="311" t="s">
        <v>160</v>
      </c>
      <c r="Q145" s="311"/>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59"/>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59"/>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59"/>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59"/>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59"/>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59"/>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59"/>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59"/>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59"/>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59"/>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59"/>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59"/>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59"/>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60"/>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65" t="s">
        <v>167</v>
      </c>
      <c r="C160" s="365"/>
      <c r="D160" s="365"/>
      <c r="E160" s="365"/>
      <c r="F160" s="365"/>
      <c r="G160" s="365"/>
      <c r="H160" s="365"/>
      <c r="I160" s="365"/>
      <c r="J160" s="366">
        <f>SUM(C139:C159,G139:G159,K139:K159,E139:E159,I139:I159,K139:K159,M139:M159)</f>
        <v>0</v>
      </c>
      <c r="K160" s="366"/>
      <c r="L160" s="366"/>
      <c r="M160" s="366"/>
      <c r="N160" s="366"/>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65" t="s">
        <v>171</v>
      </c>
      <c r="C161" s="365"/>
      <c r="D161" s="365"/>
      <c r="E161" s="365"/>
      <c r="F161" s="365"/>
      <c r="G161" s="365"/>
      <c r="H161" s="365"/>
      <c r="I161" s="365"/>
      <c r="J161" s="311">
        <f>IFERROR(J160/(($B$23)*I127),0)</f>
        <v>0</v>
      </c>
      <c r="K161" s="311"/>
      <c r="L161" s="311"/>
      <c r="M161" s="311"/>
      <c r="N161" s="311"/>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65" t="s">
        <v>173</v>
      </c>
      <c r="C162" s="365"/>
      <c r="D162" s="365"/>
      <c r="E162" s="365"/>
      <c r="F162" s="365"/>
      <c r="G162" s="365"/>
      <c r="H162" s="365"/>
      <c r="I162" s="365"/>
      <c r="J162" s="365"/>
      <c r="K162" s="365"/>
      <c r="L162" s="369">
        <f>IF(J161&gt;P138,R138,IF(J161&gt;P137,R137,IF(J161&gt;P136,R136,R135)))</f>
        <v>60</v>
      </c>
      <c r="M162" s="369"/>
      <c r="N162" s="369"/>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11" t="s">
        <v>215</v>
      </c>
      <c r="C163" s="311"/>
      <c r="D163" s="311"/>
      <c r="E163" s="311"/>
      <c r="F163" s="311"/>
      <c r="G163" s="311"/>
      <c r="H163" s="311"/>
      <c r="I163" s="311"/>
      <c r="J163" s="311"/>
      <c r="K163" s="311"/>
      <c r="L163" s="311"/>
      <c r="M163" s="311"/>
      <c r="N163" s="311"/>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44"/>
      <c r="C164" s="345"/>
      <c r="D164" s="345"/>
      <c r="E164" s="345"/>
      <c r="F164" s="345"/>
      <c r="G164" s="346"/>
      <c r="H164" s="370" t="s">
        <v>177</v>
      </c>
      <c r="I164" s="370"/>
      <c r="J164" s="370"/>
      <c r="K164" s="370"/>
      <c r="L164" s="333">
        <f>$I$9</f>
        <v>0</v>
      </c>
      <c r="M164" s="333"/>
      <c r="N164" s="333"/>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47"/>
      <c r="C165" s="348"/>
      <c r="D165" s="348"/>
      <c r="E165" s="348"/>
      <c r="F165" s="348"/>
      <c r="G165" s="349"/>
      <c r="H165" s="370" t="s">
        <v>179</v>
      </c>
      <c r="I165" s="370"/>
      <c r="J165" s="370"/>
      <c r="K165" s="370"/>
      <c r="L165" s="333">
        <f>$J$9</f>
        <v>0</v>
      </c>
      <c r="M165" s="333"/>
      <c r="N165" s="333"/>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50"/>
      <c r="C166" s="351"/>
      <c r="D166" s="351"/>
      <c r="E166" s="351"/>
      <c r="F166" s="351"/>
      <c r="G166" s="352"/>
      <c r="H166" s="365" t="s">
        <v>181</v>
      </c>
      <c r="I166" s="365"/>
      <c r="J166" s="365"/>
      <c r="K166" s="365"/>
      <c r="L166" s="371">
        <f>IFERROR(ROUND(L164/L165,2),0)</f>
        <v>0</v>
      </c>
      <c r="M166" s="371"/>
      <c r="N166" s="371"/>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65" t="s">
        <v>183</v>
      </c>
      <c r="C167" s="365"/>
      <c r="D167" s="365"/>
      <c r="E167" s="365"/>
      <c r="F167" s="365"/>
      <c r="G167" s="365"/>
      <c r="H167" s="365"/>
      <c r="I167" s="365"/>
      <c r="J167" s="365"/>
      <c r="K167" s="365"/>
      <c r="L167" s="369">
        <f>IF(L166&gt;P144,R144,IF(L166&gt;P143,R143,IF(L166&gt;P142,R142,IF(L166&gt;P141,R141,R140))))</f>
        <v>20</v>
      </c>
      <c r="M167" s="369"/>
      <c r="N167" s="369"/>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11" t="s">
        <v>185</v>
      </c>
      <c r="C168" s="311"/>
      <c r="D168" s="311"/>
      <c r="E168" s="311"/>
      <c r="F168" s="311"/>
      <c r="G168" s="311"/>
      <c r="H168" s="311"/>
      <c r="I168" s="311"/>
      <c r="J168" s="311"/>
      <c r="K168" s="311"/>
      <c r="L168" s="311"/>
      <c r="M168" s="311"/>
      <c r="N168" s="311"/>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75" t="s">
        <v>94</v>
      </c>
      <c r="C169" s="375"/>
      <c r="D169" s="375"/>
      <c r="E169" s="375"/>
      <c r="F169" s="375"/>
      <c r="G169" s="375"/>
      <c r="H169" s="375"/>
      <c r="I169" s="375"/>
      <c r="J169" s="375"/>
      <c r="K169" s="375"/>
      <c r="L169" s="375"/>
      <c r="M169" s="368">
        <f>$K$9</f>
        <v>0</v>
      </c>
      <c r="N169" s="368"/>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65" t="s">
        <v>188</v>
      </c>
      <c r="C170" s="365"/>
      <c r="D170" s="365"/>
      <c r="E170" s="365"/>
      <c r="F170" s="365"/>
      <c r="G170" s="365"/>
      <c r="H170" s="365"/>
      <c r="I170" s="365"/>
      <c r="J170" s="365"/>
      <c r="K170" s="365"/>
      <c r="L170" s="369">
        <f>IF(M169&gt;P149,R149,IF(M169&gt;P148,R148,IF(M169&gt;P147,R147,R146)))</f>
        <v>0</v>
      </c>
      <c r="M170" s="369"/>
      <c r="N170" s="369"/>
      <c r="P170" s="82" t="s">
        <v>201</v>
      </c>
      <c r="R170" s="83">
        <v>16</v>
      </c>
      <c r="Z170" s="376" t="s">
        <v>199</v>
      </c>
      <c r="AA170" s="376"/>
      <c r="AB170" s="376"/>
      <c r="AC170" s="376"/>
      <c r="AD170" s="376"/>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65" t="str">
        <f>"CAPACIDAD DE CONTRATACIÓN "&amp;$F$126</f>
        <v xml:space="preserve">CAPACIDAD DE CONTRATACIÓN </v>
      </c>
      <c r="C172" s="365"/>
      <c r="D172" s="365"/>
      <c r="E172" s="365"/>
      <c r="F172" s="365"/>
      <c r="G172" s="365"/>
      <c r="H172" s="365"/>
      <c r="I172" s="365"/>
      <c r="J172" s="365"/>
      <c r="K172" s="365"/>
      <c r="L172" s="314">
        <f>I135*((L162+L167+L170)/100)</f>
        <v>426630400</v>
      </c>
      <c r="M172" s="314"/>
      <c r="N172" s="314"/>
      <c r="P172" s="82" t="s">
        <v>202</v>
      </c>
      <c r="R172" s="83">
        <v>15</v>
      </c>
    </row>
    <row r="173" spans="2:31" ht="15.75" customHeight="1" x14ac:dyDescent="0.2">
      <c r="B173" s="365" t="str">
        <f>"SALDO DE LOS CONTRATOS EN EJECUCIÓN "&amp;$F$126</f>
        <v xml:space="preserve">SALDO DE LOS CONTRATOS EN EJECUCIÓN </v>
      </c>
      <c r="C173" s="365"/>
      <c r="D173" s="365"/>
      <c r="E173" s="365"/>
      <c r="F173" s="365"/>
      <c r="G173" s="365"/>
      <c r="H173" s="365"/>
      <c r="I173" s="365"/>
      <c r="J173" s="365"/>
      <c r="K173" s="365"/>
      <c r="L173" s="314">
        <f>$M$9</f>
        <v>0</v>
      </c>
      <c r="M173" s="314"/>
      <c r="N173" s="314"/>
      <c r="P173" s="82"/>
      <c r="R173" s="83"/>
    </row>
    <row r="174" spans="2:31" ht="15.75" customHeight="1" thickBot="1" x14ac:dyDescent="0.25">
      <c r="B174" s="365" t="str">
        <f>"CAPACIDAD RESIDUAL DE CONTRATACIÓN "&amp;$F$126</f>
        <v xml:space="preserve">CAPACIDAD RESIDUAL DE CONTRATACIÓN </v>
      </c>
      <c r="C174" s="365"/>
      <c r="D174" s="365"/>
      <c r="E174" s="365"/>
      <c r="F174" s="365"/>
      <c r="G174" s="365"/>
      <c r="H174" s="365"/>
      <c r="I174" s="365"/>
      <c r="J174" s="365"/>
      <c r="K174" s="365"/>
      <c r="L174" s="314">
        <f>L172-L173</f>
        <v>426630400</v>
      </c>
      <c r="M174" s="314"/>
      <c r="N174" s="314"/>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53" t="s">
        <v>113</v>
      </c>
      <c r="U175" s="342" t="s">
        <v>114</v>
      </c>
      <c r="V175" s="342" t="s">
        <v>115</v>
      </c>
      <c r="W175" s="342" t="s">
        <v>116</v>
      </c>
      <c r="X175" s="342" t="s">
        <v>117</v>
      </c>
      <c r="Y175" s="342" t="s">
        <v>118</v>
      </c>
      <c r="Z175" s="342" t="s">
        <v>119</v>
      </c>
      <c r="AA175" s="342" t="s">
        <v>120</v>
      </c>
      <c r="AB175" s="342" t="s">
        <v>121</v>
      </c>
      <c r="AC175" s="342" t="s">
        <v>122</v>
      </c>
      <c r="AD175" s="342" t="s">
        <v>123</v>
      </c>
      <c r="AE175" s="342" t="s">
        <v>124</v>
      </c>
    </row>
    <row r="176" spans="2:31" ht="15.75" customHeight="1" thickBot="1" x14ac:dyDescent="0.3">
      <c r="B176" s="372" t="str">
        <f>"INTEGRANTE 4: "&amp;$C$10</f>
        <v>INTEGRANTE 4: 0</v>
      </c>
      <c r="C176" s="373"/>
      <c r="D176" s="373"/>
      <c r="E176" s="373"/>
      <c r="F176" s="373"/>
      <c r="G176" s="373"/>
      <c r="H176" s="373"/>
      <c r="I176" s="373"/>
      <c r="J176" s="373"/>
      <c r="K176" s="373"/>
      <c r="L176" s="373"/>
      <c r="M176" s="373"/>
      <c r="N176" s="374"/>
      <c r="Q176" s="108">
        <v>1423500</v>
      </c>
      <c r="T176" s="354"/>
      <c r="U176" s="343"/>
      <c r="V176" s="343"/>
      <c r="W176" s="343"/>
      <c r="X176" s="343"/>
      <c r="Y176" s="343"/>
      <c r="Z176" s="343"/>
      <c r="AA176" s="343"/>
      <c r="AB176" s="343"/>
      <c r="AC176" s="343"/>
      <c r="AD176" s="343"/>
      <c r="AE176" s="343"/>
    </row>
    <row r="177" spans="2:31" ht="15.75" customHeight="1" thickBot="1" x14ac:dyDescent="0.3">
      <c r="B177" s="362" t="s">
        <v>102</v>
      </c>
      <c r="C177" s="363"/>
      <c r="D177" s="363"/>
      <c r="E177" s="363"/>
      <c r="F177" s="363"/>
      <c r="G177" s="363"/>
      <c r="H177" s="364"/>
      <c r="I177" s="414">
        <f>$G$10</f>
        <v>0</v>
      </c>
      <c r="J177" s="415"/>
      <c r="K177" s="415"/>
      <c r="L177" s="415"/>
      <c r="M177" s="415"/>
      <c r="N177" s="416"/>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20" t="s">
        <v>103</v>
      </c>
      <c r="C178" s="321"/>
      <c r="D178" s="321"/>
      <c r="E178" s="321"/>
      <c r="F178" s="321"/>
      <c r="G178" s="322"/>
      <c r="H178" s="320" t="s">
        <v>104</v>
      </c>
      <c r="I178" s="321"/>
      <c r="J178" s="321"/>
      <c r="K178" s="321"/>
      <c r="L178" s="321"/>
      <c r="M178" s="322"/>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44"/>
      <c r="C179" s="345"/>
      <c r="D179" s="345"/>
      <c r="E179" s="345"/>
      <c r="F179" s="345"/>
      <c r="G179" s="346"/>
      <c r="H179" s="417" t="s">
        <v>106</v>
      </c>
      <c r="I179" s="418"/>
      <c r="J179" s="418"/>
      <c r="K179" s="418"/>
      <c r="L179" s="418"/>
      <c r="M179" s="419"/>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47"/>
      <c r="C180" s="348"/>
      <c r="D180" s="348"/>
      <c r="E180" s="348"/>
      <c r="F180" s="348"/>
      <c r="G180" s="349"/>
      <c r="H180" s="417" t="s">
        <v>107</v>
      </c>
      <c r="I180" s="418"/>
      <c r="J180" s="418"/>
      <c r="K180" s="418"/>
      <c r="L180" s="418"/>
      <c r="M180" s="419"/>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47"/>
      <c r="C181" s="348"/>
      <c r="D181" s="348"/>
      <c r="E181" s="348"/>
      <c r="F181" s="348"/>
      <c r="G181" s="349"/>
      <c r="H181" s="417" t="s">
        <v>109</v>
      </c>
      <c r="I181" s="418"/>
      <c r="J181" s="418"/>
      <c r="K181" s="418"/>
      <c r="L181" s="418"/>
      <c r="M181" s="419"/>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50"/>
      <c r="C182" s="351"/>
      <c r="D182" s="351"/>
      <c r="E182" s="351"/>
      <c r="F182" s="351"/>
      <c r="G182" s="352"/>
      <c r="H182" s="320" t="s">
        <v>44</v>
      </c>
      <c r="I182" s="321"/>
      <c r="J182" s="321"/>
      <c r="K182" s="321"/>
      <c r="L182" s="321"/>
      <c r="M182" s="322"/>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20" t="s">
        <v>211</v>
      </c>
      <c r="C183" s="321"/>
      <c r="D183" s="321"/>
      <c r="E183" s="321"/>
      <c r="F183" s="321"/>
      <c r="G183" s="321"/>
      <c r="H183" s="321"/>
      <c r="I183" s="321"/>
      <c r="J183" s="321"/>
      <c r="K183" s="321"/>
      <c r="L183" s="321"/>
      <c r="M183" s="321"/>
      <c r="N183" s="322"/>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89" t="s">
        <v>125</v>
      </c>
      <c r="C184" s="390"/>
      <c r="D184" s="390"/>
      <c r="E184" s="390"/>
      <c r="F184" s="390"/>
      <c r="G184" s="390"/>
      <c r="H184" s="391"/>
      <c r="I184" s="320" t="s">
        <v>126</v>
      </c>
      <c r="J184" s="321"/>
      <c r="K184" s="321"/>
      <c r="L184" s="321"/>
      <c r="M184" s="321"/>
      <c r="N184" s="322"/>
      <c r="P184" s="320" t="s">
        <v>146</v>
      </c>
      <c r="Q184" s="322"/>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86" t="s">
        <v>127</v>
      </c>
      <c r="C185" s="387"/>
      <c r="D185" s="387"/>
      <c r="E185" s="387"/>
      <c r="F185" s="387"/>
      <c r="G185" s="387"/>
      <c r="H185" s="388"/>
      <c r="I185" s="362">
        <f>IF($H$10&gt;$R$31,$H$10,$R$31)</f>
        <v>533288000</v>
      </c>
      <c r="J185" s="363"/>
      <c r="K185" s="363"/>
      <c r="L185" s="363"/>
      <c r="M185" s="363"/>
      <c r="N185" s="364"/>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20" t="s">
        <v>212</v>
      </c>
      <c r="C186" s="321"/>
      <c r="D186" s="321"/>
      <c r="E186" s="321"/>
      <c r="F186" s="321"/>
      <c r="G186" s="321"/>
      <c r="H186" s="321"/>
      <c r="I186" s="321"/>
      <c r="J186" s="321"/>
      <c r="K186" s="321"/>
      <c r="L186" s="321"/>
      <c r="M186" s="321"/>
      <c r="N186" s="322"/>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20" t="s">
        <v>133</v>
      </c>
      <c r="C187" s="321"/>
      <c r="D187" s="321"/>
      <c r="E187" s="321"/>
      <c r="F187" s="321"/>
      <c r="G187" s="321"/>
      <c r="H187" s="321"/>
      <c r="I187" s="321"/>
      <c r="J187" s="321"/>
      <c r="K187" s="321"/>
      <c r="L187" s="321"/>
      <c r="M187" s="321"/>
      <c r="N187" s="322"/>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358"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59"/>
      <c r="P189" s="320" t="s">
        <v>153</v>
      </c>
      <c r="Q189" s="322"/>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59"/>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59"/>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59"/>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59"/>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59"/>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59"/>
      <c r="P195" s="320" t="s">
        <v>160</v>
      </c>
      <c r="Q195" s="322"/>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59"/>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59"/>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59"/>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59"/>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59"/>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59"/>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59"/>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59"/>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59"/>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59"/>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59"/>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59"/>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59"/>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60"/>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65" t="s">
        <v>167</v>
      </c>
      <c r="C210" s="365"/>
      <c r="D210" s="365"/>
      <c r="E210" s="365"/>
      <c r="F210" s="365"/>
      <c r="G210" s="365"/>
      <c r="H210" s="365"/>
      <c r="I210" s="365"/>
      <c r="J210" s="366">
        <f>SUM(C189:C209,G189:G209,K189:K209,E189:E209,I189:I209,K189:K209,M189:M209)</f>
        <v>0</v>
      </c>
      <c r="K210" s="366"/>
      <c r="L210" s="366"/>
      <c r="M210" s="366"/>
      <c r="N210" s="366"/>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20" t="s">
        <v>171</v>
      </c>
      <c r="C211" s="421"/>
      <c r="D211" s="421"/>
      <c r="E211" s="421"/>
      <c r="F211" s="421"/>
      <c r="G211" s="421"/>
      <c r="H211" s="421"/>
      <c r="I211" s="422"/>
      <c r="J211" s="320">
        <f>IFERROR(J210/(($B$23)*I177),0)</f>
        <v>0</v>
      </c>
      <c r="K211" s="321"/>
      <c r="L211" s="321"/>
      <c r="M211" s="321"/>
      <c r="N211" s="322"/>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20" t="s">
        <v>173</v>
      </c>
      <c r="C212" s="421"/>
      <c r="D212" s="421"/>
      <c r="E212" s="421"/>
      <c r="F212" s="421"/>
      <c r="G212" s="421"/>
      <c r="H212" s="421"/>
      <c r="I212" s="421"/>
      <c r="J212" s="421"/>
      <c r="K212" s="422"/>
      <c r="L212" s="426">
        <f>IF(J211&gt;P188,R188,IF(J211&gt;P187,R187,IF(J211&gt;P186,R186,R185)))</f>
        <v>60</v>
      </c>
      <c r="M212" s="427"/>
      <c r="N212" s="428"/>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20" t="s">
        <v>215</v>
      </c>
      <c r="C213" s="321"/>
      <c r="D213" s="321"/>
      <c r="E213" s="321"/>
      <c r="F213" s="321"/>
      <c r="G213" s="321"/>
      <c r="H213" s="321"/>
      <c r="I213" s="321"/>
      <c r="J213" s="321"/>
      <c r="K213" s="321"/>
      <c r="L213" s="321"/>
      <c r="M213" s="321"/>
      <c r="N213" s="322"/>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44"/>
      <c r="C214" s="345"/>
      <c r="D214" s="345"/>
      <c r="E214" s="345"/>
      <c r="F214" s="345"/>
      <c r="G214" s="346"/>
      <c r="H214" s="434" t="s">
        <v>177</v>
      </c>
      <c r="I214" s="435"/>
      <c r="J214" s="435"/>
      <c r="K214" s="436"/>
      <c r="L214" s="437">
        <f>$I$10</f>
        <v>0</v>
      </c>
      <c r="M214" s="438"/>
      <c r="N214" s="439"/>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47"/>
      <c r="C215" s="348"/>
      <c r="D215" s="348"/>
      <c r="E215" s="348"/>
      <c r="F215" s="348"/>
      <c r="G215" s="349"/>
      <c r="H215" s="434" t="s">
        <v>179</v>
      </c>
      <c r="I215" s="435"/>
      <c r="J215" s="435"/>
      <c r="K215" s="436"/>
      <c r="L215" s="437">
        <f>$J$10</f>
        <v>0</v>
      </c>
      <c r="M215" s="438"/>
      <c r="N215" s="439"/>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50"/>
      <c r="C216" s="351"/>
      <c r="D216" s="351"/>
      <c r="E216" s="351"/>
      <c r="F216" s="351"/>
      <c r="G216" s="352"/>
      <c r="H216" s="420" t="s">
        <v>181</v>
      </c>
      <c r="I216" s="421"/>
      <c r="J216" s="421"/>
      <c r="K216" s="422"/>
      <c r="L216" s="423">
        <f>IFERROR(ROUND(L214/L215,2),0)</f>
        <v>0</v>
      </c>
      <c r="M216" s="424"/>
      <c r="N216" s="425"/>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20" t="s">
        <v>183</v>
      </c>
      <c r="C217" s="421"/>
      <c r="D217" s="421"/>
      <c r="E217" s="421"/>
      <c r="F217" s="421"/>
      <c r="G217" s="421"/>
      <c r="H217" s="421"/>
      <c r="I217" s="421"/>
      <c r="J217" s="421"/>
      <c r="K217" s="422"/>
      <c r="L217" s="426">
        <f>IF(L216&gt;P194,R194,IF(L216&gt;P193,R193,IF(L216&gt;P192,R192,IF(L216&gt;P191,R191,R190))))</f>
        <v>20</v>
      </c>
      <c r="M217" s="427"/>
      <c r="N217" s="428"/>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20" t="s">
        <v>185</v>
      </c>
      <c r="C218" s="321"/>
      <c r="D218" s="321"/>
      <c r="E218" s="321"/>
      <c r="F218" s="321"/>
      <c r="G218" s="321"/>
      <c r="H218" s="321"/>
      <c r="I218" s="321"/>
      <c r="J218" s="321"/>
      <c r="K218" s="321"/>
      <c r="L218" s="321"/>
      <c r="M218" s="321"/>
      <c r="N218" s="322"/>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29" t="s">
        <v>94</v>
      </c>
      <c r="C219" s="430"/>
      <c r="D219" s="430"/>
      <c r="E219" s="430"/>
      <c r="F219" s="430"/>
      <c r="G219" s="430"/>
      <c r="H219" s="430"/>
      <c r="I219" s="430"/>
      <c r="J219" s="430"/>
      <c r="K219" s="430"/>
      <c r="L219" s="431"/>
      <c r="M219" s="432">
        <f>$K$10</f>
        <v>0</v>
      </c>
      <c r="N219" s="43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0" t="s">
        <v>188</v>
      </c>
      <c r="C220" s="421"/>
      <c r="D220" s="421"/>
      <c r="E220" s="421"/>
      <c r="F220" s="421"/>
      <c r="G220" s="421"/>
      <c r="H220" s="421"/>
      <c r="I220" s="421"/>
      <c r="J220" s="421"/>
      <c r="K220" s="422"/>
      <c r="L220" s="426">
        <f>IF(M219&gt;P199,R199,IF(M219&gt;P198,R198,IF(M219&gt;P197,R197,R196)))</f>
        <v>0</v>
      </c>
      <c r="M220" s="427"/>
      <c r="N220" s="428"/>
      <c r="P220" s="82" t="s">
        <v>201</v>
      </c>
      <c r="R220" s="83">
        <v>16</v>
      </c>
      <c r="Z220" s="440" t="s">
        <v>199</v>
      </c>
      <c r="AA220" s="441"/>
      <c r="AB220" s="441"/>
      <c r="AC220" s="441"/>
      <c r="AD220" s="442"/>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20" t="str">
        <f>"CAPACIDAD DE CONTRATACIÓN "&amp;$F$126</f>
        <v xml:space="preserve">CAPACIDAD DE CONTRATACIÓN </v>
      </c>
      <c r="C222" s="421"/>
      <c r="D222" s="421"/>
      <c r="E222" s="421"/>
      <c r="F222" s="421"/>
      <c r="G222" s="421"/>
      <c r="H222" s="421"/>
      <c r="I222" s="421"/>
      <c r="J222" s="421"/>
      <c r="K222" s="422"/>
      <c r="L222" s="362">
        <f>I185*((L212+L217+L220)/100)</f>
        <v>426630400</v>
      </c>
      <c r="M222" s="363"/>
      <c r="N222" s="364"/>
      <c r="P222" s="82" t="s">
        <v>202</v>
      </c>
      <c r="R222" s="83">
        <v>15</v>
      </c>
    </row>
    <row r="223" spans="2:31" ht="15.75" customHeight="1" x14ac:dyDescent="0.2">
      <c r="B223" s="420" t="str">
        <f>"SALDO DE LOS CONTRATOS EN EJECUCIÓN "&amp;$F$126</f>
        <v xml:space="preserve">SALDO DE LOS CONTRATOS EN EJECUCIÓN </v>
      </c>
      <c r="C223" s="421"/>
      <c r="D223" s="421"/>
      <c r="E223" s="421"/>
      <c r="F223" s="421"/>
      <c r="G223" s="421"/>
      <c r="H223" s="421"/>
      <c r="I223" s="421"/>
      <c r="J223" s="421"/>
      <c r="K223" s="422"/>
      <c r="L223" s="362">
        <f>$M$10</f>
        <v>0</v>
      </c>
      <c r="M223" s="363"/>
      <c r="N223" s="364"/>
      <c r="P223" s="82"/>
      <c r="R223" s="83"/>
    </row>
    <row r="224" spans="2:31" ht="15.75" customHeight="1" x14ac:dyDescent="0.2">
      <c r="B224" s="420" t="str">
        <f>"CAPACIDAD RESIDUAL DE CONTRATACIÓN "&amp;$F$126</f>
        <v xml:space="preserve">CAPACIDAD RESIDUAL DE CONTRATACIÓN </v>
      </c>
      <c r="C224" s="421"/>
      <c r="D224" s="421"/>
      <c r="E224" s="421"/>
      <c r="F224" s="421"/>
      <c r="G224" s="421"/>
      <c r="H224" s="421"/>
      <c r="I224" s="421"/>
      <c r="J224" s="421"/>
      <c r="K224" s="422"/>
      <c r="L224" s="362">
        <f>L222-L223</f>
        <v>426630400</v>
      </c>
      <c r="M224" s="363"/>
      <c r="N224" s="364"/>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72" t="str">
        <f>"INTEGRANTE 5: "&amp;$C$11</f>
        <v>INTEGRANTE 5: 0</v>
      </c>
      <c r="C226" s="373"/>
      <c r="D226" s="373"/>
      <c r="E226" s="373"/>
      <c r="F226" s="373"/>
      <c r="G226" s="373"/>
      <c r="H226" s="373"/>
      <c r="I226" s="373"/>
      <c r="J226" s="373"/>
      <c r="K226" s="373"/>
      <c r="L226" s="373"/>
      <c r="M226" s="373"/>
      <c r="N226" s="374"/>
      <c r="Q226" s="108" t="e">
        <f>#REF!</f>
        <v>#REF!</v>
      </c>
    </row>
    <row r="227" spans="2:31" ht="15.75" customHeight="1" thickBot="1" x14ac:dyDescent="0.3">
      <c r="B227" s="362" t="s">
        <v>102</v>
      </c>
      <c r="C227" s="363"/>
      <c r="D227" s="363"/>
      <c r="E227" s="363"/>
      <c r="F227" s="363"/>
      <c r="G227" s="363"/>
      <c r="H227" s="364"/>
      <c r="I227" s="414">
        <f>$G$11</f>
        <v>0</v>
      </c>
      <c r="J227" s="415"/>
      <c r="K227" s="415"/>
      <c r="L227" s="415"/>
      <c r="M227" s="415"/>
      <c r="N227" s="416"/>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20" t="s">
        <v>103</v>
      </c>
      <c r="C228" s="321"/>
      <c r="D228" s="321"/>
      <c r="E228" s="321"/>
      <c r="F228" s="321"/>
      <c r="G228" s="322"/>
      <c r="H228" s="320" t="s">
        <v>104</v>
      </c>
      <c r="I228" s="321"/>
      <c r="J228" s="321"/>
      <c r="K228" s="321"/>
      <c r="L228" s="321"/>
      <c r="M228" s="322"/>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44"/>
      <c r="C229" s="345"/>
      <c r="D229" s="345"/>
      <c r="E229" s="345"/>
      <c r="F229" s="345"/>
      <c r="G229" s="346"/>
      <c r="H229" s="417" t="s">
        <v>106</v>
      </c>
      <c r="I229" s="418"/>
      <c r="J229" s="418"/>
      <c r="K229" s="418"/>
      <c r="L229" s="418"/>
      <c r="M229" s="419"/>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47"/>
      <c r="C230" s="348"/>
      <c r="D230" s="348"/>
      <c r="E230" s="348"/>
      <c r="F230" s="348"/>
      <c r="G230" s="349"/>
      <c r="H230" s="417" t="s">
        <v>107</v>
      </c>
      <c r="I230" s="418"/>
      <c r="J230" s="418"/>
      <c r="K230" s="418"/>
      <c r="L230" s="418"/>
      <c r="M230" s="419"/>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47"/>
      <c r="C231" s="348"/>
      <c r="D231" s="348"/>
      <c r="E231" s="348"/>
      <c r="F231" s="348"/>
      <c r="G231" s="349"/>
      <c r="H231" s="417" t="s">
        <v>109</v>
      </c>
      <c r="I231" s="418"/>
      <c r="J231" s="418"/>
      <c r="K231" s="418"/>
      <c r="L231" s="418"/>
      <c r="M231" s="419"/>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50"/>
      <c r="C232" s="351"/>
      <c r="D232" s="351"/>
      <c r="E232" s="351"/>
      <c r="F232" s="351"/>
      <c r="G232" s="352"/>
      <c r="H232" s="320" t="s">
        <v>44</v>
      </c>
      <c r="I232" s="321"/>
      <c r="J232" s="321"/>
      <c r="K232" s="321"/>
      <c r="L232" s="321"/>
      <c r="M232" s="322"/>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20" t="s">
        <v>211</v>
      </c>
      <c r="C233" s="321"/>
      <c r="D233" s="321"/>
      <c r="E233" s="321"/>
      <c r="F233" s="321"/>
      <c r="G233" s="321"/>
      <c r="H233" s="321"/>
      <c r="I233" s="321"/>
      <c r="J233" s="321"/>
      <c r="K233" s="321"/>
      <c r="L233" s="321"/>
      <c r="M233" s="321"/>
      <c r="N233" s="322"/>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89" t="s">
        <v>125</v>
      </c>
      <c r="C234" s="390"/>
      <c r="D234" s="390"/>
      <c r="E234" s="390"/>
      <c r="F234" s="390"/>
      <c r="G234" s="390"/>
      <c r="H234" s="391"/>
      <c r="I234" s="320" t="s">
        <v>126</v>
      </c>
      <c r="J234" s="321"/>
      <c r="K234" s="321"/>
      <c r="L234" s="321"/>
      <c r="M234" s="321"/>
      <c r="N234" s="322"/>
      <c r="P234" s="320" t="s">
        <v>146</v>
      </c>
      <c r="Q234" s="322"/>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86" t="s">
        <v>127</v>
      </c>
      <c r="C235" s="387"/>
      <c r="D235" s="387"/>
      <c r="E235" s="387"/>
      <c r="F235" s="387"/>
      <c r="G235" s="387"/>
      <c r="H235" s="388"/>
      <c r="I235" s="362">
        <f>IF($H$11&gt;$R$31,$H$11,$R$31)</f>
        <v>533288000</v>
      </c>
      <c r="J235" s="363"/>
      <c r="K235" s="363"/>
      <c r="L235" s="363"/>
      <c r="M235" s="363"/>
      <c r="N235" s="364"/>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20" t="s">
        <v>212</v>
      </c>
      <c r="C236" s="321"/>
      <c r="D236" s="321"/>
      <c r="E236" s="321"/>
      <c r="F236" s="321"/>
      <c r="G236" s="321"/>
      <c r="H236" s="321"/>
      <c r="I236" s="321"/>
      <c r="J236" s="321"/>
      <c r="K236" s="321"/>
      <c r="L236" s="321"/>
      <c r="M236" s="321"/>
      <c r="N236" s="322"/>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20" t="s">
        <v>133</v>
      </c>
      <c r="C237" s="321"/>
      <c r="D237" s="321"/>
      <c r="E237" s="321"/>
      <c r="F237" s="321"/>
      <c r="G237" s="321"/>
      <c r="H237" s="321"/>
      <c r="I237" s="321"/>
      <c r="J237" s="321"/>
      <c r="K237" s="321"/>
      <c r="L237" s="321"/>
      <c r="M237" s="321"/>
      <c r="N237" s="322"/>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358"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59"/>
      <c r="P239" s="320" t="s">
        <v>153</v>
      </c>
      <c r="Q239" s="322"/>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59"/>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59"/>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59"/>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59"/>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59"/>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59"/>
      <c r="P245" s="320" t="s">
        <v>160</v>
      </c>
      <c r="Q245" s="322"/>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59"/>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59"/>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59"/>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59"/>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59"/>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59"/>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59"/>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59"/>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59"/>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59"/>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59"/>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59"/>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59"/>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60"/>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65" t="s">
        <v>167</v>
      </c>
      <c r="C260" s="365"/>
      <c r="D260" s="365"/>
      <c r="E260" s="365"/>
      <c r="F260" s="365"/>
      <c r="G260" s="365"/>
      <c r="H260" s="365"/>
      <c r="I260" s="365"/>
      <c r="J260" s="366">
        <f>SUM(C239:C259,G239:G259,K239:K259,E239:E259,I239:I259,K239:K259,M239:M259)</f>
        <v>0</v>
      </c>
      <c r="K260" s="366"/>
      <c r="L260" s="366"/>
      <c r="M260" s="366"/>
      <c r="N260" s="366"/>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20" t="s">
        <v>171</v>
      </c>
      <c r="C261" s="421"/>
      <c r="D261" s="421"/>
      <c r="E261" s="421"/>
      <c r="F261" s="421"/>
      <c r="G261" s="421"/>
      <c r="H261" s="421"/>
      <c r="I261" s="422"/>
      <c r="J261" s="320">
        <f>IFERROR(J260/(($B$23)*I227),0)</f>
        <v>0</v>
      </c>
      <c r="K261" s="321"/>
      <c r="L261" s="321"/>
      <c r="M261" s="321"/>
      <c r="N261" s="322"/>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20" t="s">
        <v>173</v>
      </c>
      <c r="C262" s="421"/>
      <c r="D262" s="421"/>
      <c r="E262" s="421"/>
      <c r="F262" s="421"/>
      <c r="G262" s="421"/>
      <c r="H262" s="421"/>
      <c r="I262" s="421"/>
      <c r="J262" s="421"/>
      <c r="K262" s="422"/>
      <c r="L262" s="426">
        <f>IF(J261&gt;P238,R238,IF(J261&gt;P237,R237,IF(J261&gt;P236,R236,R235)))</f>
        <v>60</v>
      </c>
      <c r="M262" s="427"/>
      <c r="N262" s="428"/>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20" t="s">
        <v>215</v>
      </c>
      <c r="C263" s="321"/>
      <c r="D263" s="321"/>
      <c r="E263" s="321"/>
      <c r="F263" s="321"/>
      <c r="G263" s="321"/>
      <c r="H263" s="321"/>
      <c r="I263" s="321"/>
      <c r="J263" s="321"/>
      <c r="K263" s="321"/>
      <c r="L263" s="321"/>
      <c r="M263" s="321"/>
      <c r="N263" s="322"/>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44"/>
      <c r="C264" s="345"/>
      <c r="D264" s="345"/>
      <c r="E264" s="345"/>
      <c r="F264" s="345"/>
      <c r="G264" s="346"/>
      <c r="H264" s="434" t="s">
        <v>177</v>
      </c>
      <c r="I264" s="435"/>
      <c r="J264" s="435"/>
      <c r="K264" s="436"/>
      <c r="L264" s="437">
        <f>$I$11</f>
        <v>0</v>
      </c>
      <c r="M264" s="438"/>
      <c r="N264" s="439"/>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47"/>
      <c r="C265" s="348"/>
      <c r="D265" s="348"/>
      <c r="E265" s="348"/>
      <c r="F265" s="348"/>
      <c r="G265" s="349"/>
      <c r="H265" s="434" t="s">
        <v>179</v>
      </c>
      <c r="I265" s="435"/>
      <c r="J265" s="435"/>
      <c r="K265" s="436"/>
      <c r="L265" s="437">
        <f>$J$11</f>
        <v>0</v>
      </c>
      <c r="M265" s="438"/>
      <c r="N265" s="439"/>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50"/>
      <c r="C266" s="351"/>
      <c r="D266" s="351"/>
      <c r="E266" s="351"/>
      <c r="F266" s="351"/>
      <c r="G266" s="352"/>
      <c r="H266" s="420" t="s">
        <v>181</v>
      </c>
      <c r="I266" s="421"/>
      <c r="J266" s="421"/>
      <c r="K266" s="422"/>
      <c r="L266" s="423">
        <f>IFERROR(ROUND(L264/L265,2),0)</f>
        <v>0</v>
      </c>
      <c r="M266" s="424"/>
      <c r="N266" s="425"/>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20" t="s">
        <v>183</v>
      </c>
      <c r="C267" s="421"/>
      <c r="D267" s="421"/>
      <c r="E267" s="421"/>
      <c r="F267" s="421"/>
      <c r="G267" s="421"/>
      <c r="H267" s="421"/>
      <c r="I267" s="421"/>
      <c r="J267" s="421"/>
      <c r="K267" s="422"/>
      <c r="L267" s="426">
        <f>IF(L266&gt;P244,R244,IF(L266&gt;P243,R243,IF(L266&gt;P242,R242,IF(L266&gt;P241,R241,R240))))</f>
        <v>20</v>
      </c>
      <c r="M267" s="427"/>
      <c r="N267" s="428"/>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20" t="s">
        <v>185</v>
      </c>
      <c r="C268" s="321"/>
      <c r="D268" s="321"/>
      <c r="E268" s="321"/>
      <c r="F268" s="321"/>
      <c r="G268" s="321"/>
      <c r="H268" s="321"/>
      <c r="I268" s="321"/>
      <c r="J268" s="321"/>
      <c r="K268" s="321"/>
      <c r="L268" s="321"/>
      <c r="M268" s="321"/>
      <c r="N268" s="322"/>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29" t="s">
        <v>94</v>
      </c>
      <c r="C269" s="430"/>
      <c r="D269" s="430"/>
      <c r="E269" s="430"/>
      <c r="F269" s="430"/>
      <c r="G269" s="430"/>
      <c r="H269" s="430"/>
      <c r="I269" s="430"/>
      <c r="J269" s="430"/>
      <c r="K269" s="430"/>
      <c r="L269" s="431"/>
      <c r="M269" s="432">
        <f>$K$11</f>
        <v>0</v>
      </c>
      <c r="N269" s="433"/>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20" t="s">
        <v>188</v>
      </c>
      <c r="C270" s="421"/>
      <c r="D270" s="421"/>
      <c r="E270" s="421"/>
      <c r="F270" s="421"/>
      <c r="G270" s="421"/>
      <c r="H270" s="421"/>
      <c r="I270" s="421"/>
      <c r="J270" s="421"/>
      <c r="K270" s="422"/>
      <c r="L270" s="426">
        <f>IF(M269&gt;P249,R249,IF(M269&gt;P248,R248,IF(M269&gt;P247,R247,R246)))</f>
        <v>0</v>
      </c>
      <c r="M270" s="427"/>
      <c r="N270" s="428"/>
      <c r="P270" s="82" t="s">
        <v>201</v>
      </c>
      <c r="R270" s="83">
        <v>16</v>
      </c>
      <c r="Z270" s="440" t="s">
        <v>199</v>
      </c>
      <c r="AA270" s="441"/>
      <c r="AB270" s="441"/>
      <c r="AC270" s="441"/>
      <c r="AD270" s="442"/>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20" t="str">
        <f>"CAPACIDAD DE CONTRATACIÓN "&amp;$F$126</f>
        <v xml:space="preserve">CAPACIDAD DE CONTRATACIÓN </v>
      </c>
      <c r="C272" s="421"/>
      <c r="D272" s="421"/>
      <c r="E272" s="421"/>
      <c r="F272" s="421"/>
      <c r="G272" s="421"/>
      <c r="H272" s="421"/>
      <c r="I272" s="421"/>
      <c r="J272" s="421"/>
      <c r="K272" s="422"/>
      <c r="L272" s="362">
        <f>I235*((L262+L267+L270)/100)</f>
        <v>426630400</v>
      </c>
      <c r="M272" s="363"/>
      <c r="N272" s="364"/>
      <c r="P272" s="82" t="s">
        <v>202</v>
      </c>
      <c r="R272" s="83">
        <v>15</v>
      </c>
    </row>
    <row r="273" spans="2:18" ht="15.75" customHeight="1" x14ac:dyDescent="0.2">
      <c r="B273" s="420" t="str">
        <f>"SALDO DE LOS CONTRATOS EN EJECUCIÓN "&amp;$F$126</f>
        <v xml:space="preserve">SALDO DE LOS CONTRATOS EN EJECUCIÓN </v>
      </c>
      <c r="C273" s="421"/>
      <c r="D273" s="421"/>
      <c r="E273" s="421"/>
      <c r="F273" s="421"/>
      <c r="G273" s="421"/>
      <c r="H273" s="421"/>
      <c r="I273" s="421"/>
      <c r="J273" s="421"/>
      <c r="K273" s="422"/>
      <c r="L273" s="362">
        <f>$M$11</f>
        <v>0</v>
      </c>
      <c r="M273" s="363"/>
      <c r="N273" s="364"/>
      <c r="P273" s="82"/>
      <c r="R273" s="83"/>
    </row>
    <row r="274" spans="2:18" ht="15.75" customHeight="1" x14ac:dyDescent="0.2">
      <c r="B274" s="420" t="str">
        <f>"CAPACIDAD RESIDUAL DE CONTRATACIÓN "&amp;$F$126</f>
        <v xml:space="preserve">CAPACIDAD RESIDUAL DE CONTRATACIÓN </v>
      </c>
      <c r="C274" s="421"/>
      <c r="D274" s="421"/>
      <c r="E274" s="421"/>
      <c r="F274" s="421"/>
      <c r="G274" s="421"/>
      <c r="H274" s="421"/>
      <c r="I274" s="421"/>
      <c r="J274" s="421"/>
      <c r="K274" s="422"/>
      <c r="L274" s="362">
        <f>L272-L273</f>
        <v>426630400</v>
      </c>
      <c r="M274" s="363"/>
      <c r="N274" s="364"/>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84" t="str">
        <f>"INTEGRANTE 1: "&amp;$C$7&amp;" PRESENTA ESTADOS FINANCIEROS DICTAMINADOS"</f>
        <v>INTEGRANTE 1: MARIA JOSE HERRERA GUZMAN PRESENTA ESTADOS FINANCIEROS DICTAMINADOS</v>
      </c>
      <c r="C277" s="385"/>
      <c r="D277" s="385"/>
      <c r="E277" s="385"/>
      <c r="F277" s="385"/>
      <c r="G277" s="385"/>
      <c r="H277" s="385"/>
      <c r="I277" s="385"/>
      <c r="J277" s="385"/>
      <c r="K277" s="409"/>
      <c r="L277" s="323" t="str">
        <f>IF(L278="","",IF(L279="","",IF(AND(L278="si",L279="si")=TRUE,"CUMPLE","NO CUMPLE")))</f>
        <v/>
      </c>
      <c r="M277" s="323"/>
      <c r="N277" s="323"/>
      <c r="P277" s="82" t="s">
        <v>205</v>
      </c>
      <c r="R277" s="83">
        <v>19</v>
      </c>
    </row>
    <row r="278" spans="2:18" ht="56.25" customHeight="1" x14ac:dyDescent="0.25">
      <c r="B278" s="378" t="s">
        <v>196</v>
      </c>
      <c r="C278" s="378"/>
      <c r="D278" s="378"/>
      <c r="E278" s="378"/>
      <c r="F278" s="378"/>
      <c r="G278" s="378"/>
      <c r="H278" s="378"/>
      <c r="I278" s="378"/>
      <c r="J278" s="378"/>
      <c r="K278" s="378"/>
      <c r="L278" s="379"/>
      <c r="M278" s="379"/>
      <c r="N278" s="379"/>
      <c r="P278" s="82"/>
      <c r="R278" s="83"/>
    </row>
    <row r="279" spans="2:18" ht="30" customHeight="1" x14ac:dyDescent="0.25">
      <c r="B279" s="378" t="s">
        <v>197</v>
      </c>
      <c r="C279" s="378"/>
      <c r="D279" s="378"/>
      <c r="E279" s="378"/>
      <c r="F279" s="378"/>
      <c r="G279" s="378"/>
      <c r="H279" s="378"/>
      <c r="I279" s="378"/>
      <c r="J279" s="378"/>
      <c r="K279" s="378"/>
      <c r="L279" s="379"/>
      <c r="M279" s="379"/>
      <c r="N279" s="379"/>
      <c r="P279" s="82"/>
      <c r="R279" s="83"/>
    </row>
    <row r="280" spans="2:18" ht="12.75" x14ac:dyDescent="0.25">
      <c r="B280" s="384" t="str">
        <f>"INTEGRANTE 2: "&amp;$C$8&amp;" PRESENTA ESTADOS FINANCIEROS DICTAMINADOS"</f>
        <v>INTEGRANTE 2: VENTURA &amp; CO. SAS PRESENTA ESTADOS FINANCIEROS DICTAMINADOS</v>
      </c>
      <c r="C280" s="385"/>
      <c r="D280" s="385"/>
      <c r="E280" s="385"/>
      <c r="F280" s="385"/>
      <c r="G280" s="385"/>
      <c r="H280" s="385"/>
      <c r="I280" s="385"/>
      <c r="J280" s="385"/>
      <c r="K280" s="409"/>
      <c r="L280" s="323" t="str">
        <f>IF(L281="","",IF(L282="","",IF(AND(L281="si",L282="si")=TRUE,"CUMPLE","NO CUMPLE")))</f>
        <v/>
      </c>
      <c r="M280" s="323"/>
      <c r="N280" s="323"/>
      <c r="P280" s="82" t="s">
        <v>206</v>
      </c>
      <c r="R280" s="83">
        <v>19</v>
      </c>
    </row>
    <row r="281" spans="2:18" ht="56.25" customHeight="1" x14ac:dyDescent="0.25">
      <c r="B281" s="378" t="s">
        <v>196</v>
      </c>
      <c r="C281" s="378"/>
      <c r="D281" s="378"/>
      <c r="E281" s="378"/>
      <c r="F281" s="378"/>
      <c r="G281" s="378"/>
      <c r="H281" s="378"/>
      <c r="I281" s="378"/>
      <c r="J281" s="378"/>
      <c r="K281" s="378"/>
      <c r="L281" s="379"/>
      <c r="M281" s="379"/>
      <c r="N281" s="379"/>
      <c r="P281" s="84"/>
      <c r="R281" s="85"/>
    </row>
    <row r="282" spans="2:18" ht="30" customHeight="1" x14ac:dyDescent="0.25">
      <c r="B282" s="378" t="s">
        <v>197</v>
      </c>
      <c r="C282" s="378"/>
      <c r="D282" s="378"/>
      <c r="E282" s="378"/>
      <c r="F282" s="378"/>
      <c r="G282" s="378"/>
      <c r="H282" s="378"/>
      <c r="I282" s="378"/>
      <c r="J282" s="378"/>
      <c r="K282" s="378"/>
      <c r="L282" s="379"/>
      <c r="M282" s="379"/>
      <c r="N282" s="379"/>
      <c r="P282" s="84"/>
      <c r="R282" s="85"/>
    </row>
    <row r="283" spans="2:18" ht="12.75" x14ac:dyDescent="0.25">
      <c r="B283" s="384" t="str">
        <f>"INTEGRANTE 3: "&amp;$C$9&amp;" PRESENTA ESTADOS FINANCIEROS DICTAMINADOS"</f>
        <v>INTEGRANTE 3: 0 PRESENTA ESTADOS FINANCIEROS DICTAMINADOS</v>
      </c>
      <c r="C283" s="385"/>
      <c r="D283" s="385"/>
      <c r="E283" s="385"/>
      <c r="F283" s="385"/>
      <c r="G283" s="385"/>
      <c r="H283" s="385"/>
      <c r="I283" s="385"/>
      <c r="J283" s="385"/>
      <c r="K283" s="409"/>
      <c r="L283" s="323" t="str">
        <f>IF(L284="","",IF(L285="","",IF(AND(L284="si",L285="si")=TRUE,"CUMPLE","NO CUMPLE")))</f>
        <v/>
      </c>
      <c r="M283" s="323"/>
      <c r="N283" s="323"/>
      <c r="P283" s="84"/>
      <c r="R283" s="85"/>
    </row>
    <row r="284" spans="2:18" ht="56.25" customHeight="1" x14ac:dyDescent="0.25">
      <c r="B284" s="378" t="s">
        <v>196</v>
      </c>
      <c r="C284" s="378"/>
      <c r="D284" s="378"/>
      <c r="E284" s="378"/>
      <c r="F284" s="378"/>
      <c r="G284" s="378"/>
      <c r="H284" s="378"/>
      <c r="I284" s="378"/>
      <c r="J284" s="378"/>
      <c r="K284" s="378"/>
      <c r="L284" s="379"/>
      <c r="M284" s="379"/>
      <c r="N284" s="379"/>
      <c r="P284" s="84"/>
      <c r="R284" s="85"/>
    </row>
    <row r="285" spans="2:18" ht="30" customHeight="1" x14ac:dyDescent="0.25">
      <c r="B285" s="378" t="s">
        <v>197</v>
      </c>
      <c r="C285" s="378"/>
      <c r="D285" s="378"/>
      <c r="E285" s="378"/>
      <c r="F285" s="378"/>
      <c r="G285" s="378"/>
      <c r="H285" s="378"/>
      <c r="I285" s="378"/>
      <c r="J285" s="378"/>
      <c r="K285" s="378"/>
      <c r="L285" s="379"/>
      <c r="M285" s="379"/>
      <c r="N285" s="379"/>
      <c r="P285" s="84"/>
      <c r="R285" s="85"/>
    </row>
    <row r="286" spans="2:18" ht="15.75" customHeight="1" x14ac:dyDescent="0.25">
      <c r="B286" s="384" t="str">
        <f>"INTEGRANTE 4: "&amp;$C$10&amp;" PRESENTA ESTADOS FINANCIEROS DICTAMINADOS"</f>
        <v>INTEGRANTE 4: 0 PRESENTA ESTADOS FINANCIEROS DICTAMINADOS</v>
      </c>
      <c r="C286" s="385"/>
      <c r="D286" s="385"/>
      <c r="E286" s="385"/>
      <c r="F286" s="385"/>
      <c r="G286" s="385"/>
      <c r="H286" s="385"/>
      <c r="I286" s="385"/>
      <c r="J286" s="385"/>
      <c r="K286" s="409"/>
      <c r="L286" s="323" t="str">
        <f>IF(L287="","",IF(L288="","",IF(AND(L287="si",L288="si")=TRUE,"CUMPLE","NO CUMPLE")))</f>
        <v/>
      </c>
      <c r="M286" s="323"/>
      <c r="N286" s="323"/>
    </row>
    <row r="287" spans="2:18" ht="56.25" customHeight="1" x14ac:dyDescent="0.25">
      <c r="B287" s="378" t="s">
        <v>196</v>
      </c>
      <c r="C287" s="378"/>
      <c r="D287" s="378"/>
      <c r="E287" s="378"/>
      <c r="F287" s="378"/>
      <c r="G287" s="378"/>
      <c r="H287" s="378"/>
      <c r="I287" s="378"/>
      <c r="J287" s="378"/>
      <c r="K287" s="378"/>
      <c r="L287" s="379"/>
      <c r="M287" s="379"/>
      <c r="N287" s="379"/>
    </row>
    <row r="288" spans="2:18" ht="30" customHeight="1" x14ac:dyDescent="0.25">
      <c r="B288" s="378" t="s">
        <v>197</v>
      </c>
      <c r="C288" s="378"/>
      <c r="D288" s="378"/>
      <c r="E288" s="378"/>
      <c r="F288" s="378"/>
      <c r="G288" s="378"/>
      <c r="H288" s="378"/>
      <c r="I288" s="378"/>
      <c r="J288" s="378"/>
      <c r="K288" s="378"/>
      <c r="L288" s="379"/>
      <c r="M288" s="379"/>
      <c r="N288" s="379"/>
    </row>
    <row r="289" spans="2:14" ht="15.75" customHeight="1" x14ac:dyDescent="0.25">
      <c r="B289" s="384" t="str">
        <f>"INTEGRANTE 5: "&amp;$C$11&amp;" PRESENTA ESTADOS FINANCIEROS DICTAMINADOS"</f>
        <v>INTEGRANTE 5: 0 PRESENTA ESTADOS FINANCIEROS DICTAMINADOS</v>
      </c>
      <c r="C289" s="385"/>
      <c r="D289" s="385"/>
      <c r="E289" s="385"/>
      <c r="F289" s="385"/>
      <c r="G289" s="385"/>
      <c r="H289" s="385"/>
      <c r="I289" s="385"/>
      <c r="J289" s="385"/>
      <c r="K289" s="409"/>
      <c r="L289" s="323" t="str">
        <f>IF(L290="","",IF(L291="","",IF(AND(L290="si",L291="si")=TRUE,"CUMPLE","NO CUMPLE")))</f>
        <v/>
      </c>
      <c r="M289" s="323"/>
      <c r="N289" s="323"/>
    </row>
    <row r="290" spans="2:14" ht="56.25" customHeight="1" x14ac:dyDescent="0.25">
      <c r="B290" s="378" t="s">
        <v>196</v>
      </c>
      <c r="C290" s="378"/>
      <c r="D290" s="378"/>
      <c r="E290" s="378"/>
      <c r="F290" s="378"/>
      <c r="G290" s="378"/>
      <c r="H290" s="378"/>
      <c r="I290" s="378"/>
      <c r="J290" s="378"/>
      <c r="K290" s="378"/>
      <c r="L290" s="379"/>
      <c r="M290" s="379"/>
      <c r="N290" s="379"/>
    </row>
    <row r="291" spans="2:14" ht="30" customHeight="1" x14ac:dyDescent="0.25">
      <c r="B291" s="378" t="s">
        <v>197</v>
      </c>
      <c r="C291" s="378"/>
      <c r="D291" s="378"/>
      <c r="E291" s="378"/>
      <c r="F291" s="378"/>
      <c r="G291" s="378"/>
      <c r="H291" s="378"/>
      <c r="I291" s="378"/>
      <c r="J291" s="378"/>
      <c r="K291" s="378"/>
      <c r="L291" s="379"/>
      <c r="M291" s="379"/>
      <c r="N291" s="379"/>
    </row>
    <row r="292" spans="2:14" ht="12.75" x14ac:dyDescent="0.25"/>
    <row r="293" spans="2:14" ht="12.75" x14ac:dyDescent="0.25">
      <c r="B293" s="443" t="s">
        <v>50</v>
      </c>
      <c r="C293" s="444"/>
      <c r="D293" s="444"/>
      <c r="E293" s="444"/>
      <c r="F293" s="444"/>
      <c r="G293" s="444"/>
      <c r="H293" s="444"/>
      <c r="I293" s="444"/>
      <c r="J293" s="444"/>
      <c r="K293" s="444"/>
      <c r="L293" s="444"/>
      <c r="M293" s="444"/>
      <c r="N293" s="445"/>
    </row>
    <row r="294" spans="2:14" ht="94.5" customHeight="1" x14ac:dyDescent="0.25">
      <c r="B294" s="380"/>
      <c r="C294" s="381"/>
      <c r="D294" s="381"/>
      <c r="E294" s="381"/>
      <c r="F294" s="381"/>
      <c r="G294" s="381"/>
      <c r="H294" s="381"/>
      <c r="I294" s="381"/>
      <c r="J294" s="381"/>
      <c r="K294" s="381"/>
      <c r="L294" s="381"/>
      <c r="M294" s="381"/>
      <c r="N294" s="382"/>
    </row>
    <row r="296" spans="2:14" ht="12.75" x14ac:dyDescent="0.25"/>
  </sheetData>
  <sheetProtection selectLockedCells="1"/>
  <mergeCells count="376">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60:I260"/>
    <mergeCell ref="J260:N260"/>
    <mergeCell ref="B261:I261"/>
    <mergeCell ref="J261:N261"/>
    <mergeCell ref="N238:N259"/>
    <mergeCell ref="P239:Q239"/>
    <mergeCell ref="B236:N236"/>
    <mergeCell ref="B237:N237"/>
    <mergeCell ref="P245:Q24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10:I210"/>
    <mergeCell ref="J210:N210"/>
    <mergeCell ref="B211:I211"/>
    <mergeCell ref="J211:N211"/>
    <mergeCell ref="N188:N209"/>
    <mergeCell ref="P195:Q195"/>
    <mergeCell ref="P189:Q189"/>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B110:I110"/>
    <mergeCell ref="J110:N110"/>
    <mergeCell ref="N88:N109"/>
    <mergeCell ref="P95:Q95"/>
    <mergeCell ref="P89:Q89"/>
    <mergeCell ref="P84:Q84"/>
    <mergeCell ref="B87:N87"/>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B60:I60"/>
    <mergeCell ref="J60:N60"/>
    <mergeCell ref="N38:N59"/>
    <mergeCell ref="P38:Q38"/>
    <mergeCell ref="P44:Q44"/>
    <mergeCell ref="B36:N36"/>
    <mergeCell ref="B37:N37"/>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(2)'!$B$130</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3.xml><?xml version="1.0" encoding="utf-8"?>
<ds:datastoreItem xmlns:ds="http://schemas.openxmlformats.org/officeDocument/2006/customXml" ds:itemID="{EB051114-76F7-461B-8792-140AA513D1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2026-05-02T23:11:16Z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