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2"/>
  <workbookPr/>
  <mc:AlternateContent xmlns:mc="http://schemas.openxmlformats.org/markup-compatibility/2006">
    <mc:Choice Requires="x15">
      <x15ac:absPath xmlns:x15ac="http://schemas.microsoft.com/office/spreadsheetml/2010/11/ac" url="/Users/mateocontreras/Desktop/HOMIL/PROCESOS/FEBRERO/REPUESTOS BIOMEDICOS/"/>
    </mc:Choice>
  </mc:AlternateContent>
  <xr:revisionPtr revIDLastSave="0" documentId="13_ncr:1_{1E787C0A-0628-FA47-AFD0-C036306CF128}" xr6:coauthVersionLast="47" xr6:coauthVersionMax="47" xr10:uidLastSave="{00000000-0000-0000-0000-000000000000}"/>
  <workbookProtection workbookAlgorithmName="SHA-512" workbookHashValue="R+tK4/wroGKYL1EI9dRrJv5JxKXgZScnw/Y40ior9R/QXapIq13lRepqeS3wZZwV3GNcpoqaSCw8/eZM94pCwg==" workbookSaltValue="W0DZTYR3rNlsAcF5p9kzzw==" workbookSpinCount="100000" lockStructure="1"/>
  <bookViews>
    <workbookView xWindow="0" yWindow="0" windowWidth="28800" windowHeight="18000" xr2:uid="{00000000-000D-0000-FFFF-FFFF00000000}"/>
  </bookViews>
  <sheets>
    <sheet name="contenedores" sheetId="1" r:id="rId1"/>
  </sheets>
  <definedNames>
    <definedName name="_xlnm._FilterDatabase" localSheetId="0" hidden="1">contenedores!$A$15:$Y$430</definedName>
    <definedName name="_xlnm.Print_Area" localSheetId="0">contenedores!$B$1:$L$548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35" i="1" l="1"/>
  <c r="L530" i="1"/>
  <c r="O116" i="1"/>
  <c r="M178" i="1"/>
  <c r="S23" i="1"/>
  <c r="S25" i="1"/>
  <c r="S35" i="1"/>
  <c r="S40" i="1"/>
  <c r="S42" i="1"/>
  <c r="S45" i="1"/>
  <c r="S47" i="1"/>
  <c r="S48" i="1"/>
  <c r="S49" i="1"/>
  <c r="S51" i="1"/>
  <c r="S52" i="1"/>
  <c r="S55" i="1"/>
  <c r="S77" i="1"/>
  <c r="S81" i="1"/>
  <c r="S82" i="1"/>
  <c r="S87" i="1"/>
  <c r="S98" i="1"/>
  <c r="S100" i="1"/>
  <c r="S105" i="1"/>
  <c r="S106" i="1"/>
  <c r="S107" i="1"/>
  <c r="S108" i="1"/>
  <c r="S113" i="1"/>
  <c r="S117" i="1"/>
  <c r="S118" i="1"/>
  <c r="S119" i="1"/>
  <c r="S123" i="1"/>
  <c r="S126" i="1"/>
  <c r="S129" i="1"/>
  <c r="S130" i="1"/>
  <c r="S132" i="1"/>
  <c r="S133" i="1"/>
  <c r="S134" i="1"/>
  <c r="S135" i="1"/>
  <c r="S138" i="1"/>
  <c r="S144" i="1"/>
  <c r="S146" i="1"/>
  <c r="S147" i="1"/>
  <c r="S151" i="1"/>
  <c r="S152" i="1"/>
  <c r="S156" i="1"/>
  <c r="S157" i="1"/>
  <c r="S162" i="1"/>
  <c r="S164" i="1"/>
  <c r="S168" i="1"/>
  <c r="S171" i="1"/>
  <c r="S172" i="1"/>
  <c r="S173" i="1"/>
  <c r="S174" i="1"/>
  <c r="S175" i="1"/>
  <c r="S178" i="1"/>
  <c r="S179" i="1"/>
  <c r="S180" i="1"/>
  <c r="S181" i="1"/>
  <c r="S184" i="1"/>
  <c r="S186" i="1"/>
  <c r="S187" i="1"/>
  <c r="S188" i="1"/>
  <c r="S190" i="1"/>
  <c r="S191" i="1"/>
  <c r="S192" i="1"/>
  <c r="S196" i="1"/>
  <c r="S198" i="1"/>
  <c r="S200" i="1"/>
  <c r="S201" i="1"/>
  <c r="S205" i="1"/>
  <c r="S206" i="1"/>
  <c r="S207" i="1"/>
  <c r="S208" i="1"/>
  <c r="S210" i="1"/>
  <c r="S211" i="1"/>
  <c r="S212" i="1"/>
  <c r="S216" i="1"/>
  <c r="S219" i="1"/>
  <c r="S221" i="1"/>
  <c r="S225" i="1"/>
  <c r="S227" i="1"/>
  <c r="S228" i="1"/>
  <c r="S233" i="1"/>
  <c r="S235" i="1"/>
  <c r="S238" i="1"/>
  <c r="S240" i="1"/>
  <c r="S241" i="1"/>
  <c r="S242" i="1"/>
  <c r="S247" i="1"/>
  <c r="S251" i="1"/>
  <c r="S252" i="1"/>
  <c r="S257" i="1"/>
  <c r="S263" i="1"/>
  <c r="S268" i="1"/>
  <c r="S273" i="1"/>
  <c r="S275" i="1"/>
  <c r="S278" i="1"/>
  <c r="S279" i="1"/>
  <c r="S280" i="1"/>
  <c r="S282" i="1"/>
  <c r="S283" i="1"/>
  <c r="S291" i="1"/>
  <c r="S298" i="1"/>
  <c r="S301" i="1"/>
  <c r="S305" i="1"/>
  <c r="S309" i="1"/>
  <c r="S315" i="1"/>
  <c r="S317" i="1"/>
  <c r="S319" i="1"/>
  <c r="S320" i="1"/>
  <c r="S323" i="1"/>
  <c r="S326" i="1"/>
  <c r="S327" i="1"/>
  <c r="S328" i="1"/>
  <c r="S335" i="1"/>
  <c r="S342" i="1"/>
  <c r="S346" i="1"/>
  <c r="S347" i="1"/>
  <c r="S350" i="1"/>
  <c r="S353" i="1"/>
  <c r="S357" i="1"/>
  <c r="S362" i="1"/>
  <c r="S363" i="1"/>
  <c r="S368" i="1"/>
  <c r="S377" i="1"/>
  <c r="S378" i="1"/>
  <c r="S381" i="1"/>
  <c r="S384" i="1"/>
  <c r="S387" i="1"/>
  <c r="S388" i="1"/>
  <c r="S389" i="1"/>
  <c r="S401" i="1"/>
  <c r="S403" i="1"/>
  <c r="S405" i="1"/>
  <c r="S414" i="1"/>
  <c r="S415" i="1"/>
  <c r="S418" i="1"/>
  <c r="S419" i="1"/>
  <c r="S422" i="1"/>
  <c r="S423" i="1"/>
  <c r="S428" i="1"/>
  <c r="S14" i="1"/>
  <c r="R14" i="1"/>
  <c r="P427" i="1"/>
  <c r="P428" i="1"/>
  <c r="P429" i="1"/>
  <c r="O429" i="1"/>
  <c r="O30" i="1"/>
  <c r="O29" i="1"/>
  <c r="O28" i="1"/>
  <c r="O27" i="1"/>
  <c r="O24" i="1"/>
  <c r="O22" i="1"/>
  <c r="O20" i="1"/>
  <c r="O17" i="1"/>
  <c r="L5" i="1" l="1"/>
  <c r="N29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16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O33" i="1"/>
  <c r="O36" i="1"/>
  <c r="O38" i="1"/>
  <c r="O39" i="1"/>
  <c r="O45" i="1"/>
  <c r="O46" i="1"/>
  <c r="O57" i="1"/>
  <c r="O58" i="1"/>
  <c r="O59" i="1"/>
  <c r="O62" i="1"/>
  <c r="O64" i="1"/>
  <c r="O66" i="1"/>
  <c r="O67" i="1"/>
  <c r="O74" i="1"/>
  <c r="O75" i="1"/>
  <c r="O76" i="1"/>
  <c r="O79" i="1"/>
  <c r="O81" i="1"/>
  <c r="O82" i="1"/>
  <c r="O83" i="1"/>
  <c r="O85" i="1"/>
  <c r="O88" i="1"/>
  <c r="O90" i="1"/>
  <c r="O101" i="1"/>
  <c r="O103" i="1"/>
  <c r="O104" i="1"/>
  <c r="O105" i="1"/>
  <c r="O110" i="1"/>
  <c r="O114" i="1"/>
  <c r="O119" i="1"/>
  <c r="O121" i="1"/>
  <c r="O122" i="1"/>
  <c r="O130" i="1"/>
  <c r="O131" i="1"/>
  <c r="O133" i="1"/>
  <c r="O134" i="1"/>
  <c r="O137" i="1"/>
  <c r="O142" i="1"/>
  <c r="O145" i="1"/>
  <c r="O146" i="1"/>
  <c r="O148" i="1"/>
  <c r="O150" i="1"/>
  <c r="O163" i="1"/>
  <c r="O164" i="1"/>
  <c r="O165" i="1"/>
  <c r="O166" i="1"/>
  <c r="O171" i="1"/>
  <c r="O177" i="1"/>
  <c r="O186" i="1"/>
  <c r="O191" i="1"/>
  <c r="O193" i="1"/>
  <c r="O194" i="1"/>
  <c r="O199" i="1"/>
  <c r="O202" i="1"/>
  <c r="O204" i="1"/>
  <c r="O205" i="1"/>
  <c r="O209" i="1"/>
  <c r="O211" i="1"/>
  <c r="O212" i="1"/>
  <c r="O214" i="1"/>
  <c r="O215" i="1"/>
  <c r="O217" i="1"/>
  <c r="O223" i="1"/>
  <c r="O231" i="1"/>
  <c r="O232" i="1"/>
  <c r="O238" i="1"/>
  <c r="O241" i="1"/>
  <c r="O242" i="1"/>
  <c r="O248" i="1"/>
  <c r="O249" i="1"/>
  <c r="O250" i="1"/>
  <c r="O260" i="1"/>
  <c r="O262" i="1"/>
  <c r="O270" i="1"/>
  <c r="O274" i="1"/>
  <c r="O276" i="1"/>
  <c r="O277" i="1"/>
  <c r="O284" i="1"/>
  <c r="O285" i="1"/>
  <c r="O286" i="1"/>
  <c r="O287" i="1"/>
  <c r="O289" i="1"/>
  <c r="O291" i="1"/>
  <c r="O294" i="1"/>
  <c r="O296" i="1"/>
  <c r="O299" i="1"/>
  <c r="O307" i="1"/>
  <c r="O308" i="1"/>
  <c r="O310" i="1"/>
  <c r="O315" i="1"/>
  <c r="O318" i="1"/>
  <c r="O319" i="1"/>
  <c r="O321" i="1"/>
  <c r="O325" i="1"/>
  <c r="O332" i="1"/>
  <c r="O334" i="1"/>
  <c r="O337" i="1"/>
  <c r="O338" i="1"/>
  <c r="O339" i="1"/>
  <c r="O342" i="1"/>
  <c r="O343" i="1"/>
  <c r="O347" i="1"/>
  <c r="O349" i="1"/>
  <c r="O351" i="1"/>
  <c r="O352" i="1"/>
  <c r="O358" i="1"/>
  <c r="O359" i="1"/>
  <c r="O362" i="1"/>
  <c r="O364" i="1"/>
  <c r="O367" i="1"/>
  <c r="O368" i="1"/>
  <c r="O374" i="1"/>
  <c r="O376" i="1"/>
  <c r="O379" i="1"/>
  <c r="O382" i="1"/>
  <c r="O386" i="1"/>
  <c r="O387" i="1"/>
  <c r="O390" i="1"/>
  <c r="O391" i="1"/>
  <c r="O392" i="1"/>
  <c r="O395" i="1"/>
  <c r="O396" i="1"/>
  <c r="O400" i="1"/>
  <c r="O406" i="1"/>
  <c r="O412" i="1"/>
  <c r="O413" i="1"/>
  <c r="O417" i="1"/>
  <c r="O418" i="1"/>
  <c r="O424" i="1"/>
  <c r="O427" i="1"/>
  <c r="O428" i="1"/>
  <c r="N17" i="1"/>
  <c r="N18" i="1"/>
  <c r="N19" i="1"/>
  <c r="N20" i="1"/>
  <c r="N21" i="1"/>
  <c r="N22" i="1"/>
  <c r="N23" i="1"/>
  <c r="N24" i="1"/>
  <c r="N25" i="1"/>
  <c r="N26" i="1"/>
  <c r="N27" i="1"/>
  <c r="N28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16" i="1"/>
  <c r="M17" i="1"/>
  <c r="S17" i="1" s="1"/>
  <c r="M18" i="1"/>
  <c r="S18" i="1" s="1"/>
  <c r="M19" i="1"/>
  <c r="S19" i="1" s="1"/>
  <c r="M20" i="1"/>
  <c r="S20" i="1" s="1"/>
  <c r="M21" i="1"/>
  <c r="S21" i="1" s="1"/>
  <c r="M22" i="1"/>
  <c r="S22" i="1" s="1"/>
  <c r="M24" i="1"/>
  <c r="S24" i="1" s="1"/>
  <c r="M26" i="1"/>
  <c r="S26" i="1" s="1"/>
  <c r="M27" i="1"/>
  <c r="S27" i="1" s="1"/>
  <c r="M28" i="1"/>
  <c r="S28" i="1" s="1"/>
  <c r="M29" i="1"/>
  <c r="S29" i="1" s="1"/>
  <c r="M30" i="1"/>
  <c r="S30" i="1" s="1"/>
  <c r="M31" i="1"/>
  <c r="S31" i="1" s="1"/>
  <c r="M32" i="1"/>
  <c r="S32" i="1" s="1"/>
  <c r="M33" i="1"/>
  <c r="S33" i="1" s="1"/>
  <c r="M34" i="1"/>
  <c r="S34" i="1" s="1"/>
  <c r="M36" i="1"/>
  <c r="S36" i="1" s="1"/>
  <c r="M37" i="1"/>
  <c r="S37" i="1" s="1"/>
  <c r="M38" i="1"/>
  <c r="S38" i="1" s="1"/>
  <c r="M39" i="1"/>
  <c r="S39" i="1" s="1"/>
  <c r="M41" i="1"/>
  <c r="S41" i="1" s="1"/>
  <c r="M43" i="1"/>
  <c r="S43" i="1" s="1"/>
  <c r="M44" i="1"/>
  <c r="S44" i="1" s="1"/>
  <c r="M46" i="1"/>
  <c r="S46" i="1" s="1"/>
  <c r="M50" i="1"/>
  <c r="S50" i="1" s="1"/>
  <c r="M53" i="1"/>
  <c r="S53" i="1" s="1"/>
  <c r="M54" i="1"/>
  <c r="S54" i="1" s="1"/>
  <c r="M56" i="1"/>
  <c r="S56" i="1" s="1"/>
  <c r="M57" i="1"/>
  <c r="S57" i="1" s="1"/>
  <c r="M58" i="1"/>
  <c r="S58" i="1" s="1"/>
  <c r="M59" i="1"/>
  <c r="S59" i="1" s="1"/>
  <c r="M60" i="1"/>
  <c r="S60" i="1" s="1"/>
  <c r="M61" i="1"/>
  <c r="S61" i="1" s="1"/>
  <c r="M62" i="1"/>
  <c r="S62" i="1" s="1"/>
  <c r="M63" i="1"/>
  <c r="S63" i="1" s="1"/>
  <c r="M64" i="1"/>
  <c r="S64" i="1" s="1"/>
  <c r="M65" i="1"/>
  <c r="S65" i="1" s="1"/>
  <c r="M66" i="1"/>
  <c r="S66" i="1" s="1"/>
  <c r="M67" i="1"/>
  <c r="S67" i="1" s="1"/>
  <c r="M68" i="1"/>
  <c r="S68" i="1" s="1"/>
  <c r="M69" i="1"/>
  <c r="S69" i="1" s="1"/>
  <c r="M70" i="1"/>
  <c r="S70" i="1" s="1"/>
  <c r="M71" i="1"/>
  <c r="S71" i="1" s="1"/>
  <c r="M72" i="1"/>
  <c r="S72" i="1" s="1"/>
  <c r="M73" i="1"/>
  <c r="S73" i="1" s="1"/>
  <c r="M74" i="1"/>
  <c r="S74" i="1" s="1"/>
  <c r="M75" i="1"/>
  <c r="S75" i="1" s="1"/>
  <c r="M76" i="1"/>
  <c r="S76" i="1" s="1"/>
  <c r="M78" i="1"/>
  <c r="S78" i="1" s="1"/>
  <c r="M79" i="1"/>
  <c r="S79" i="1" s="1"/>
  <c r="M80" i="1"/>
  <c r="S80" i="1" s="1"/>
  <c r="M83" i="1"/>
  <c r="S83" i="1" s="1"/>
  <c r="M84" i="1"/>
  <c r="S84" i="1" s="1"/>
  <c r="M85" i="1"/>
  <c r="S85" i="1" s="1"/>
  <c r="M86" i="1"/>
  <c r="S86" i="1" s="1"/>
  <c r="M88" i="1"/>
  <c r="S88" i="1" s="1"/>
  <c r="M89" i="1"/>
  <c r="S89" i="1" s="1"/>
  <c r="M90" i="1"/>
  <c r="S90" i="1" s="1"/>
  <c r="M91" i="1"/>
  <c r="S91" i="1" s="1"/>
  <c r="M92" i="1"/>
  <c r="S92" i="1" s="1"/>
  <c r="M93" i="1"/>
  <c r="S93" i="1" s="1"/>
  <c r="M94" i="1"/>
  <c r="S94" i="1" s="1"/>
  <c r="M95" i="1"/>
  <c r="S95" i="1" s="1"/>
  <c r="M96" i="1"/>
  <c r="S96" i="1" s="1"/>
  <c r="M97" i="1"/>
  <c r="S97" i="1" s="1"/>
  <c r="M99" i="1"/>
  <c r="S99" i="1" s="1"/>
  <c r="M101" i="1"/>
  <c r="S101" i="1" s="1"/>
  <c r="M102" i="1"/>
  <c r="S102" i="1" s="1"/>
  <c r="M103" i="1"/>
  <c r="S103" i="1" s="1"/>
  <c r="M104" i="1"/>
  <c r="S104" i="1" s="1"/>
  <c r="M109" i="1"/>
  <c r="S109" i="1" s="1"/>
  <c r="M110" i="1"/>
  <c r="S110" i="1" s="1"/>
  <c r="M111" i="1"/>
  <c r="S111" i="1" s="1"/>
  <c r="M112" i="1"/>
  <c r="S112" i="1" s="1"/>
  <c r="M114" i="1"/>
  <c r="S114" i="1" s="1"/>
  <c r="M115" i="1"/>
  <c r="S115" i="1" s="1"/>
  <c r="M116" i="1"/>
  <c r="S116" i="1" s="1"/>
  <c r="M120" i="1"/>
  <c r="S120" i="1" s="1"/>
  <c r="M121" i="1"/>
  <c r="S121" i="1" s="1"/>
  <c r="M122" i="1"/>
  <c r="S122" i="1" s="1"/>
  <c r="M124" i="1"/>
  <c r="S124" i="1" s="1"/>
  <c r="M125" i="1"/>
  <c r="S125" i="1" s="1"/>
  <c r="M127" i="1"/>
  <c r="S127" i="1" s="1"/>
  <c r="M128" i="1"/>
  <c r="S128" i="1" s="1"/>
  <c r="M131" i="1"/>
  <c r="S131" i="1" s="1"/>
  <c r="M136" i="1"/>
  <c r="S136" i="1" s="1"/>
  <c r="M137" i="1"/>
  <c r="S137" i="1" s="1"/>
  <c r="M139" i="1"/>
  <c r="S139" i="1" s="1"/>
  <c r="M140" i="1"/>
  <c r="S140" i="1" s="1"/>
  <c r="M141" i="1"/>
  <c r="S141" i="1" s="1"/>
  <c r="M142" i="1"/>
  <c r="S142" i="1" s="1"/>
  <c r="M143" i="1"/>
  <c r="S143" i="1" s="1"/>
  <c r="M145" i="1"/>
  <c r="S145" i="1" s="1"/>
  <c r="M148" i="1"/>
  <c r="S148" i="1" s="1"/>
  <c r="M149" i="1"/>
  <c r="S149" i="1" s="1"/>
  <c r="M150" i="1"/>
  <c r="S150" i="1" s="1"/>
  <c r="M153" i="1"/>
  <c r="S153" i="1" s="1"/>
  <c r="M154" i="1"/>
  <c r="S154" i="1" s="1"/>
  <c r="M155" i="1"/>
  <c r="S155" i="1" s="1"/>
  <c r="M158" i="1"/>
  <c r="S158" i="1" s="1"/>
  <c r="M159" i="1"/>
  <c r="S159" i="1" s="1"/>
  <c r="M160" i="1"/>
  <c r="S160" i="1" s="1"/>
  <c r="M161" i="1"/>
  <c r="S161" i="1" s="1"/>
  <c r="M163" i="1"/>
  <c r="S163" i="1" s="1"/>
  <c r="M165" i="1"/>
  <c r="S165" i="1" s="1"/>
  <c r="M166" i="1"/>
  <c r="S166" i="1" s="1"/>
  <c r="M167" i="1"/>
  <c r="S167" i="1" s="1"/>
  <c r="M169" i="1"/>
  <c r="S169" i="1" s="1"/>
  <c r="M170" i="1"/>
  <c r="S170" i="1" s="1"/>
  <c r="M176" i="1"/>
  <c r="S176" i="1" s="1"/>
  <c r="M177" i="1"/>
  <c r="S177" i="1" s="1"/>
  <c r="M182" i="1"/>
  <c r="S182" i="1" s="1"/>
  <c r="M183" i="1"/>
  <c r="S183" i="1" s="1"/>
  <c r="M185" i="1"/>
  <c r="S185" i="1" s="1"/>
  <c r="M189" i="1"/>
  <c r="S189" i="1" s="1"/>
  <c r="M193" i="1"/>
  <c r="S193" i="1" s="1"/>
  <c r="M194" i="1"/>
  <c r="S194" i="1" s="1"/>
  <c r="M195" i="1"/>
  <c r="S195" i="1" s="1"/>
  <c r="M197" i="1"/>
  <c r="S197" i="1" s="1"/>
  <c r="M199" i="1"/>
  <c r="S199" i="1" s="1"/>
  <c r="M202" i="1"/>
  <c r="S202" i="1" s="1"/>
  <c r="M203" i="1"/>
  <c r="S203" i="1" s="1"/>
  <c r="M204" i="1"/>
  <c r="S204" i="1" s="1"/>
  <c r="M209" i="1"/>
  <c r="S209" i="1" s="1"/>
  <c r="M213" i="1"/>
  <c r="S213" i="1" s="1"/>
  <c r="M214" i="1"/>
  <c r="S214" i="1" s="1"/>
  <c r="M215" i="1"/>
  <c r="S215" i="1" s="1"/>
  <c r="M217" i="1"/>
  <c r="S217" i="1" s="1"/>
  <c r="M218" i="1"/>
  <c r="S218" i="1" s="1"/>
  <c r="M220" i="1"/>
  <c r="S220" i="1" s="1"/>
  <c r="M222" i="1"/>
  <c r="S222" i="1" s="1"/>
  <c r="M223" i="1"/>
  <c r="S223" i="1" s="1"/>
  <c r="M224" i="1"/>
  <c r="S224" i="1" s="1"/>
  <c r="M226" i="1"/>
  <c r="S226" i="1" s="1"/>
  <c r="M229" i="1"/>
  <c r="S229" i="1" s="1"/>
  <c r="M230" i="1"/>
  <c r="S230" i="1" s="1"/>
  <c r="M231" i="1"/>
  <c r="S231" i="1" s="1"/>
  <c r="M232" i="1"/>
  <c r="S232" i="1" s="1"/>
  <c r="M234" i="1"/>
  <c r="S234" i="1" s="1"/>
  <c r="M236" i="1"/>
  <c r="S236" i="1" s="1"/>
  <c r="M237" i="1"/>
  <c r="S237" i="1" s="1"/>
  <c r="M239" i="1"/>
  <c r="S239" i="1" s="1"/>
  <c r="M243" i="1"/>
  <c r="S243" i="1" s="1"/>
  <c r="M244" i="1"/>
  <c r="S244" i="1" s="1"/>
  <c r="M245" i="1"/>
  <c r="S245" i="1" s="1"/>
  <c r="M246" i="1"/>
  <c r="S246" i="1" s="1"/>
  <c r="M248" i="1"/>
  <c r="S248" i="1" s="1"/>
  <c r="M249" i="1"/>
  <c r="S249" i="1" s="1"/>
  <c r="M250" i="1"/>
  <c r="S250" i="1" s="1"/>
  <c r="M253" i="1"/>
  <c r="S253" i="1" s="1"/>
  <c r="M254" i="1"/>
  <c r="S254" i="1" s="1"/>
  <c r="M255" i="1"/>
  <c r="S255" i="1" s="1"/>
  <c r="M256" i="1"/>
  <c r="S256" i="1" s="1"/>
  <c r="M258" i="1"/>
  <c r="S258" i="1" s="1"/>
  <c r="M259" i="1"/>
  <c r="S259" i="1" s="1"/>
  <c r="M260" i="1"/>
  <c r="S260" i="1" s="1"/>
  <c r="M261" i="1"/>
  <c r="S261" i="1" s="1"/>
  <c r="M262" i="1"/>
  <c r="S262" i="1" s="1"/>
  <c r="M264" i="1"/>
  <c r="S264" i="1" s="1"/>
  <c r="M265" i="1"/>
  <c r="S265" i="1" s="1"/>
  <c r="M266" i="1"/>
  <c r="S266" i="1" s="1"/>
  <c r="M267" i="1"/>
  <c r="S267" i="1" s="1"/>
  <c r="M269" i="1"/>
  <c r="S269" i="1" s="1"/>
  <c r="M270" i="1"/>
  <c r="S270" i="1" s="1"/>
  <c r="M271" i="1"/>
  <c r="S271" i="1" s="1"/>
  <c r="M272" i="1"/>
  <c r="S272" i="1" s="1"/>
  <c r="M274" i="1"/>
  <c r="S274" i="1" s="1"/>
  <c r="M276" i="1"/>
  <c r="S276" i="1" s="1"/>
  <c r="M277" i="1"/>
  <c r="S277" i="1" s="1"/>
  <c r="M281" i="1"/>
  <c r="S281" i="1" s="1"/>
  <c r="M284" i="1"/>
  <c r="S284" i="1" s="1"/>
  <c r="M285" i="1"/>
  <c r="S285" i="1" s="1"/>
  <c r="M286" i="1"/>
  <c r="S286" i="1" s="1"/>
  <c r="M287" i="1"/>
  <c r="S287" i="1" s="1"/>
  <c r="M288" i="1"/>
  <c r="S288" i="1" s="1"/>
  <c r="M289" i="1"/>
  <c r="S289" i="1" s="1"/>
  <c r="M290" i="1"/>
  <c r="S290" i="1" s="1"/>
  <c r="M292" i="1"/>
  <c r="S292" i="1" s="1"/>
  <c r="M293" i="1"/>
  <c r="S293" i="1" s="1"/>
  <c r="M294" i="1"/>
  <c r="S294" i="1" s="1"/>
  <c r="M295" i="1"/>
  <c r="S295" i="1" s="1"/>
  <c r="M296" i="1"/>
  <c r="S296" i="1" s="1"/>
  <c r="M297" i="1"/>
  <c r="S297" i="1" s="1"/>
  <c r="M299" i="1"/>
  <c r="S299" i="1" s="1"/>
  <c r="M300" i="1"/>
  <c r="S300" i="1" s="1"/>
  <c r="M302" i="1"/>
  <c r="S302" i="1" s="1"/>
  <c r="M303" i="1"/>
  <c r="S303" i="1" s="1"/>
  <c r="M304" i="1"/>
  <c r="S304" i="1" s="1"/>
  <c r="M306" i="1"/>
  <c r="S306" i="1" s="1"/>
  <c r="M307" i="1"/>
  <c r="S307" i="1" s="1"/>
  <c r="M308" i="1"/>
  <c r="S308" i="1" s="1"/>
  <c r="M310" i="1"/>
  <c r="S310" i="1" s="1"/>
  <c r="M311" i="1"/>
  <c r="S311" i="1" s="1"/>
  <c r="M312" i="1"/>
  <c r="S312" i="1" s="1"/>
  <c r="M313" i="1"/>
  <c r="S313" i="1" s="1"/>
  <c r="M314" i="1"/>
  <c r="S314" i="1" s="1"/>
  <c r="M316" i="1"/>
  <c r="S316" i="1" s="1"/>
  <c r="M318" i="1"/>
  <c r="S318" i="1" s="1"/>
  <c r="M321" i="1"/>
  <c r="S321" i="1" s="1"/>
  <c r="M322" i="1"/>
  <c r="S322" i="1" s="1"/>
  <c r="M324" i="1"/>
  <c r="S324" i="1" s="1"/>
  <c r="M325" i="1"/>
  <c r="S325" i="1" s="1"/>
  <c r="M329" i="1"/>
  <c r="S329" i="1" s="1"/>
  <c r="M330" i="1"/>
  <c r="S330" i="1" s="1"/>
  <c r="M331" i="1"/>
  <c r="S331" i="1" s="1"/>
  <c r="M332" i="1"/>
  <c r="S332" i="1" s="1"/>
  <c r="M333" i="1"/>
  <c r="S333" i="1" s="1"/>
  <c r="M334" i="1"/>
  <c r="S334" i="1" s="1"/>
  <c r="M336" i="1"/>
  <c r="S336" i="1" s="1"/>
  <c r="M337" i="1"/>
  <c r="S337" i="1" s="1"/>
  <c r="M338" i="1"/>
  <c r="S338" i="1" s="1"/>
  <c r="M339" i="1"/>
  <c r="S339" i="1" s="1"/>
  <c r="M340" i="1"/>
  <c r="S340" i="1" s="1"/>
  <c r="M341" i="1"/>
  <c r="S341" i="1" s="1"/>
  <c r="M343" i="1"/>
  <c r="S343" i="1" s="1"/>
  <c r="M344" i="1"/>
  <c r="S344" i="1" s="1"/>
  <c r="M345" i="1"/>
  <c r="S345" i="1" s="1"/>
  <c r="M348" i="1"/>
  <c r="S348" i="1" s="1"/>
  <c r="M349" i="1"/>
  <c r="S349" i="1" s="1"/>
  <c r="M351" i="1"/>
  <c r="S351" i="1" s="1"/>
  <c r="M352" i="1"/>
  <c r="S352" i="1" s="1"/>
  <c r="M354" i="1"/>
  <c r="S354" i="1" s="1"/>
  <c r="M355" i="1"/>
  <c r="S355" i="1" s="1"/>
  <c r="M356" i="1"/>
  <c r="S356" i="1" s="1"/>
  <c r="M358" i="1"/>
  <c r="S358" i="1" s="1"/>
  <c r="M359" i="1"/>
  <c r="S359" i="1" s="1"/>
  <c r="M360" i="1"/>
  <c r="S360" i="1" s="1"/>
  <c r="M361" i="1"/>
  <c r="S361" i="1" s="1"/>
  <c r="M364" i="1"/>
  <c r="S364" i="1" s="1"/>
  <c r="M365" i="1"/>
  <c r="S365" i="1" s="1"/>
  <c r="M366" i="1"/>
  <c r="S366" i="1" s="1"/>
  <c r="M367" i="1"/>
  <c r="S367" i="1" s="1"/>
  <c r="M369" i="1"/>
  <c r="S369" i="1" s="1"/>
  <c r="M370" i="1"/>
  <c r="S370" i="1" s="1"/>
  <c r="M371" i="1"/>
  <c r="S371" i="1" s="1"/>
  <c r="M372" i="1"/>
  <c r="S372" i="1" s="1"/>
  <c r="M373" i="1"/>
  <c r="S373" i="1" s="1"/>
  <c r="M374" i="1"/>
  <c r="S374" i="1" s="1"/>
  <c r="M375" i="1"/>
  <c r="S375" i="1" s="1"/>
  <c r="M376" i="1"/>
  <c r="S376" i="1" s="1"/>
  <c r="M379" i="1"/>
  <c r="S379" i="1" s="1"/>
  <c r="M380" i="1"/>
  <c r="S380" i="1" s="1"/>
  <c r="M382" i="1"/>
  <c r="S382" i="1" s="1"/>
  <c r="M383" i="1"/>
  <c r="S383" i="1" s="1"/>
  <c r="M385" i="1"/>
  <c r="S385" i="1" s="1"/>
  <c r="M386" i="1"/>
  <c r="S386" i="1" s="1"/>
  <c r="M390" i="1"/>
  <c r="S390" i="1" s="1"/>
  <c r="M391" i="1"/>
  <c r="S391" i="1" s="1"/>
  <c r="M392" i="1"/>
  <c r="S392" i="1" s="1"/>
  <c r="M393" i="1"/>
  <c r="S393" i="1" s="1"/>
  <c r="M394" i="1"/>
  <c r="S394" i="1" s="1"/>
  <c r="M395" i="1"/>
  <c r="S395" i="1" s="1"/>
  <c r="M396" i="1"/>
  <c r="S396" i="1" s="1"/>
  <c r="M397" i="1"/>
  <c r="S397" i="1" s="1"/>
  <c r="M398" i="1"/>
  <c r="S398" i="1" s="1"/>
  <c r="M399" i="1"/>
  <c r="S399" i="1" s="1"/>
  <c r="M400" i="1"/>
  <c r="S400" i="1" s="1"/>
  <c r="M402" i="1"/>
  <c r="S402" i="1" s="1"/>
  <c r="M404" i="1"/>
  <c r="S404" i="1" s="1"/>
  <c r="M406" i="1"/>
  <c r="S406" i="1" s="1"/>
  <c r="M407" i="1"/>
  <c r="S407" i="1" s="1"/>
  <c r="M408" i="1"/>
  <c r="S408" i="1" s="1"/>
  <c r="M409" i="1"/>
  <c r="S409" i="1" s="1"/>
  <c r="M410" i="1"/>
  <c r="S410" i="1" s="1"/>
  <c r="M411" i="1"/>
  <c r="S411" i="1" s="1"/>
  <c r="M412" i="1"/>
  <c r="S412" i="1" s="1"/>
  <c r="M413" i="1"/>
  <c r="S413" i="1" s="1"/>
  <c r="M416" i="1"/>
  <c r="S416" i="1" s="1"/>
  <c r="M417" i="1"/>
  <c r="S417" i="1" s="1"/>
  <c r="M420" i="1"/>
  <c r="S420" i="1" s="1"/>
  <c r="M421" i="1"/>
  <c r="S421" i="1" s="1"/>
  <c r="M424" i="1"/>
  <c r="S424" i="1" s="1"/>
  <c r="M425" i="1"/>
  <c r="S425" i="1" s="1"/>
  <c r="M426" i="1"/>
  <c r="S426" i="1" s="1"/>
  <c r="M427" i="1"/>
  <c r="S427" i="1" s="1"/>
  <c r="M429" i="1"/>
  <c r="S429" i="1" s="1"/>
  <c r="M16" i="1"/>
  <c r="L16" i="1"/>
  <c r="R16" i="1" s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B430" i="1"/>
  <c r="H529" i="1" l="1"/>
  <c r="H532" i="1"/>
  <c r="I528" i="1"/>
  <c r="H531" i="1"/>
  <c r="H528" i="1"/>
  <c r="F530" i="1"/>
  <c r="S16" i="1"/>
  <c r="E532" i="1"/>
  <c r="E529" i="1"/>
  <c r="E530" i="1"/>
  <c r="E528" i="1"/>
  <c r="E531" i="1"/>
  <c r="H530" i="1"/>
  <c r="L6" i="1"/>
  <c r="L7" i="1" s="1"/>
  <c r="L9" i="1"/>
  <c r="E534" i="1" l="1"/>
  <c r="E533" i="1"/>
  <c r="E535" i="1" s="1"/>
  <c r="G532" i="1"/>
  <c r="G531" i="1"/>
  <c r="G530" i="1"/>
  <c r="G529" i="1"/>
  <c r="G528" i="1"/>
  <c r="I529" i="1"/>
  <c r="F529" i="1"/>
  <c r="F528" i="1"/>
  <c r="F534" i="1" s="1"/>
  <c r="F532" i="1"/>
  <c r="H533" i="1"/>
  <c r="H534" i="1"/>
  <c r="T17" i="1"/>
  <c r="U17" i="1"/>
  <c r="V17" i="1"/>
  <c r="W17" i="1"/>
  <c r="T18" i="1"/>
  <c r="U18" i="1"/>
  <c r="V18" i="1"/>
  <c r="W18" i="1"/>
  <c r="T19" i="1"/>
  <c r="U19" i="1"/>
  <c r="V19" i="1"/>
  <c r="W19" i="1"/>
  <c r="T20" i="1"/>
  <c r="U20" i="1"/>
  <c r="V20" i="1"/>
  <c r="W20" i="1"/>
  <c r="T21" i="1"/>
  <c r="U21" i="1"/>
  <c r="V21" i="1"/>
  <c r="W21" i="1"/>
  <c r="T22" i="1"/>
  <c r="U22" i="1"/>
  <c r="V22" i="1"/>
  <c r="W22" i="1"/>
  <c r="T23" i="1"/>
  <c r="U23" i="1"/>
  <c r="V23" i="1"/>
  <c r="W23" i="1"/>
  <c r="T24" i="1"/>
  <c r="U24" i="1"/>
  <c r="V24" i="1"/>
  <c r="W24" i="1"/>
  <c r="T25" i="1"/>
  <c r="U25" i="1"/>
  <c r="V25" i="1"/>
  <c r="W25" i="1"/>
  <c r="T26" i="1"/>
  <c r="U26" i="1"/>
  <c r="V26" i="1"/>
  <c r="W26" i="1"/>
  <c r="T27" i="1"/>
  <c r="U27" i="1"/>
  <c r="V27" i="1"/>
  <c r="W27" i="1"/>
  <c r="T28" i="1"/>
  <c r="U28" i="1"/>
  <c r="V28" i="1"/>
  <c r="W28" i="1"/>
  <c r="T29" i="1"/>
  <c r="U29" i="1"/>
  <c r="V29" i="1"/>
  <c r="W29" i="1"/>
  <c r="T30" i="1"/>
  <c r="U30" i="1"/>
  <c r="V30" i="1"/>
  <c r="W30" i="1"/>
  <c r="T31" i="1"/>
  <c r="U31" i="1"/>
  <c r="V31" i="1"/>
  <c r="W31" i="1"/>
  <c r="T32" i="1"/>
  <c r="U32" i="1"/>
  <c r="V32" i="1"/>
  <c r="W32" i="1"/>
  <c r="T33" i="1"/>
  <c r="U33" i="1"/>
  <c r="V33" i="1"/>
  <c r="W33" i="1"/>
  <c r="T34" i="1"/>
  <c r="U34" i="1"/>
  <c r="V34" i="1"/>
  <c r="W34" i="1"/>
  <c r="T35" i="1"/>
  <c r="U35" i="1"/>
  <c r="V35" i="1"/>
  <c r="W35" i="1"/>
  <c r="T36" i="1"/>
  <c r="U36" i="1"/>
  <c r="V36" i="1"/>
  <c r="W36" i="1"/>
  <c r="T37" i="1"/>
  <c r="U37" i="1"/>
  <c r="V37" i="1"/>
  <c r="W37" i="1"/>
  <c r="T38" i="1"/>
  <c r="U38" i="1"/>
  <c r="V38" i="1"/>
  <c r="W38" i="1"/>
  <c r="T39" i="1"/>
  <c r="U39" i="1"/>
  <c r="V39" i="1"/>
  <c r="W39" i="1"/>
  <c r="T40" i="1"/>
  <c r="U40" i="1"/>
  <c r="V40" i="1"/>
  <c r="W40" i="1"/>
  <c r="T41" i="1"/>
  <c r="U41" i="1"/>
  <c r="V41" i="1"/>
  <c r="W41" i="1"/>
  <c r="T42" i="1"/>
  <c r="U42" i="1"/>
  <c r="V42" i="1"/>
  <c r="W42" i="1"/>
  <c r="T43" i="1"/>
  <c r="U43" i="1"/>
  <c r="V43" i="1"/>
  <c r="W43" i="1"/>
  <c r="T44" i="1"/>
  <c r="U44" i="1"/>
  <c r="V44" i="1"/>
  <c r="W44" i="1"/>
  <c r="T45" i="1"/>
  <c r="U45" i="1"/>
  <c r="V45" i="1"/>
  <c r="W45" i="1"/>
  <c r="T46" i="1"/>
  <c r="U46" i="1"/>
  <c r="V46" i="1"/>
  <c r="W46" i="1"/>
  <c r="T47" i="1"/>
  <c r="U47" i="1"/>
  <c r="V47" i="1"/>
  <c r="W47" i="1"/>
  <c r="T48" i="1"/>
  <c r="U48" i="1"/>
  <c r="V48" i="1"/>
  <c r="W48" i="1"/>
  <c r="T49" i="1"/>
  <c r="U49" i="1"/>
  <c r="V49" i="1"/>
  <c r="W49" i="1"/>
  <c r="T50" i="1"/>
  <c r="U50" i="1"/>
  <c r="V50" i="1"/>
  <c r="W50" i="1"/>
  <c r="T51" i="1"/>
  <c r="U51" i="1"/>
  <c r="V51" i="1"/>
  <c r="W51" i="1"/>
  <c r="T52" i="1"/>
  <c r="U52" i="1"/>
  <c r="V52" i="1"/>
  <c r="W52" i="1"/>
  <c r="T53" i="1"/>
  <c r="U53" i="1"/>
  <c r="V53" i="1"/>
  <c r="W53" i="1"/>
  <c r="T54" i="1"/>
  <c r="U54" i="1"/>
  <c r="V54" i="1"/>
  <c r="W54" i="1"/>
  <c r="T55" i="1"/>
  <c r="U55" i="1"/>
  <c r="V55" i="1"/>
  <c r="W55" i="1"/>
  <c r="T56" i="1"/>
  <c r="U56" i="1"/>
  <c r="V56" i="1"/>
  <c r="W56" i="1"/>
  <c r="T57" i="1"/>
  <c r="U57" i="1"/>
  <c r="V57" i="1"/>
  <c r="W57" i="1"/>
  <c r="T58" i="1"/>
  <c r="U58" i="1"/>
  <c r="V58" i="1"/>
  <c r="W58" i="1"/>
  <c r="T59" i="1"/>
  <c r="U59" i="1"/>
  <c r="V59" i="1"/>
  <c r="W59" i="1"/>
  <c r="T60" i="1"/>
  <c r="U60" i="1"/>
  <c r="V60" i="1"/>
  <c r="W60" i="1"/>
  <c r="T61" i="1"/>
  <c r="U61" i="1"/>
  <c r="V61" i="1"/>
  <c r="W61" i="1"/>
  <c r="T62" i="1"/>
  <c r="U62" i="1"/>
  <c r="V62" i="1"/>
  <c r="W62" i="1"/>
  <c r="T63" i="1"/>
  <c r="U63" i="1"/>
  <c r="V63" i="1"/>
  <c r="W63" i="1"/>
  <c r="T64" i="1"/>
  <c r="U64" i="1"/>
  <c r="V64" i="1"/>
  <c r="W64" i="1"/>
  <c r="T65" i="1"/>
  <c r="U65" i="1"/>
  <c r="V65" i="1"/>
  <c r="W65" i="1"/>
  <c r="T66" i="1"/>
  <c r="U66" i="1"/>
  <c r="V66" i="1"/>
  <c r="W66" i="1"/>
  <c r="T67" i="1"/>
  <c r="U67" i="1"/>
  <c r="V67" i="1"/>
  <c r="W67" i="1"/>
  <c r="T68" i="1"/>
  <c r="U68" i="1"/>
  <c r="V68" i="1"/>
  <c r="W68" i="1"/>
  <c r="T69" i="1"/>
  <c r="U69" i="1"/>
  <c r="V69" i="1"/>
  <c r="W69" i="1"/>
  <c r="T70" i="1"/>
  <c r="U70" i="1"/>
  <c r="V70" i="1"/>
  <c r="W70" i="1"/>
  <c r="T71" i="1"/>
  <c r="U71" i="1"/>
  <c r="V71" i="1"/>
  <c r="W71" i="1"/>
  <c r="T72" i="1"/>
  <c r="U72" i="1"/>
  <c r="V72" i="1"/>
  <c r="W72" i="1"/>
  <c r="T73" i="1"/>
  <c r="U73" i="1"/>
  <c r="V73" i="1"/>
  <c r="W73" i="1"/>
  <c r="T74" i="1"/>
  <c r="U74" i="1"/>
  <c r="V74" i="1"/>
  <c r="W74" i="1"/>
  <c r="T75" i="1"/>
  <c r="U75" i="1"/>
  <c r="V75" i="1"/>
  <c r="W75" i="1"/>
  <c r="T76" i="1"/>
  <c r="U76" i="1"/>
  <c r="V76" i="1"/>
  <c r="W76" i="1"/>
  <c r="T77" i="1"/>
  <c r="U77" i="1"/>
  <c r="V77" i="1"/>
  <c r="W77" i="1"/>
  <c r="T78" i="1"/>
  <c r="U78" i="1"/>
  <c r="V78" i="1"/>
  <c r="W78" i="1"/>
  <c r="T79" i="1"/>
  <c r="U79" i="1"/>
  <c r="V79" i="1"/>
  <c r="W79" i="1"/>
  <c r="T80" i="1"/>
  <c r="U80" i="1"/>
  <c r="V80" i="1"/>
  <c r="W80" i="1"/>
  <c r="T81" i="1"/>
  <c r="U81" i="1"/>
  <c r="V81" i="1"/>
  <c r="W81" i="1"/>
  <c r="T82" i="1"/>
  <c r="U82" i="1"/>
  <c r="V82" i="1"/>
  <c r="W82" i="1"/>
  <c r="T83" i="1"/>
  <c r="U83" i="1"/>
  <c r="V83" i="1"/>
  <c r="W83" i="1"/>
  <c r="T84" i="1"/>
  <c r="U84" i="1"/>
  <c r="V84" i="1"/>
  <c r="W84" i="1"/>
  <c r="T85" i="1"/>
  <c r="U85" i="1"/>
  <c r="V85" i="1"/>
  <c r="W85" i="1"/>
  <c r="T86" i="1"/>
  <c r="U86" i="1"/>
  <c r="V86" i="1"/>
  <c r="W86" i="1"/>
  <c r="T87" i="1"/>
  <c r="U87" i="1"/>
  <c r="V87" i="1"/>
  <c r="W87" i="1"/>
  <c r="T88" i="1"/>
  <c r="U88" i="1"/>
  <c r="V88" i="1"/>
  <c r="W88" i="1"/>
  <c r="T89" i="1"/>
  <c r="U89" i="1"/>
  <c r="V89" i="1"/>
  <c r="W89" i="1"/>
  <c r="T90" i="1"/>
  <c r="U90" i="1"/>
  <c r="V90" i="1"/>
  <c r="W90" i="1"/>
  <c r="T91" i="1"/>
  <c r="U91" i="1"/>
  <c r="V91" i="1"/>
  <c r="W91" i="1"/>
  <c r="T92" i="1"/>
  <c r="U92" i="1"/>
  <c r="V92" i="1"/>
  <c r="W92" i="1"/>
  <c r="T93" i="1"/>
  <c r="U93" i="1"/>
  <c r="V93" i="1"/>
  <c r="W93" i="1"/>
  <c r="T94" i="1"/>
  <c r="U94" i="1"/>
  <c r="V94" i="1"/>
  <c r="W94" i="1"/>
  <c r="T95" i="1"/>
  <c r="U95" i="1"/>
  <c r="V95" i="1"/>
  <c r="W95" i="1"/>
  <c r="T96" i="1"/>
  <c r="U96" i="1"/>
  <c r="V96" i="1"/>
  <c r="W96" i="1"/>
  <c r="T97" i="1"/>
  <c r="U97" i="1"/>
  <c r="V97" i="1"/>
  <c r="W97" i="1"/>
  <c r="T98" i="1"/>
  <c r="U98" i="1"/>
  <c r="V98" i="1"/>
  <c r="W98" i="1"/>
  <c r="T99" i="1"/>
  <c r="U99" i="1"/>
  <c r="V99" i="1"/>
  <c r="W99" i="1"/>
  <c r="T100" i="1"/>
  <c r="U100" i="1"/>
  <c r="V100" i="1"/>
  <c r="W100" i="1"/>
  <c r="T101" i="1"/>
  <c r="U101" i="1"/>
  <c r="V101" i="1"/>
  <c r="W101" i="1"/>
  <c r="T102" i="1"/>
  <c r="U102" i="1"/>
  <c r="V102" i="1"/>
  <c r="W102" i="1"/>
  <c r="T103" i="1"/>
  <c r="U103" i="1"/>
  <c r="V103" i="1"/>
  <c r="W103" i="1"/>
  <c r="T104" i="1"/>
  <c r="U104" i="1"/>
  <c r="V104" i="1"/>
  <c r="W104" i="1"/>
  <c r="T105" i="1"/>
  <c r="U105" i="1"/>
  <c r="V105" i="1"/>
  <c r="W105" i="1"/>
  <c r="T106" i="1"/>
  <c r="U106" i="1"/>
  <c r="V106" i="1"/>
  <c r="W106" i="1"/>
  <c r="T107" i="1"/>
  <c r="U107" i="1"/>
  <c r="V107" i="1"/>
  <c r="W107" i="1"/>
  <c r="T108" i="1"/>
  <c r="U108" i="1"/>
  <c r="V108" i="1"/>
  <c r="W108" i="1"/>
  <c r="T109" i="1"/>
  <c r="U109" i="1"/>
  <c r="V109" i="1"/>
  <c r="W109" i="1"/>
  <c r="T110" i="1"/>
  <c r="U110" i="1"/>
  <c r="V110" i="1"/>
  <c r="W110" i="1"/>
  <c r="T111" i="1"/>
  <c r="U111" i="1"/>
  <c r="V111" i="1"/>
  <c r="W111" i="1"/>
  <c r="T112" i="1"/>
  <c r="U112" i="1"/>
  <c r="V112" i="1"/>
  <c r="W112" i="1"/>
  <c r="T113" i="1"/>
  <c r="U113" i="1"/>
  <c r="V113" i="1"/>
  <c r="W113" i="1"/>
  <c r="T114" i="1"/>
  <c r="U114" i="1"/>
  <c r="V114" i="1"/>
  <c r="W114" i="1"/>
  <c r="T115" i="1"/>
  <c r="U115" i="1"/>
  <c r="V115" i="1"/>
  <c r="W115" i="1"/>
  <c r="T116" i="1"/>
  <c r="U116" i="1"/>
  <c r="V116" i="1"/>
  <c r="W116" i="1"/>
  <c r="T117" i="1"/>
  <c r="U117" i="1"/>
  <c r="V117" i="1"/>
  <c r="W117" i="1"/>
  <c r="T118" i="1"/>
  <c r="U118" i="1"/>
  <c r="V118" i="1"/>
  <c r="W118" i="1"/>
  <c r="T119" i="1"/>
  <c r="U119" i="1"/>
  <c r="V119" i="1"/>
  <c r="W119" i="1"/>
  <c r="T120" i="1"/>
  <c r="U120" i="1"/>
  <c r="V120" i="1"/>
  <c r="W120" i="1"/>
  <c r="T121" i="1"/>
  <c r="U121" i="1"/>
  <c r="V121" i="1"/>
  <c r="W121" i="1"/>
  <c r="T122" i="1"/>
  <c r="U122" i="1"/>
  <c r="V122" i="1"/>
  <c r="W122" i="1"/>
  <c r="T123" i="1"/>
  <c r="U123" i="1"/>
  <c r="V123" i="1"/>
  <c r="W123" i="1"/>
  <c r="T124" i="1"/>
  <c r="U124" i="1"/>
  <c r="V124" i="1"/>
  <c r="W124" i="1"/>
  <c r="T125" i="1"/>
  <c r="U125" i="1"/>
  <c r="V125" i="1"/>
  <c r="W125" i="1"/>
  <c r="T126" i="1"/>
  <c r="U126" i="1"/>
  <c r="V126" i="1"/>
  <c r="W126" i="1"/>
  <c r="T127" i="1"/>
  <c r="U127" i="1"/>
  <c r="V127" i="1"/>
  <c r="W127" i="1"/>
  <c r="T128" i="1"/>
  <c r="U128" i="1"/>
  <c r="V128" i="1"/>
  <c r="W128" i="1"/>
  <c r="T129" i="1"/>
  <c r="U129" i="1"/>
  <c r="V129" i="1"/>
  <c r="W129" i="1"/>
  <c r="T130" i="1"/>
  <c r="U130" i="1"/>
  <c r="V130" i="1"/>
  <c r="W130" i="1"/>
  <c r="T131" i="1"/>
  <c r="U131" i="1"/>
  <c r="V131" i="1"/>
  <c r="W131" i="1"/>
  <c r="T132" i="1"/>
  <c r="U132" i="1"/>
  <c r="V132" i="1"/>
  <c r="W132" i="1"/>
  <c r="T133" i="1"/>
  <c r="U133" i="1"/>
  <c r="V133" i="1"/>
  <c r="W133" i="1"/>
  <c r="T134" i="1"/>
  <c r="U134" i="1"/>
  <c r="V134" i="1"/>
  <c r="W134" i="1"/>
  <c r="T135" i="1"/>
  <c r="U135" i="1"/>
  <c r="V135" i="1"/>
  <c r="W135" i="1"/>
  <c r="T136" i="1"/>
  <c r="U136" i="1"/>
  <c r="V136" i="1"/>
  <c r="W136" i="1"/>
  <c r="T137" i="1"/>
  <c r="U137" i="1"/>
  <c r="V137" i="1"/>
  <c r="W137" i="1"/>
  <c r="T138" i="1"/>
  <c r="U138" i="1"/>
  <c r="V138" i="1"/>
  <c r="W138" i="1"/>
  <c r="T139" i="1"/>
  <c r="U139" i="1"/>
  <c r="V139" i="1"/>
  <c r="W139" i="1"/>
  <c r="T140" i="1"/>
  <c r="U140" i="1"/>
  <c r="V140" i="1"/>
  <c r="W140" i="1"/>
  <c r="T141" i="1"/>
  <c r="U141" i="1"/>
  <c r="V141" i="1"/>
  <c r="W141" i="1"/>
  <c r="T142" i="1"/>
  <c r="U142" i="1"/>
  <c r="V142" i="1"/>
  <c r="W142" i="1"/>
  <c r="T143" i="1"/>
  <c r="U143" i="1"/>
  <c r="V143" i="1"/>
  <c r="W143" i="1"/>
  <c r="T144" i="1"/>
  <c r="U144" i="1"/>
  <c r="V144" i="1"/>
  <c r="W144" i="1"/>
  <c r="T145" i="1"/>
  <c r="U145" i="1"/>
  <c r="V145" i="1"/>
  <c r="W145" i="1"/>
  <c r="T146" i="1"/>
  <c r="U146" i="1"/>
  <c r="V146" i="1"/>
  <c r="W146" i="1"/>
  <c r="T147" i="1"/>
  <c r="U147" i="1"/>
  <c r="V147" i="1"/>
  <c r="W147" i="1"/>
  <c r="T148" i="1"/>
  <c r="U148" i="1"/>
  <c r="V148" i="1"/>
  <c r="W148" i="1"/>
  <c r="T149" i="1"/>
  <c r="U149" i="1"/>
  <c r="V149" i="1"/>
  <c r="W149" i="1"/>
  <c r="T150" i="1"/>
  <c r="U150" i="1"/>
  <c r="V150" i="1"/>
  <c r="W150" i="1"/>
  <c r="T151" i="1"/>
  <c r="U151" i="1"/>
  <c r="V151" i="1"/>
  <c r="W151" i="1"/>
  <c r="T152" i="1"/>
  <c r="U152" i="1"/>
  <c r="V152" i="1"/>
  <c r="W152" i="1"/>
  <c r="T153" i="1"/>
  <c r="U153" i="1"/>
  <c r="V153" i="1"/>
  <c r="W153" i="1"/>
  <c r="T154" i="1"/>
  <c r="U154" i="1"/>
  <c r="V154" i="1"/>
  <c r="W154" i="1"/>
  <c r="T155" i="1"/>
  <c r="U155" i="1"/>
  <c r="V155" i="1"/>
  <c r="W155" i="1"/>
  <c r="T156" i="1"/>
  <c r="U156" i="1"/>
  <c r="V156" i="1"/>
  <c r="W156" i="1"/>
  <c r="T157" i="1"/>
  <c r="U157" i="1"/>
  <c r="V157" i="1"/>
  <c r="W157" i="1"/>
  <c r="T158" i="1"/>
  <c r="U158" i="1"/>
  <c r="V158" i="1"/>
  <c r="W158" i="1"/>
  <c r="T159" i="1"/>
  <c r="U159" i="1"/>
  <c r="V159" i="1"/>
  <c r="W159" i="1"/>
  <c r="T160" i="1"/>
  <c r="U160" i="1"/>
  <c r="V160" i="1"/>
  <c r="W160" i="1"/>
  <c r="T161" i="1"/>
  <c r="U161" i="1"/>
  <c r="V161" i="1"/>
  <c r="W161" i="1"/>
  <c r="T162" i="1"/>
  <c r="U162" i="1"/>
  <c r="V162" i="1"/>
  <c r="W162" i="1"/>
  <c r="T163" i="1"/>
  <c r="U163" i="1"/>
  <c r="V163" i="1"/>
  <c r="W163" i="1"/>
  <c r="T164" i="1"/>
  <c r="U164" i="1"/>
  <c r="V164" i="1"/>
  <c r="W164" i="1"/>
  <c r="T165" i="1"/>
  <c r="U165" i="1"/>
  <c r="V165" i="1"/>
  <c r="W165" i="1"/>
  <c r="T166" i="1"/>
  <c r="U166" i="1"/>
  <c r="V166" i="1"/>
  <c r="W166" i="1"/>
  <c r="T167" i="1"/>
  <c r="U167" i="1"/>
  <c r="V167" i="1"/>
  <c r="W167" i="1"/>
  <c r="T168" i="1"/>
  <c r="U168" i="1"/>
  <c r="V168" i="1"/>
  <c r="W168" i="1"/>
  <c r="T169" i="1"/>
  <c r="U169" i="1"/>
  <c r="V169" i="1"/>
  <c r="W169" i="1"/>
  <c r="T170" i="1"/>
  <c r="U170" i="1"/>
  <c r="V170" i="1"/>
  <c r="W170" i="1"/>
  <c r="T171" i="1"/>
  <c r="U171" i="1"/>
  <c r="V171" i="1"/>
  <c r="W171" i="1"/>
  <c r="T172" i="1"/>
  <c r="U172" i="1"/>
  <c r="V172" i="1"/>
  <c r="W172" i="1"/>
  <c r="T173" i="1"/>
  <c r="U173" i="1"/>
  <c r="V173" i="1"/>
  <c r="W173" i="1"/>
  <c r="T174" i="1"/>
  <c r="U174" i="1"/>
  <c r="V174" i="1"/>
  <c r="W174" i="1"/>
  <c r="T175" i="1"/>
  <c r="U175" i="1"/>
  <c r="V175" i="1"/>
  <c r="W175" i="1"/>
  <c r="T176" i="1"/>
  <c r="U176" i="1"/>
  <c r="V176" i="1"/>
  <c r="W176" i="1"/>
  <c r="T177" i="1"/>
  <c r="U177" i="1"/>
  <c r="V177" i="1"/>
  <c r="W177" i="1"/>
  <c r="T178" i="1"/>
  <c r="U178" i="1"/>
  <c r="V178" i="1"/>
  <c r="W178" i="1"/>
  <c r="T179" i="1"/>
  <c r="U179" i="1"/>
  <c r="V179" i="1"/>
  <c r="W179" i="1"/>
  <c r="T180" i="1"/>
  <c r="U180" i="1"/>
  <c r="V180" i="1"/>
  <c r="W180" i="1"/>
  <c r="T181" i="1"/>
  <c r="U181" i="1"/>
  <c r="V181" i="1"/>
  <c r="W181" i="1"/>
  <c r="T182" i="1"/>
  <c r="U182" i="1"/>
  <c r="V182" i="1"/>
  <c r="W182" i="1"/>
  <c r="T183" i="1"/>
  <c r="U183" i="1"/>
  <c r="V183" i="1"/>
  <c r="W183" i="1"/>
  <c r="T184" i="1"/>
  <c r="U184" i="1"/>
  <c r="V184" i="1"/>
  <c r="W184" i="1"/>
  <c r="T185" i="1"/>
  <c r="U185" i="1"/>
  <c r="V185" i="1"/>
  <c r="W185" i="1"/>
  <c r="T186" i="1"/>
  <c r="U186" i="1"/>
  <c r="V186" i="1"/>
  <c r="W186" i="1"/>
  <c r="T187" i="1"/>
  <c r="U187" i="1"/>
  <c r="V187" i="1"/>
  <c r="W187" i="1"/>
  <c r="T188" i="1"/>
  <c r="U188" i="1"/>
  <c r="V188" i="1"/>
  <c r="W188" i="1"/>
  <c r="T189" i="1"/>
  <c r="U189" i="1"/>
  <c r="V189" i="1"/>
  <c r="W189" i="1"/>
  <c r="T190" i="1"/>
  <c r="U190" i="1"/>
  <c r="V190" i="1"/>
  <c r="W190" i="1"/>
  <c r="T191" i="1"/>
  <c r="U191" i="1"/>
  <c r="V191" i="1"/>
  <c r="W191" i="1"/>
  <c r="T192" i="1"/>
  <c r="U192" i="1"/>
  <c r="V192" i="1"/>
  <c r="W192" i="1"/>
  <c r="T193" i="1"/>
  <c r="U193" i="1"/>
  <c r="V193" i="1"/>
  <c r="W193" i="1"/>
  <c r="T194" i="1"/>
  <c r="U194" i="1"/>
  <c r="V194" i="1"/>
  <c r="W194" i="1"/>
  <c r="T195" i="1"/>
  <c r="U195" i="1"/>
  <c r="V195" i="1"/>
  <c r="W195" i="1"/>
  <c r="T196" i="1"/>
  <c r="U196" i="1"/>
  <c r="V196" i="1"/>
  <c r="W196" i="1"/>
  <c r="T197" i="1"/>
  <c r="U197" i="1"/>
  <c r="V197" i="1"/>
  <c r="W197" i="1"/>
  <c r="T198" i="1"/>
  <c r="U198" i="1"/>
  <c r="V198" i="1"/>
  <c r="W198" i="1"/>
  <c r="T199" i="1"/>
  <c r="U199" i="1"/>
  <c r="V199" i="1"/>
  <c r="W199" i="1"/>
  <c r="T200" i="1"/>
  <c r="U200" i="1"/>
  <c r="V200" i="1"/>
  <c r="W200" i="1"/>
  <c r="T201" i="1"/>
  <c r="U201" i="1"/>
  <c r="V201" i="1"/>
  <c r="W201" i="1"/>
  <c r="T202" i="1"/>
  <c r="U202" i="1"/>
  <c r="V202" i="1"/>
  <c r="W202" i="1"/>
  <c r="T203" i="1"/>
  <c r="U203" i="1"/>
  <c r="V203" i="1"/>
  <c r="W203" i="1"/>
  <c r="T204" i="1"/>
  <c r="U204" i="1"/>
  <c r="V204" i="1"/>
  <c r="W204" i="1"/>
  <c r="T205" i="1"/>
  <c r="U205" i="1"/>
  <c r="V205" i="1"/>
  <c r="W205" i="1"/>
  <c r="T206" i="1"/>
  <c r="U206" i="1"/>
  <c r="V206" i="1"/>
  <c r="W206" i="1"/>
  <c r="T207" i="1"/>
  <c r="U207" i="1"/>
  <c r="V207" i="1"/>
  <c r="W207" i="1"/>
  <c r="T208" i="1"/>
  <c r="U208" i="1"/>
  <c r="V208" i="1"/>
  <c r="W208" i="1"/>
  <c r="T209" i="1"/>
  <c r="U209" i="1"/>
  <c r="V209" i="1"/>
  <c r="W209" i="1"/>
  <c r="T210" i="1"/>
  <c r="U210" i="1"/>
  <c r="V210" i="1"/>
  <c r="W210" i="1"/>
  <c r="T211" i="1"/>
  <c r="U211" i="1"/>
  <c r="V211" i="1"/>
  <c r="W211" i="1"/>
  <c r="T212" i="1"/>
  <c r="U212" i="1"/>
  <c r="V212" i="1"/>
  <c r="W212" i="1"/>
  <c r="T213" i="1"/>
  <c r="U213" i="1"/>
  <c r="V213" i="1"/>
  <c r="W213" i="1"/>
  <c r="T214" i="1"/>
  <c r="U214" i="1"/>
  <c r="V214" i="1"/>
  <c r="W214" i="1"/>
  <c r="T215" i="1"/>
  <c r="U215" i="1"/>
  <c r="V215" i="1"/>
  <c r="W215" i="1"/>
  <c r="T216" i="1"/>
  <c r="U216" i="1"/>
  <c r="V216" i="1"/>
  <c r="W216" i="1"/>
  <c r="T217" i="1"/>
  <c r="U217" i="1"/>
  <c r="V217" i="1"/>
  <c r="W217" i="1"/>
  <c r="T218" i="1"/>
  <c r="U218" i="1"/>
  <c r="V218" i="1"/>
  <c r="W218" i="1"/>
  <c r="T219" i="1"/>
  <c r="U219" i="1"/>
  <c r="V219" i="1"/>
  <c r="W219" i="1"/>
  <c r="T220" i="1"/>
  <c r="U220" i="1"/>
  <c r="V220" i="1"/>
  <c r="W220" i="1"/>
  <c r="T221" i="1"/>
  <c r="U221" i="1"/>
  <c r="V221" i="1"/>
  <c r="W221" i="1"/>
  <c r="T222" i="1"/>
  <c r="U222" i="1"/>
  <c r="V222" i="1"/>
  <c r="W222" i="1"/>
  <c r="T223" i="1"/>
  <c r="U223" i="1"/>
  <c r="V223" i="1"/>
  <c r="W223" i="1"/>
  <c r="T224" i="1"/>
  <c r="U224" i="1"/>
  <c r="V224" i="1"/>
  <c r="W224" i="1"/>
  <c r="T225" i="1"/>
  <c r="U225" i="1"/>
  <c r="V225" i="1"/>
  <c r="W225" i="1"/>
  <c r="T226" i="1"/>
  <c r="U226" i="1"/>
  <c r="V226" i="1"/>
  <c r="W226" i="1"/>
  <c r="T227" i="1"/>
  <c r="U227" i="1"/>
  <c r="V227" i="1"/>
  <c r="W227" i="1"/>
  <c r="T228" i="1"/>
  <c r="U228" i="1"/>
  <c r="V228" i="1"/>
  <c r="W228" i="1"/>
  <c r="T229" i="1"/>
  <c r="U229" i="1"/>
  <c r="V229" i="1"/>
  <c r="W229" i="1"/>
  <c r="T230" i="1"/>
  <c r="U230" i="1"/>
  <c r="V230" i="1"/>
  <c r="W230" i="1"/>
  <c r="T231" i="1"/>
  <c r="U231" i="1"/>
  <c r="V231" i="1"/>
  <c r="W231" i="1"/>
  <c r="T232" i="1"/>
  <c r="U232" i="1"/>
  <c r="V232" i="1"/>
  <c r="W232" i="1"/>
  <c r="T233" i="1"/>
  <c r="U233" i="1"/>
  <c r="V233" i="1"/>
  <c r="W233" i="1"/>
  <c r="T234" i="1"/>
  <c r="U234" i="1"/>
  <c r="V234" i="1"/>
  <c r="W234" i="1"/>
  <c r="T235" i="1"/>
  <c r="U235" i="1"/>
  <c r="V235" i="1"/>
  <c r="W235" i="1"/>
  <c r="T236" i="1"/>
  <c r="U236" i="1"/>
  <c r="V236" i="1"/>
  <c r="W236" i="1"/>
  <c r="T237" i="1"/>
  <c r="U237" i="1"/>
  <c r="V237" i="1"/>
  <c r="W237" i="1"/>
  <c r="T238" i="1"/>
  <c r="U238" i="1"/>
  <c r="V238" i="1"/>
  <c r="W238" i="1"/>
  <c r="T239" i="1"/>
  <c r="U239" i="1"/>
  <c r="V239" i="1"/>
  <c r="W239" i="1"/>
  <c r="T240" i="1"/>
  <c r="U240" i="1"/>
  <c r="V240" i="1"/>
  <c r="W240" i="1"/>
  <c r="T241" i="1"/>
  <c r="U241" i="1"/>
  <c r="V241" i="1"/>
  <c r="W241" i="1"/>
  <c r="T242" i="1"/>
  <c r="U242" i="1"/>
  <c r="V242" i="1"/>
  <c r="W242" i="1"/>
  <c r="T243" i="1"/>
  <c r="U243" i="1"/>
  <c r="V243" i="1"/>
  <c r="W243" i="1"/>
  <c r="T244" i="1"/>
  <c r="U244" i="1"/>
  <c r="V244" i="1"/>
  <c r="W244" i="1"/>
  <c r="T245" i="1"/>
  <c r="U245" i="1"/>
  <c r="V245" i="1"/>
  <c r="W245" i="1"/>
  <c r="T246" i="1"/>
  <c r="U246" i="1"/>
  <c r="V246" i="1"/>
  <c r="W246" i="1"/>
  <c r="T247" i="1"/>
  <c r="U247" i="1"/>
  <c r="V247" i="1"/>
  <c r="W247" i="1"/>
  <c r="T248" i="1"/>
  <c r="U248" i="1"/>
  <c r="V248" i="1"/>
  <c r="W248" i="1"/>
  <c r="T249" i="1"/>
  <c r="U249" i="1"/>
  <c r="V249" i="1"/>
  <c r="W249" i="1"/>
  <c r="T250" i="1"/>
  <c r="U250" i="1"/>
  <c r="V250" i="1"/>
  <c r="W250" i="1"/>
  <c r="T251" i="1"/>
  <c r="U251" i="1"/>
  <c r="V251" i="1"/>
  <c r="W251" i="1"/>
  <c r="T252" i="1"/>
  <c r="U252" i="1"/>
  <c r="V252" i="1"/>
  <c r="W252" i="1"/>
  <c r="T253" i="1"/>
  <c r="U253" i="1"/>
  <c r="V253" i="1"/>
  <c r="W253" i="1"/>
  <c r="T254" i="1"/>
  <c r="U254" i="1"/>
  <c r="V254" i="1"/>
  <c r="W254" i="1"/>
  <c r="T255" i="1"/>
  <c r="U255" i="1"/>
  <c r="V255" i="1"/>
  <c r="W255" i="1"/>
  <c r="T256" i="1"/>
  <c r="U256" i="1"/>
  <c r="V256" i="1"/>
  <c r="W256" i="1"/>
  <c r="T257" i="1"/>
  <c r="U257" i="1"/>
  <c r="V257" i="1"/>
  <c r="W257" i="1"/>
  <c r="T258" i="1"/>
  <c r="U258" i="1"/>
  <c r="V258" i="1"/>
  <c r="W258" i="1"/>
  <c r="T259" i="1"/>
  <c r="U259" i="1"/>
  <c r="V259" i="1"/>
  <c r="W259" i="1"/>
  <c r="T260" i="1"/>
  <c r="U260" i="1"/>
  <c r="V260" i="1"/>
  <c r="W260" i="1"/>
  <c r="T261" i="1"/>
  <c r="U261" i="1"/>
  <c r="V261" i="1"/>
  <c r="W261" i="1"/>
  <c r="T262" i="1"/>
  <c r="U262" i="1"/>
  <c r="V262" i="1"/>
  <c r="W262" i="1"/>
  <c r="T263" i="1"/>
  <c r="U263" i="1"/>
  <c r="V263" i="1"/>
  <c r="W263" i="1"/>
  <c r="T264" i="1"/>
  <c r="U264" i="1"/>
  <c r="V264" i="1"/>
  <c r="W264" i="1"/>
  <c r="T265" i="1"/>
  <c r="U265" i="1"/>
  <c r="V265" i="1"/>
  <c r="W265" i="1"/>
  <c r="T266" i="1"/>
  <c r="U266" i="1"/>
  <c r="V266" i="1"/>
  <c r="W266" i="1"/>
  <c r="T267" i="1"/>
  <c r="U267" i="1"/>
  <c r="V267" i="1"/>
  <c r="W267" i="1"/>
  <c r="T268" i="1"/>
  <c r="U268" i="1"/>
  <c r="V268" i="1"/>
  <c r="W268" i="1"/>
  <c r="T269" i="1"/>
  <c r="U269" i="1"/>
  <c r="V269" i="1"/>
  <c r="W269" i="1"/>
  <c r="T270" i="1"/>
  <c r="U270" i="1"/>
  <c r="V270" i="1"/>
  <c r="W270" i="1"/>
  <c r="T271" i="1"/>
  <c r="U271" i="1"/>
  <c r="V271" i="1"/>
  <c r="W271" i="1"/>
  <c r="T272" i="1"/>
  <c r="U272" i="1"/>
  <c r="V272" i="1"/>
  <c r="W272" i="1"/>
  <c r="T273" i="1"/>
  <c r="U273" i="1"/>
  <c r="V273" i="1"/>
  <c r="W273" i="1"/>
  <c r="T274" i="1"/>
  <c r="U274" i="1"/>
  <c r="V274" i="1"/>
  <c r="W274" i="1"/>
  <c r="T275" i="1"/>
  <c r="U275" i="1"/>
  <c r="V275" i="1"/>
  <c r="W275" i="1"/>
  <c r="T276" i="1"/>
  <c r="U276" i="1"/>
  <c r="V276" i="1"/>
  <c r="W276" i="1"/>
  <c r="T277" i="1"/>
  <c r="U277" i="1"/>
  <c r="V277" i="1"/>
  <c r="W277" i="1"/>
  <c r="T278" i="1"/>
  <c r="U278" i="1"/>
  <c r="V278" i="1"/>
  <c r="W278" i="1"/>
  <c r="T279" i="1"/>
  <c r="U279" i="1"/>
  <c r="V279" i="1"/>
  <c r="W279" i="1"/>
  <c r="T280" i="1"/>
  <c r="U280" i="1"/>
  <c r="V280" i="1"/>
  <c r="W280" i="1"/>
  <c r="T281" i="1"/>
  <c r="U281" i="1"/>
  <c r="V281" i="1"/>
  <c r="W281" i="1"/>
  <c r="T282" i="1"/>
  <c r="U282" i="1"/>
  <c r="V282" i="1"/>
  <c r="W282" i="1"/>
  <c r="T283" i="1"/>
  <c r="U283" i="1"/>
  <c r="V283" i="1"/>
  <c r="W283" i="1"/>
  <c r="T284" i="1"/>
  <c r="U284" i="1"/>
  <c r="V284" i="1"/>
  <c r="W284" i="1"/>
  <c r="T285" i="1"/>
  <c r="U285" i="1"/>
  <c r="V285" i="1"/>
  <c r="W285" i="1"/>
  <c r="T286" i="1"/>
  <c r="U286" i="1"/>
  <c r="V286" i="1"/>
  <c r="W286" i="1"/>
  <c r="T287" i="1"/>
  <c r="U287" i="1"/>
  <c r="V287" i="1"/>
  <c r="W287" i="1"/>
  <c r="T288" i="1"/>
  <c r="U288" i="1"/>
  <c r="V288" i="1"/>
  <c r="W288" i="1"/>
  <c r="T289" i="1"/>
  <c r="U289" i="1"/>
  <c r="V289" i="1"/>
  <c r="W289" i="1"/>
  <c r="T290" i="1"/>
  <c r="U290" i="1"/>
  <c r="V290" i="1"/>
  <c r="W290" i="1"/>
  <c r="T291" i="1"/>
  <c r="U291" i="1"/>
  <c r="V291" i="1"/>
  <c r="W291" i="1"/>
  <c r="T292" i="1"/>
  <c r="U292" i="1"/>
  <c r="V292" i="1"/>
  <c r="W292" i="1"/>
  <c r="T293" i="1"/>
  <c r="U293" i="1"/>
  <c r="V293" i="1"/>
  <c r="W293" i="1"/>
  <c r="T294" i="1"/>
  <c r="U294" i="1"/>
  <c r="V294" i="1"/>
  <c r="W294" i="1"/>
  <c r="T295" i="1"/>
  <c r="U295" i="1"/>
  <c r="V295" i="1"/>
  <c r="W295" i="1"/>
  <c r="T296" i="1"/>
  <c r="U296" i="1"/>
  <c r="V296" i="1"/>
  <c r="W296" i="1"/>
  <c r="T297" i="1"/>
  <c r="U297" i="1"/>
  <c r="V297" i="1"/>
  <c r="W297" i="1"/>
  <c r="T298" i="1"/>
  <c r="U298" i="1"/>
  <c r="V298" i="1"/>
  <c r="W298" i="1"/>
  <c r="T299" i="1"/>
  <c r="U299" i="1"/>
  <c r="V299" i="1"/>
  <c r="W299" i="1"/>
  <c r="T300" i="1"/>
  <c r="U300" i="1"/>
  <c r="V300" i="1"/>
  <c r="W300" i="1"/>
  <c r="T301" i="1"/>
  <c r="U301" i="1"/>
  <c r="V301" i="1"/>
  <c r="W301" i="1"/>
  <c r="T302" i="1"/>
  <c r="U302" i="1"/>
  <c r="V302" i="1"/>
  <c r="W302" i="1"/>
  <c r="T303" i="1"/>
  <c r="U303" i="1"/>
  <c r="V303" i="1"/>
  <c r="W303" i="1"/>
  <c r="T304" i="1"/>
  <c r="U304" i="1"/>
  <c r="V304" i="1"/>
  <c r="W304" i="1"/>
  <c r="T305" i="1"/>
  <c r="U305" i="1"/>
  <c r="V305" i="1"/>
  <c r="W305" i="1"/>
  <c r="T306" i="1"/>
  <c r="U306" i="1"/>
  <c r="V306" i="1"/>
  <c r="W306" i="1"/>
  <c r="T307" i="1"/>
  <c r="U307" i="1"/>
  <c r="V307" i="1"/>
  <c r="W307" i="1"/>
  <c r="T308" i="1"/>
  <c r="U308" i="1"/>
  <c r="V308" i="1"/>
  <c r="W308" i="1"/>
  <c r="T309" i="1"/>
  <c r="U309" i="1"/>
  <c r="V309" i="1"/>
  <c r="W309" i="1"/>
  <c r="T310" i="1"/>
  <c r="U310" i="1"/>
  <c r="V310" i="1"/>
  <c r="W310" i="1"/>
  <c r="T311" i="1"/>
  <c r="U311" i="1"/>
  <c r="V311" i="1"/>
  <c r="W311" i="1"/>
  <c r="T312" i="1"/>
  <c r="U312" i="1"/>
  <c r="V312" i="1"/>
  <c r="W312" i="1"/>
  <c r="T313" i="1"/>
  <c r="U313" i="1"/>
  <c r="V313" i="1"/>
  <c r="W313" i="1"/>
  <c r="T314" i="1"/>
  <c r="U314" i="1"/>
  <c r="V314" i="1"/>
  <c r="W314" i="1"/>
  <c r="T315" i="1"/>
  <c r="U315" i="1"/>
  <c r="V315" i="1"/>
  <c r="W315" i="1"/>
  <c r="T316" i="1"/>
  <c r="U316" i="1"/>
  <c r="V316" i="1"/>
  <c r="W316" i="1"/>
  <c r="T317" i="1"/>
  <c r="U317" i="1"/>
  <c r="V317" i="1"/>
  <c r="W317" i="1"/>
  <c r="T318" i="1"/>
  <c r="U318" i="1"/>
  <c r="V318" i="1"/>
  <c r="W318" i="1"/>
  <c r="T319" i="1"/>
  <c r="U319" i="1"/>
  <c r="V319" i="1"/>
  <c r="W319" i="1"/>
  <c r="T320" i="1"/>
  <c r="U320" i="1"/>
  <c r="V320" i="1"/>
  <c r="W320" i="1"/>
  <c r="T321" i="1"/>
  <c r="U321" i="1"/>
  <c r="V321" i="1"/>
  <c r="W321" i="1"/>
  <c r="T322" i="1"/>
  <c r="U322" i="1"/>
  <c r="V322" i="1"/>
  <c r="W322" i="1"/>
  <c r="T323" i="1"/>
  <c r="U323" i="1"/>
  <c r="V323" i="1"/>
  <c r="W323" i="1"/>
  <c r="T324" i="1"/>
  <c r="U324" i="1"/>
  <c r="V324" i="1"/>
  <c r="W324" i="1"/>
  <c r="T325" i="1"/>
  <c r="U325" i="1"/>
  <c r="V325" i="1"/>
  <c r="W325" i="1"/>
  <c r="T326" i="1"/>
  <c r="U326" i="1"/>
  <c r="V326" i="1"/>
  <c r="W326" i="1"/>
  <c r="T327" i="1"/>
  <c r="U327" i="1"/>
  <c r="V327" i="1"/>
  <c r="W327" i="1"/>
  <c r="T328" i="1"/>
  <c r="U328" i="1"/>
  <c r="V328" i="1"/>
  <c r="W328" i="1"/>
  <c r="T329" i="1"/>
  <c r="U329" i="1"/>
  <c r="V329" i="1"/>
  <c r="W329" i="1"/>
  <c r="T330" i="1"/>
  <c r="U330" i="1"/>
  <c r="V330" i="1"/>
  <c r="W330" i="1"/>
  <c r="T331" i="1"/>
  <c r="U331" i="1"/>
  <c r="V331" i="1"/>
  <c r="W331" i="1"/>
  <c r="T332" i="1"/>
  <c r="U332" i="1"/>
  <c r="V332" i="1"/>
  <c r="W332" i="1"/>
  <c r="T333" i="1"/>
  <c r="U333" i="1"/>
  <c r="V333" i="1"/>
  <c r="W333" i="1"/>
  <c r="T334" i="1"/>
  <c r="U334" i="1"/>
  <c r="V334" i="1"/>
  <c r="W334" i="1"/>
  <c r="T335" i="1"/>
  <c r="U335" i="1"/>
  <c r="V335" i="1"/>
  <c r="W335" i="1"/>
  <c r="T336" i="1"/>
  <c r="U336" i="1"/>
  <c r="V336" i="1"/>
  <c r="W336" i="1"/>
  <c r="T337" i="1"/>
  <c r="U337" i="1"/>
  <c r="V337" i="1"/>
  <c r="W337" i="1"/>
  <c r="T338" i="1"/>
  <c r="U338" i="1"/>
  <c r="V338" i="1"/>
  <c r="W338" i="1"/>
  <c r="T339" i="1"/>
  <c r="U339" i="1"/>
  <c r="V339" i="1"/>
  <c r="W339" i="1"/>
  <c r="T340" i="1"/>
  <c r="U340" i="1"/>
  <c r="V340" i="1"/>
  <c r="W340" i="1"/>
  <c r="T341" i="1"/>
  <c r="U341" i="1"/>
  <c r="V341" i="1"/>
  <c r="W341" i="1"/>
  <c r="T342" i="1"/>
  <c r="U342" i="1"/>
  <c r="V342" i="1"/>
  <c r="W342" i="1"/>
  <c r="T343" i="1"/>
  <c r="U343" i="1"/>
  <c r="V343" i="1"/>
  <c r="W343" i="1"/>
  <c r="T344" i="1"/>
  <c r="U344" i="1"/>
  <c r="V344" i="1"/>
  <c r="W344" i="1"/>
  <c r="T345" i="1"/>
  <c r="U345" i="1"/>
  <c r="V345" i="1"/>
  <c r="W345" i="1"/>
  <c r="T346" i="1"/>
  <c r="U346" i="1"/>
  <c r="V346" i="1"/>
  <c r="W346" i="1"/>
  <c r="T347" i="1"/>
  <c r="U347" i="1"/>
  <c r="V347" i="1"/>
  <c r="W347" i="1"/>
  <c r="T348" i="1"/>
  <c r="U348" i="1"/>
  <c r="V348" i="1"/>
  <c r="W348" i="1"/>
  <c r="T349" i="1"/>
  <c r="U349" i="1"/>
  <c r="V349" i="1"/>
  <c r="W349" i="1"/>
  <c r="T350" i="1"/>
  <c r="U350" i="1"/>
  <c r="V350" i="1"/>
  <c r="W350" i="1"/>
  <c r="T351" i="1"/>
  <c r="U351" i="1"/>
  <c r="V351" i="1"/>
  <c r="W351" i="1"/>
  <c r="T352" i="1"/>
  <c r="U352" i="1"/>
  <c r="V352" i="1"/>
  <c r="W352" i="1"/>
  <c r="T353" i="1"/>
  <c r="U353" i="1"/>
  <c r="V353" i="1"/>
  <c r="W353" i="1"/>
  <c r="T354" i="1"/>
  <c r="U354" i="1"/>
  <c r="V354" i="1"/>
  <c r="W354" i="1"/>
  <c r="T355" i="1"/>
  <c r="U355" i="1"/>
  <c r="V355" i="1"/>
  <c r="W355" i="1"/>
  <c r="T356" i="1"/>
  <c r="U356" i="1"/>
  <c r="V356" i="1"/>
  <c r="W356" i="1"/>
  <c r="T357" i="1"/>
  <c r="U357" i="1"/>
  <c r="V357" i="1"/>
  <c r="W357" i="1"/>
  <c r="T358" i="1"/>
  <c r="U358" i="1"/>
  <c r="V358" i="1"/>
  <c r="W358" i="1"/>
  <c r="T359" i="1"/>
  <c r="U359" i="1"/>
  <c r="V359" i="1"/>
  <c r="W359" i="1"/>
  <c r="T360" i="1"/>
  <c r="U360" i="1"/>
  <c r="V360" i="1"/>
  <c r="W360" i="1"/>
  <c r="T361" i="1"/>
  <c r="U361" i="1"/>
  <c r="V361" i="1"/>
  <c r="W361" i="1"/>
  <c r="T362" i="1"/>
  <c r="U362" i="1"/>
  <c r="V362" i="1"/>
  <c r="W362" i="1"/>
  <c r="T363" i="1"/>
  <c r="U363" i="1"/>
  <c r="V363" i="1"/>
  <c r="W363" i="1"/>
  <c r="T364" i="1"/>
  <c r="U364" i="1"/>
  <c r="V364" i="1"/>
  <c r="W364" i="1"/>
  <c r="T365" i="1"/>
  <c r="U365" i="1"/>
  <c r="V365" i="1"/>
  <c r="W365" i="1"/>
  <c r="T366" i="1"/>
  <c r="U366" i="1"/>
  <c r="V366" i="1"/>
  <c r="W366" i="1"/>
  <c r="T367" i="1"/>
  <c r="U367" i="1"/>
  <c r="V367" i="1"/>
  <c r="W367" i="1"/>
  <c r="T368" i="1"/>
  <c r="U368" i="1"/>
  <c r="V368" i="1"/>
  <c r="W368" i="1"/>
  <c r="T369" i="1"/>
  <c r="U369" i="1"/>
  <c r="V369" i="1"/>
  <c r="W369" i="1"/>
  <c r="T370" i="1"/>
  <c r="U370" i="1"/>
  <c r="V370" i="1"/>
  <c r="W370" i="1"/>
  <c r="T371" i="1"/>
  <c r="U371" i="1"/>
  <c r="V371" i="1"/>
  <c r="W371" i="1"/>
  <c r="T372" i="1"/>
  <c r="U372" i="1"/>
  <c r="V372" i="1"/>
  <c r="W372" i="1"/>
  <c r="T373" i="1"/>
  <c r="U373" i="1"/>
  <c r="V373" i="1"/>
  <c r="W373" i="1"/>
  <c r="T374" i="1"/>
  <c r="U374" i="1"/>
  <c r="V374" i="1"/>
  <c r="W374" i="1"/>
  <c r="T375" i="1"/>
  <c r="U375" i="1"/>
  <c r="V375" i="1"/>
  <c r="W375" i="1"/>
  <c r="T376" i="1"/>
  <c r="U376" i="1"/>
  <c r="V376" i="1"/>
  <c r="W376" i="1"/>
  <c r="T377" i="1"/>
  <c r="U377" i="1"/>
  <c r="V377" i="1"/>
  <c r="W377" i="1"/>
  <c r="T378" i="1"/>
  <c r="U378" i="1"/>
  <c r="V378" i="1"/>
  <c r="W378" i="1"/>
  <c r="T379" i="1"/>
  <c r="U379" i="1"/>
  <c r="V379" i="1"/>
  <c r="W379" i="1"/>
  <c r="T380" i="1"/>
  <c r="U380" i="1"/>
  <c r="V380" i="1"/>
  <c r="W380" i="1"/>
  <c r="T381" i="1"/>
  <c r="U381" i="1"/>
  <c r="V381" i="1"/>
  <c r="W381" i="1"/>
  <c r="T382" i="1"/>
  <c r="U382" i="1"/>
  <c r="V382" i="1"/>
  <c r="W382" i="1"/>
  <c r="T383" i="1"/>
  <c r="U383" i="1"/>
  <c r="V383" i="1"/>
  <c r="W383" i="1"/>
  <c r="T384" i="1"/>
  <c r="U384" i="1"/>
  <c r="V384" i="1"/>
  <c r="W384" i="1"/>
  <c r="T385" i="1"/>
  <c r="U385" i="1"/>
  <c r="V385" i="1"/>
  <c r="W385" i="1"/>
  <c r="T386" i="1"/>
  <c r="U386" i="1"/>
  <c r="V386" i="1"/>
  <c r="W386" i="1"/>
  <c r="T387" i="1"/>
  <c r="U387" i="1"/>
  <c r="V387" i="1"/>
  <c r="W387" i="1"/>
  <c r="T388" i="1"/>
  <c r="U388" i="1"/>
  <c r="V388" i="1"/>
  <c r="W388" i="1"/>
  <c r="T389" i="1"/>
  <c r="U389" i="1"/>
  <c r="V389" i="1"/>
  <c r="W389" i="1"/>
  <c r="T390" i="1"/>
  <c r="U390" i="1"/>
  <c r="V390" i="1"/>
  <c r="W390" i="1"/>
  <c r="T391" i="1"/>
  <c r="U391" i="1"/>
  <c r="V391" i="1"/>
  <c r="W391" i="1"/>
  <c r="T392" i="1"/>
  <c r="U392" i="1"/>
  <c r="V392" i="1"/>
  <c r="W392" i="1"/>
  <c r="T393" i="1"/>
  <c r="U393" i="1"/>
  <c r="V393" i="1"/>
  <c r="W393" i="1"/>
  <c r="T394" i="1"/>
  <c r="U394" i="1"/>
  <c r="V394" i="1"/>
  <c r="W394" i="1"/>
  <c r="T395" i="1"/>
  <c r="U395" i="1"/>
  <c r="V395" i="1"/>
  <c r="W395" i="1"/>
  <c r="T396" i="1"/>
  <c r="U396" i="1"/>
  <c r="V396" i="1"/>
  <c r="W396" i="1"/>
  <c r="T397" i="1"/>
  <c r="U397" i="1"/>
  <c r="V397" i="1"/>
  <c r="W397" i="1"/>
  <c r="T398" i="1"/>
  <c r="U398" i="1"/>
  <c r="V398" i="1"/>
  <c r="W398" i="1"/>
  <c r="T399" i="1"/>
  <c r="U399" i="1"/>
  <c r="V399" i="1"/>
  <c r="W399" i="1"/>
  <c r="T400" i="1"/>
  <c r="U400" i="1"/>
  <c r="V400" i="1"/>
  <c r="W400" i="1"/>
  <c r="T401" i="1"/>
  <c r="U401" i="1"/>
  <c r="V401" i="1"/>
  <c r="W401" i="1"/>
  <c r="T402" i="1"/>
  <c r="U402" i="1"/>
  <c r="V402" i="1"/>
  <c r="W402" i="1"/>
  <c r="T403" i="1"/>
  <c r="U403" i="1"/>
  <c r="V403" i="1"/>
  <c r="W403" i="1"/>
  <c r="T404" i="1"/>
  <c r="U404" i="1"/>
  <c r="V404" i="1"/>
  <c r="W404" i="1"/>
  <c r="T405" i="1"/>
  <c r="U405" i="1"/>
  <c r="V405" i="1"/>
  <c r="W405" i="1"/>
  <c r="T406" i="1"/>
  <c r="U406" i="1"/>
  <c r="V406" i="1"/>
  <c r="W406" i="1"/>
  <c r="T407" i="1"/>
  <c r="U407" i="1"/>
  <c r="V407" i="1"/>
  <c r="W407" i="1"/>
  <c r="T408" i="1"/>
  <c r="U408" i="1"/>
  <c r="V408" i="1"/>
  <c r="W408" i="1"/>
  <c r="T409" i="1"/>
  <c r="U409" i="1"/>
  <c r="V409" i="1"/>
  <c r="W409" i="1"/>
  <c r="T410" i="1"/>
  <c r="U410" i="1"/>
  <c r="V410" i="1"/>
  <c r="W410" i="1"/>
  <c r="T411" i="1"/>
  <c r="U411" i="1"/>
  <c r="V411" i="1"/>
  <c r="W411" i="1"/>
  <c r="T412" i="1"/>
  <c r="U412" i="1"/>
  <c r="V412" i="1"/>
  <c r="W412" i="1"/>
  <c r="T413" i="1"/>
  <c r="U413" i="1"/>
  <c r="V413" i="1"/>
  <c r="W413" i="1"/>
  <c r="T414" i="1"/>
  <c r="U414" i="1"/>
  <c r="V414" i="1"/>
  <c r="W414" i="1"/>
  <c r="T415" i="1"/>
  <c r="U415" i="1"/>
  <c r="V415" i="1"/>
  <c r="W415" i="1"/>
  <c r="T416" i="1"/>
  <c r="U416" i="1"/>
  <c r="V416" i="1"/>
  <c r="W416" i="1"/>
  <c r="T417" i="1"/>
  <c r="U417" i="1"/>
  <c r="V417" i="1"/>
  <c r="W417" i="1"/>
  <c r="T418" i="1"/>
  <c r="U418" i="1"/>
  <c r="V418" i="1"/>
  <c r="W418" i="1"/>
  <c r="T419" i="1"/>
  <c r="U419" i="1"/>
  <c r="V419" i="1"/>
  <c r="W419" i="1"/>
  <c r="T420" i="1"/>
  <c r="U420" i="1"/>
  <c r="V420" i="1"/>
  <c r="W420" i="1"/>
  <c r="T421" i="1"/>
  <c r="U421" i="1"/>
  <c r="V421" i="1"/>
  <c r="W421" i="1"/>
  <c r="T422" i="1"/>
  <c r="U422" i="1"/>
  <c r="V422" i="1"/>
  <c r="W422" i="1"/>
  <c r="T423" i="1"/>
  <c r="U423" i="1"/>
  <c r="V423" i="1"/>
  <c r="W423" i="1"/>
  <c r="T424" i="1"/>
  <c r="U424" i="1"/>
  <c r="V424" i="1"/>
  <c r="W424" i="1"/>
  <c r="T425" i="1"/>
  <c r="U425" i="1"/>
  <c r="V425" i="1"/>
  <c r="W425" i="1"/>
  <c r="T426" i="1"/>
  <c r="U426" i="1"/>
  <c r="V426" i="1"/>
  <c r="W426" i="1"/>
  <c r="T427" i="1"/>
  <c r="U427" i="1"/>
  <c r="V427" i="1"/>
  <c r="W427" i="1"/>
  <c r="T428" i="1"/>
  <c r="U428" i="1"/>
  <c r="V428" i="1"/>
  <c r="W428" i="1"/>
  <c r="T429" i="1"/>
  <c r="U429" i="1"/>
  <c r="V429" i="1"/>
  <c r="W429" i="1"/>
  <c r="H535" i="1" l="1"/>
  <c r="G533" i="1"/>
  <c r="G534" i="1"/>
  <c r="L8" i="1"/>
  <c r="M8" i="1" s="1"/>
  <c r="G535" i="1" l="1"/>
  <c r="J530" i="1"/>
  <c r="J529" i="1"/>
  <c r="F531" i="1"/>
  <c r="I532" i="1"/>
  <c r="J532" i="1"/>
  <c r="J528" i="1"/>
  <c r="I531" i="1"/>
  <c r="J531" i="1"/>
  <c r="I530" i="1"/>
  <c r="U16" i="1"/>
  <c r="W16" i="1"/>
  <c r="V16" i="1"/>
  <c r="T16" i="1"/>
  <c r="R17" i="1" l="1"/>
  <c r="X17" i="1" s="1"/>
  <c r="R18" i="1"/>
  <c r="X18" i="1" s="1"/>
  <c r="R227" i="1"/>
  <c r="X227" i="1" s="1"/>
  <c r="R83" i="1"/>
  <c r="X83" i="1" s="1"/>
  <c r="R323" i="1"/>
  <c r="X323" i="1" s="1"/>
  <c r="R135" i="1"/>
  <c r="X135" i="1" s="1"/>
  <c r="R371" i="1"/>
  <c r="X371" i="1" s="1"/>
  <c r="R271" i="1"/>
  <c r="X271" i="1" s="1"/>
  <c r="R183" i="1"/>
  <c r="X183" i="1" s="1"/>
  <c r="R67" i="1"/>
  <c r="X67" i="1" s="1"/>
  <c r="R399" i="1"/>
  <c r="X399" i="1" s="1"/>
  <c r="R255" i="1"/>
  <c r="X255" i="1" s="1"/>
  <c r="R87" i="1"/>
  <c r="X87" i="1" s="1"/>
  <c r="R396" i="1"/>
  <c r="X396" i="1" s="1"/>
  <c r="R364" i="1"/>
  <c r="X364" i="1" s="1"/>
  <c r="R332" i="1"/>
  <c r="X332" i="1" s="1"/>
  <c r="R300" i="1"/>
  <c r="X300" i="1" s="1"/>
  <c r="R268" i="1"/>
  <c r="X268" i="1" s="1"/>
  <c r="R236" i="1"/>
  <c r="X236" i="1" s="1"/>
  <c r="R204" i="1"/>
  <c r="X204" i="1" s="1"/>
  <c r="R429" i="1"/>
  <c r="X429" i="1" s="1"/>
  <c r="R152" i="1"/>
  <c r="X152" i="1" s="1"/>
  <c r="R120" i="1"/>
  <c r="X120" i="1" s="1"/>
  <c r="R88" i="1"/>
  <c r="X88" i="1" s="1"/>
  <c r="R56" i="1"/>
  <c r="X56" i="1" s="1"/>
  <c r="R24" i="1"/>
  <c r="X24" i="1" s="1"/>
  <c r="R421" i="1"/>
  <c r="X421" i="1" s="1"/>
  <c r="R389" i="1"/>
  <c r="X389" i="1" s="1"/>
  <c r="R357" i="1"/>
  <c r="X357" i="1" s="1"/>
  <c r="R325" i="1"/>
  <c r="X325" i="1" s="1"/>
  <c r="R293" i="1"/>
  <c r="X293" i="1" s="1"/>
  <c r="R261" i="1"/>
  <c r="X261" i="1" s="1"/>
  <c r="R229" i="1"/>
  <c r="X229" i="1" s="1"/>
  <c r="R197" i="1"/>
  <c r="X197" i="1" s="1"/>
  <c r="R422" i="1"/>
  <c r="X422" i="1" s="1"/>
  <c r="R149" i="1"/>
  <c r="X149" i="1" s="1"/>
  <c r="R117" i="1"/>
  <c r="X117" i="1" s="1"/>
  <c r="R85" i="1"/>
  <c r="X85" i="1" s="1"/>
  <c r="R53" i="1"/>
  <c r="X53" i="1" s="1"/>
  <c r="R21" i="1"/>
  <c r="X21" i="1" s="1"/>
  <c r="R414" i="1"/>
  <c r="X414" i="1" s="1"/>
  <c r="R382" i="1"/>
  <c r="X382" i="1" s="1"/>
  <c r="R350" i="1"/>
  <c r="X350" i="1" s="1"/>
  <c r="R318" i="1"/>
  <c r="X318" i="1" s="1"/>
  <c r="R286" i="1"/>
  <c r="X286" i="1" s="1"/>
  <c r="R254" i="1"/>
  <c r="X254" i="1" s="1"/>
  <c r="R222" i="1"/>
  <c r="X222" i="1" s="1"/>
  <c r="R190" i="1"/>
  <c r="X190" i="1" s="1"/>
  <c r="R170" i="1"/>
  <c r="X170" i="1" s="1"/>
  <c r="R138" i="1"/>
  <c r="X138" i="1" s="1"/>
  <c r="R106" i="1"/>
  <c r="X106" i="1" s="1"/>
  <c r="R74" i="1"/>
  <c r="X74" i="1" s="1"/>
  <c r="R42" i="1"/>
  <c r="X42" i="1" s="1"/>
  <c r="R387" i="1"/>
  <c r="X387" i="1" s="1"/>
  <c r="R207" i="1"/>
  <c r="X207" i="1" s="1"/>
  <c r="R47" i="1"/>
  <c r="X47" i="1" s="1"/>
  <c r="R303" i="1"/>
  <c r="X303" i="1" s="1"/>
  <c r="R107" i="1"/>
  <c r="X107" i="1" s="1"/>
  <c r="R131" i="1"/>
  <c r="X131" i="1" s="1"/>
  <c r="R359" i="1"/>
  <c r="X359" i="1" s="1"/>
  <c r="R263" i="1"/>
  <c r="X263" i="1" s="1"/>
  <c r="R39" i="1"/>
  <c r="X39" i="1" s="1"/>
  <c r="R375" i="1"/>
  <c r="X375" i="1" s="1"/>
  <c r="R251" i="1"/>
  <c r="X251" i="1" s="1"/>
  <c r="R71" i="1"/>
  <c r="X71" i="1" s="1"/>
  <c r="R392" i="1"/>
  <c r="X392" i="1" s="1"/>
  <c r="R360" i="1"/>
  <c r="X360" i="1" s="1"/>
  <c r="R328" i="1"/>
  <c r="X328" i="1" s="1"/>
  <c r="R296" i="1"/>
  <c r="X296" i="1" s="1"/>
  <c r="R264" i="1"/>
  <c r="X264" i="1" s="1"/>
  <c r="R232" i="1"/>
  <c r="X232" i="1" s="1"/>
  <c r="R200" i="1"/>
  <c r="X200" i="1" s="1"/>
  <c r="R425" i="1"/>
  <c r="X425" i="1" s="1"/>
  <c r="R148" i="1"/>
  <c r="X148" i="1" s="1"/>
  <c r="R116" i="1"/>
  <c r="X116" i="1" s="1"/>
  <c r="R84" i="1"/>
  <c r="X84" i="1" s="1"/>
  <c r="R52" i="1"/>
  <c r="X52" i="1" s="1"/>
  <c r="R417" i="1"/>
  <c r="X417" i="1" s="1"/>
  <c r="R385" i="1"/>
  <c r="X385" i="1" s="1"/>
  <c r="R353" i="1"/>
  <c r="X353" i="1" s="1"/>
  <c r="R321" i="1"/>
  <c r="X321" i="1" s="1"/>
  <c r="R289" i="1"/>
  <c r="X289" i="1" s="1"/>
  <c r="R257" i="1"/>
  <c r="X257" i="1" s="1"/>
  <c r="R225" i="1"/>
  <c r="X225" i="1" s="1"/>
  <c r="R193" i="1"/>
  <c r="X193" i="1" s="1"/>
  <c r="R177" i="1"/>
  <c r="X177" i="1" s="1"/>
  <c r="R145" i="1"/>
  <c r="X145" i="1" s="1"/>
  <c r="R113" i="1"/>
  <c r="X113" i="1" s="1"/>
  <c r="R81" i="1"/>
  <c r="X81" i="1" s="1"/>
  <c r="R49" i="1"/>
  <c r="X49" i="1" s="1"/>
  <c r="R410" i="1"/>
  <c r="X410" i="1" s="1"/>
  <c r="R378" i="1"/>
  <c r="X378" i="1" s="1"/>
  <c r="R351" i="1"/>
  <c r="X351" i="1" s="1"/>
  <c r="R191" i="1"/>
  <c r="X191" i="1" s="1"/>
  <c r="R259" i="1"/>
  <c r="X259" i="1" s="1"/>
  <c r="R91" i="1"/>
  <c r="X91" i="1" s="1"/>
  <c r="R415" i="1"/>
  <c r="X415" i="1" s="1"/>
  <c r="R119" i="1"/>
  <c r="X119" i="1" s="1"/>
  <c r="R347" i="1"/>
  <c r="X347" i="1" s="1"/>
  <c r="R247" i="1"/>
  <c r="X247" i="1" s="1"/>
  <c r="R23" i="1"/>
  <c r="X23" i="1" s="1"/>
  <c r="R363" i="1"/>
  <c r="X363" i="1" s="1"/>
  <c r="R231" i="1"/>
  <c r="X231" i="1" s="1"/>
  <c r="R428" i="1"/>
  <c r="X428" i="1" s="1"/>
  <c r="R55" i="1"/>
  <c r="X55" i="1" s="1"/>
  <c r="R420" i="1"/>
  <c r="X420" i="1" s="1"/>
  <c r="R388" i="1"/>
  <c r="X388" i="1" s="1"/>
  <c r="R356" i="1"/>
  <c r="X356" i="1" s="1"/>
  <c r="R324" i="1"/>
  <c r="X324" i="1" s="1"/>
  <c r="R292" i="1"/>
  <c r="X292" i="1" s="1"/>
  <c r="R260" i="1"/>
  <c r="X260" i="1" s="1"/>
  <c r="R228" i="1"/>
  <c r="X228" i="1" s="1"/>
  <c r="R196" i="1"/>
  <c r="X196" i="1" s="1"/>
  <c r="R176" i="1"/>
  <c r="X176" i="1" s="1"/>
  <c r="R144" i="1"/>
  <c r="X144" i="1" s="1"/>
  <c r="R112" i="1"/>
  <c r="X112" i="1" s="1"/>
  <c r="R80" i="1"/>
  <c r="X80" i="1" s="1"/>
  <c r="R48" i="1"/>
  <c r="X48" i="1" s="1"/>
  <c r="R413" i="1"/>
  <c r="X413" i="1" s="1"/>
  <c r="R381" i="1"/>
  <c r="X381" i="1" s="1"/>
  <c r="R339" i="1"/>
  <c r="X339" i="1" s="1"/>
  <c r="R187" i="1"/>
  <c r="X187" i="1" s="1"/>
  <c r="R59" i="1"/>
  <c r="X59" i="1" s="1"/>
  <c r="R383" i="1"/>
  <c r="X383" i="1" s="1"/>
  <c r="R79" i="1"/>
  <c r="X79" i="1" s="1"/>
  <c r="R331" i="1"/>
  <c r="X331" i="1" s="1"/>
  <c r="R239" i="1"/>
  <c r="X239" i="1" s="1"/>
  <c r="R171" i="1"/>
  <c r="X171" i="1" s="1"/>
  <c r="R355" i="1"/>
  <c r="X355" i="1" s="1"/>
  <c r="R219" i="1"/>
  <c r="X219" i="1" s="1"/>
  <c r="R167" i="1"/>
  <c r="X167" i="1" s="1"/>
  <c r="R35" i="1"/>
  <c r="X35" i="1" s="1"/>
  <c r="R416" i="1"/>
  <c r="X416" i="1" s="1"/>
  <c r="R384" i="1"/>
  <c r="X384" i="1" s="1"/>
  <c r="R352" i="1"/>
  <c r="X352" i="1" s="1"/>
  <c r="R320" i="1"/>
  <c r="X320" i="1" s="1"/>
  <c r="R288" i="1"/>
  <c r="X288" i="1" s="1"/>
  <c r="R256" i="1"/>
  <c r="X256" i="1" s="1"/>
  <c r="R224" i="1"/>
  <c r="X224" i="1" s="1"/>
  <c r="R192" i="1"/>
  <c r="X192" i="1" s="1"/>
  <c r="R172" i="1"/>
  <c r="X172" i="1" s="1"/>
  <c r="R140" i="1"/>
  <c r="X140" i="1" s="1"/>
  <c r="R108" i="1"/>
  <c r="X108" i="1" s="1"/>
  <c r="R76" i="1"/>
  <c r="X76" i="1" s="1"/>
  <c r="R44" i="1"/>
  <c r="X44" i="1" s="1"/>
  <c r="R409" i="1"/>
  <c r="X409" i="1" s="1"/>
  <c r="R377" i="1"/>
  <c r="X377" i="1" s="1"/>
  <c r="R345" i="1"/>
  <c r="X345" i="1" s="1"/>
  <c r="R313" i="1"/>
  <c r="X313" i="1" s="1"/>
  <c r="R307" i="1"/>
  <c r="X307" i="1" s="1"/>
  <c r="R424" i="1"/>
  <c r="X424" i="1" s="1"/>
  <c r="R407" i="1"/>
  <c r="X407" i="1" s="1"/>
  <c r="R163" i="1"/>
  <c r="X163" i="1" s="1"/>
  <c r="R43" i="1"/>
  <c r="X43" i="1" s="1"/>
  <c r="R367" i="1"/>
  <c r="X367" i="1" s="1"/>
  <c r="R51" i="1"/>
  <c r="X51" i="1" s="1"/>
  <c r="R319" i="1"/>
  <c r="X319" i="1" s="1"/>
  <c r="R235" i="1"/>
  <c r="X235" i="1" s="1"/>
  <c r="R155" i="1"/>
  <c r="X155" i="1" s="1"/>
  <c r="R327" i="1"/>
  <c r="X327" i="1" s="1"/>
  <c r="R215" i="1"/>
  <c r="X215" i="1" s="1"/>
  <c r="R159" i="1"/>
  <c r="X159" i="1" s="1"/>
  <c r="R27" i="1"/>
  <c r="X27" i="1" s="1"/>
  <c r="R412" i="1"/>
  <c r="X412" i="1" s="1"/>
  <c r="R380" i="1"/>
  <c r="X380" i="1" s="1"/>
  <c r="R348" i="1"/>
  <c r="X348" i="1" s="1"/>
  <c r="R316" i="1"/>
  <c r="X316" i="1" s="1"/>
  <c r="R284" i="1"/>
  <c r="X284" i="1" s="1"/>
  <c r="R252" i="1"/>
  <c r="X252" i="1" s="1"/>
  <c r="R220" i="1"/>
  <c r="X220" i="1" s="1"/>
  <c r="R188" i="1"/>
  <c r="X188" i="1" s="1"/>
  <c r="R168" i="1"/>
  <c r="X168" i="1" s="1"/>
  <c r="R243" i="1"/>
  <c r="X243" i="1" s="1"/>
  <c r="R115" i="1"/>
  <c r="X115" i="1" s="1"/>
  <c r="R343" i="1"/>
  <c r="X343" i="1" s="1"/>
  <c r="R63" i="1"/>
  <c r="X63" i="1" s="1"/>
  <c r="R147" i="1"/>
  <c r="X147" i="1" s="1"/>
  <c r="R283" i="1"/>
  <c r="X283" i="1" s="1"/>
  <c r="R395" i="1"/>
  <c r="X395" i="1" s="1"/>
  <c r="R279" i="1"/>
  <c r="X279" i="1" s="1"/>
  <c r="R195" i="1"/>
  <c r="X195" i="1" s="1"/>
  <c r="R75" i="1"/>
  <c r="X75" i="1" s="1"/>
  <c r="R403" i="1"/>
  <c r="X403" i="1" s="1"/>
  <c r="R275" i="1"/>
  <c r="X275" i="1" s="1"/>
  <c r="R179" i="1"/>
  <c r="X179" i="1" s="1"/>
  <c r="R99" i="1"/>
  <c r="X99" i="1" s="1"/>
  <c r="R400" i="1"/>
  <c r="X400" i="1" s="1"/>
  <c r="R368" i="1"/>
  <c r="X368" i="1" s="1"/>
  <c r="R336" i="1"/>
  <c r="X336" i="1" s="1"/>
  <c r="R304" i="1"/>
  <c r="X304" i="1" s="1"/>
  <c r="R272" i="1"/>
  <c r="X272" i="1" s="1"/>
  <c r="R240" i="1"/>
  <c r="X240" i="1" s="1"/>
  <c r="R208" i="1"/>
  <c r="X208" i="1" s="1"/>
  <c r="R19" i="1"/>
  <c r="X19" i="1" s="1"/>
  <c r="R156" i="1"/>
  <c r="X156" i="1" s="1"/>
  <c r="R124" i="1"/>
  <c r="X124" i="1" s="1"/>
  <c r="R92" i="1"/>
  <c r="X92" i="1" s="1"/>
  <c r="R60" i="1"/>
  <c r="X60" i="1" s="1"/>
  <c r="R28" i="1"/>
  <c r="X28" i="1" s="1"/>
  <c r="R393" i="1"/>
  <c r="X393" i="1" s="1"/>
  <c r="R361" i="1"/>
  <c r="X361" i="1" s="1"/>
  <c r="R329" i="1"/>
  <c r="X329" i="1" s="1"/>
  <c r="R297" i="1"/>
  <c r="X297" i="1" s="1"/>
  <c r="R265" i="1"/>
  <c r="X265" i="1" s="1"/>
  <c r="R233" i="1"/>
  <c r="X233" i="1" s="1"/>
  <c r="R201" i="1"/>
  <c r="X201" i="1" s="1"/>
  <c r="R426" i="1"/>
  <c r="X426" i="1" s="1"/>
  <c r="R153" i="1"/>
  <c r="X153" i="1" s="1"/>
  <c r="R121" i="1"/>
  <c r="X121" i="1" s="1"/>
  <c r="R89" i="1"/>
  <c r="X89" i="1" s="1"/>
  <c r="R57" i="1"/>
  <c r="X57" i="1" s="1"/>
  <c r="R25" i="1"/>
  <c r="X25" i="1" s="1"/>
  <c r="R418" i="1"/>
  <c r="X418" i="1" s="1"/>
  <c r="R386" i="1"/>
  <c r="X386" i="1" s="1"/>
  <c r="R139" i="1"/>
  <c r="X139" i="1" s="1"/>
  <c r="R31" i="1"/>
  <c r="X31" i="1" s="1"/>
  <c r="R223" i="1"/>
  <c r="X223" i="1" s="1"/>
  <c r="R315" i="1"/>
  <c r="X315" i="1" s="1"/>
  <c r="R376" i="1"/>
  <c r="X376" i="1" s="1"/>
  <c r="R248" i="1"/>
  <c r="X248" i="1" s="1"/>
  <c r="R136" i="1"/>
  <c r="X136" i="1" s="1"/>
  <c r="R64" i="1"/>
  <c r="X64" i="1" s="1"/>
  <c r="R373" i="1"/>
  <c r="X373" i="1" s="1"/>
  <c r="R309" i="1"/>
  <c r="X309" i="1" s="1"/>
  <c r="R253" i="1"/>
  <c r="X253" i="1" s="1"/>
  <c r="R209" i="1"/>
  <c r="X209" i="1" s="1"/>
  <c r="R125" i="1"/>
  <c r="X125" i="1" s="1"/>
  <c r="R69" i="1"/>
  <c r="X69" i="1" s="1"/>
  <c r="R358" i="1"/>
  <c r="X358" i="1" s="1"/>
  <c r="R282" i="1"/>
  <c r="X282" i="1" s="1"/>
  <c r="R210" i="1"/>
  <c r="X210" i="1" s="1"/>
  <c r="R150" i="1"/>
  <c r="X150" i="1" s="1"/>
  <c r="R38" i="1"/>
  <c r="X38" i="1" s="1"/>
  <c r="R103" i="1"/>
  <c r="X103" i="1" s="1"/>
  <c r="R211" i="1"/>
  <c r="X211" i="1" s="1"/>
  <c r="R291" i="1"/>
  <c r="X291" i="1" s="1"/>
  <c r="R372" i="1"/>
  <c r="X372" i="1" s="1"/>
  <c r="R244" i="1"/>
  <c r="X244" i="1" s="1"/>
  <c r="R132" i="1"/>
  <c r="X132" i="1" s="1"/>
  <c r="R40" i="1"/>
  <c r="X40" i="1" s="1"/>
  <c r="R369" i="1"/>
  <c r="X369" i="1" s="1"/>
  <c r="R305" i="1"/>
  <c r="X305" i="1" s="1"/>
  <c r="R249" i="1"/>
  <c r="X249" i="1" s="1"/>
  <c r="R205" i="1"/>
  <c r="X205" i="1" s="1"/>
  <c r="R165" i="1"/>
  <c r="X165" i="1" s="1"/>
  <c r="R109" i="1"/>
  <c r="X109" i="1" s="1"/>
  <c r="R65" i="1"/>
  <c r="X65" i="1" s="1"/>
  <c r="R398" i="1"/>
  <c r="X398" i="1" s="1"/>
  <c r="R354" i="1"/>
  <c r="X354" i="1" s="1"/>
  <c r="R314" i="1"/>
  <c r="X314" i="1" s="1"/>
  <c r="R278" i="1"/>
  <c r="X278" i="1" s="1"/>
  <c r="R242" i="1"/>
  <c r="X242" i="1" s="1"/>
  <c r="R206" i="1"/>
  <c r="X206" i="1" s="1"/>
  <c r="R423" i="1"/>
  <c r="X423" i="1" s="1"/>
  <c r="R146" i="1"/>
  <c r="X146" i="1" s="1"/>
  <c r="R110" i="1"/>
  <c r="X110" i="1" s="1"/>
  <c r="R70" i="1"/>
  <c r="X70" i="1" s="1"/>
  <c r="R34" i="1"/>
  <c r="X34" i="1" s="1"/>
  <c r="R174" i="1"/>
  <c r="X174" i="1" s="1"/>
  <c r="R98" i="1"/>
  <c r="X98" i="1" s="1"/>
  <c r="R287" i="1"/>
  <c r="X287" i="1" s="1"/>
  <c r="R111" i="1"/>
  <c r="X111" i="1" s="1"/>
  <c r="R203" i="1"/>
  <c r="X203" i="1" s="1"/>
  <c r="R344" i="1"/>
  <c r="X344" i="1" s="1"/>
  <c r="R216" i="1"/>
  <c r="X216" i="1" s="1"/>
  <c r="R128" i="1"/>
  <c r="X128" i="1" s="1"/>
  <c r="R36" i="1"/>
  <c r="X36" i="1" s="1"/>
  <c r="R365" i="1"/>
  <c r="X365" i="1" s="1"/>
  <c r="R301" i="1"/>
  <c r="X301" i="1" s="1"/>
  <c r="R245" i="1"/>
  <c r="X245" i="1" s="1"/>
  <c r="R189" i="1"/>
  <c r="X189" i="1" s="1"/>
  <c r="R161" i="1"/>
  <c r="X161" i="1" s="1"/>
  <c r="R105" i="1"/>
  <c r="X105" i="1" s="1"/>
  <c r="R61" i="1"/>
  <c r="X61" i="1" s="1"/>
  <c r="R394" i="1"/>
  <c r="X394" i="1" s="1"/>
  <c r="R346" i="1"/>
  <c r="X346" i="1" s="1"/>
  <c r="R310" i="1"/>
  <c r="X310" i="1" s="1"/>
  <c r="R274" i="1"/>
  <c r="X274" i="1" s="1"/>
  <c r="R238" i="1"/>
  <c r="X238" i="1" s="1"/>
  <c r="R202" i="1"/>
  <c r="X202" i="1" s="1"/>
  <c r="R178" i="1"/>
  <c r="X178" i="1" s="1"/>
  <c r="R142" i="1"/>
  <c r="X142" i="1" s="1"/>
  <c r="R102" i="1"/>
  <c r="X102" i="1" s="1"/>
  <c r="R66" i="1"/>
  <c r="X66" i="1" s="1"/>
  <c r="R30" i="1"/>
  <c r="X30" i="1" s="1"/>
  <c r="R342" i="1"/>
  <c r="X342" i="1" s="1"/>
  <c r="R26" i="1"/>
  <c r="X26" i="1" s="1"/>
  <c r="R267" i="1"/>
  <c r="X267" i="1" s="1"/>
  <c r="R175" i="1"/>
  <c r="X175" i="1" s="1"/>
  <c r="R95" i="1"/>
  <c r="X95" i="1" s="1"/>
  <c r="R199" i="1"/>
  <c r="X199" i="1" s="1"/>
  <c r="R340" i="1"/>
  <c r="X340" i="1" s="1"/>
  <c r="R212" i="1"/>
  <c r="X212" i="1" s="1"/>
  <c r="R104" i="1"/>
  <c r="X104" i="1" s="1"/>
  <c r="R32" i="1"/>
  <c r="X32" i="1" s="1"/>
  <c r="R349" i="1"/>
  <c r="X349" i="1" s="1"/>
  <c r="R285" i="1"/>
  <c r="X285" i="1" s="1"/>
  <c r="R241" i="1"/>
  <c r="X241" i="1" s="1"/>
  <c r="R185" i="1"/>
  <c r="X185" i="1" s="1"/>
  <c r="R157" i="1"/>
  <c r="X157" i="1" s="1"/>
  <c r="R101" i="1"/>
  <c r="X101" i="1" s="1"/>
  <c r="R45" i="1"/>
  <c r="X45" i="1" s="1"/>
  <c r="R390" i="1"/>
  <c r="X390" i="1" s="1"/>
  <c r="R306" i="1"/>
  <c r="X306" i="1" s="1"/>
  <c r="R270" i="1"/>
  <c r="X270" i="1" s="1"/>
  <c r="R234" i="1"/>
  <c r="X234" i="1" s="1"/>
  <c r="R198" i="1"/>
  <c r="X198" i="1" s="1"/>
  <c r="R134" i="1"/>
  <c r="X134" i="1" s="1"/>
  <c r="R62" i="1"/>
  <c r="X62" i="1" s="1"/>
  <c r="R151" i="1"/>
  <c r="X151" i="1" s="1"/>
  <c r="R143" i="1"/>
  <c r="X143" i="1" s="1"/>
  <c r="R312" i="1"/>
  <c r="X312" i="1" s="1"/>
  <c r="R184" i="1"/>
  <c r="X184" i="1" s="1"/>
  <c r="R100" i="1"/>
  <c r="X100" i="1" s="1"/>
  <c r="R341" i="1"/>
  <c r="X341" i="1" s="1"/>
  <c r="R281" i="1"/>
  <c r="X281" i="1" s="1"/>
  <c r="R237" i="1"/>
  <c r="X237" i="1" s="1"/>
  <c r="R181" i="1"/>
  <c r="X181" i="1" s="1"/>
  <c r="R141" i="1"/>
  <c r="X141" i="1" s="1"/>
  <c r="R97" i="1"/>
  <c r="X97" i="1" s="1"/>
  <c r="R41" i="1"/>
  <c r="X41" i="1" s="1"/>
  <c r="R374" i="1"/>
  <c r="X374" i="1" s="1"/>
  <c r="R338" i="1"/>
  <c r="X338" i="1" s="1"/>
  <c r="R302" i="1"/>
  <c r="X302" i="1" s="1"/>
  <c r="R266" i="1"/>
  <c r="X266" i="1" s="1"/>
  <c r="R230" i="1"/>
  <c r="X230" i="1" s="1"/>
  <c r="R194" i="1"/>
  <c r="X194" i="1" s="1"/>
  <c r="R166" i="1"/>
  <c r="X166" i="1" s="1"/>
  <c r="R130" i="1"/>
  <c r="X130" i="1" s="1"/>
  <c r="R94" i="1"/>
  <c r="X94" i="1" s="1"/>
  <c r="R58" i="1"/>
  <c r="X58" i="1" s="1"/>
  <c r="R22" i="1"/>
  <c r="X22" i="1" s="1"/>
  <c r="R379" i="1"/>
  <c r="X379" i="1" s="1"/>
  <c r="R311" i="1"/>
  <c r="X311" i="1" s="1"/>
  <c r="R295" i="1"/>
  <c r="X295" i="1" s="1"/>
  <c r="R419" i="1"/>
  <c r="X419" i="1" s="1"/>
  <c r="R404" i="1"/>
  <c r="X404" i="1" s="1"/>
  <c r="R276" i="1"/>
  <c r="X276" i="1" s="1"/>
  <c r="R160" i="1"/>
  <c r="X160" i="1" s="1"/>
  <c r="R68" i="1"/>
  <c r="X68" i="1" s="1"/>
  <c r="R397" i="1"/>
  <c r="X397" i="1" s="1"/>
  <c r="R317" i="1"/>
  <c r="X317" i="1" s="1"/>
  <c r="R269" i="1"/>
  <c r="X269" i="1" s="1"/>
  <c r="R213" i="1"/>
  <c r="X213" i="1" s="1"/>
  <c r="R173" i="1"/>
  <c r="X173" i="1" s="1"/>
  <c r="R129" i="1"/>
  <c r="X129" i="1" s="1"/>
  <c r="R73" i="1"/>
  <c r="X73" i="1" s="1"/>
  <c r="R29" i="1"/>
  <c r="X29" i="1" s="1"/>
  <c r="R406" i="1"/>
  <c r="X406" i="1" s="1"/>
  <c r="R362" i="1"/>
  <c r="X362" i="1" s="1"/>
  <c r="R326" i="1"/>
  <c r="X326" i="1" s="1"/>
  <c r="R290" i="1"/>
  <c r="X290" i="1" s="1"/>
  <c r="R250" i="1"/>
  <c r="X250" i="1" s="1"/>
  <c r="R214" i="1"/>
  <c r="X214" i="1" s="1"/>
  <c r="R154" i="1"/>
  <c r="X154" i="1" s="1"/>
  <c r="R118" i="1"/>
  <c r="X118" i="1" s="1"/>
  <c r="R82" i="1"/>
  <c r="X82" i="1" s="1"/>
  <c r="R46" i="1"/>
  <c r="X46" i="1" s="1"/>
  <c r="R169" i="1"/>
  <c r="X169" i="1" s="1"/>
  <c r="R402" i="1"/>
  <c r="X402" i="1" s="1"/>
  <c r="R322" i="1"/>
  <c r="X322" i="1" s="1"/>
  <c r="R246" i="1"/>
  <c r="X246" i="1" s="1"/>
  <c r="R427" i="1"/>
  <c r="X427" i="1" s="1"/>
  <c r="R114" i="1"/>
  <c r="X114" i="1" s="1"/>
  <c r="R78" i="1"/>
  <c r="X78" i="1" s="1"/>
  <c r="R127" i="1"/>
  <c r="X127" i="1" s="1"/>
  <c r="R411" i="1"/>
  <c r="X411" i="1" s="1"/>
  <c r="R221" i="1"/>
  <c r="X221" i="1" s="1"/>
  <c r="R37" i="1"/>
  <c r="X37" i="1" s="1"/>
  <c r="R334" i="1"/>
  <c r="X334" i="1" s="1"/>
  <c r="R186" i="1"/>
  <c r="X186" i="1" s="1"/>
  <c r="R54" i="1"/>
  <c r="X54" i="1" s="1"/>
  <c r="R299" i="1"/>
  <c r="X299" i="1" s="1"/>
  <c r="R408" i="1"/>
  <c r="X408" i="1" s="1"/>
  <c r="R217" i="1"/>
  <c r="X217" i="1" s="1"/>
  <c r="R33" i="1"/>
  <c r="X33" i="1" s="1"/>
  <c r="R330" i="1"/>
  <c r="X330" i="1" s="1"/>
  <c r="R182" i="1"/>
  <c r="X182" i="1" s="1"/>
  <c r="R50" i="1"/>
  <c r="X50" i="1" s="1"/>
  <c r="R391" i="1"/>
  <c r="X391" i="1" s="1"/>
  <c r="R280" i="1"/>
  <c r="X280" i="1" s="1"/>
  <c r="R401" i="1"/>
  <c r="X401" i="1" s="1"/>
  <c r="R294" i="1"/>
  <c r="X294" i="1" s="1"/>
  <c r="R158" i="1"/>
  <c r="X158" i="1" s="1"/>
  <c r="R337" i="1"/>
  <c r="X337" i="1" s="1"/>
  <c r="R137" i="1"/>
  <c r="X137" i="1" s="1"/>
  <c r="R262" i="1"/>
  <c r="X262" i="1" s="1"/>
  <c r="R308" i="1"/>
  <c r="X308" i="1" s="1"/>
  <c r="R405" i="1"/>
  <c r="X405" i="1" s="1"/>
  <c r="R20" i="1"/>
  <c r="X20" i="1" s="1"/>
  <c r="R298" i="1"/>
  <c r="X298" i="1" s="1"/>
  <c r="R162" i="1"/>
  <c r="X162" i="1" s="1"/>
  <c r="R180" i="1"/>
  <c r="X180" i="1" s="1"/>
  <c r="R126" i="1"/>
  <c r="X126" i="1" s="1"/>
  <c r="R164" i="1"/>
  <c r="X164" i="1" s="1"/>
  <c r="R333" i="1"/>
  <c r="X333" i="1" s="1"/>
  <c r="R133" i="1"/>
  <c r="X133" i="1" s="1"/>
  <c r="R258" i="1"/>
  <c r="X258" i="1" s="1"/>
  <c r="R122" i="1"/>
  <c r="X122" i="1" s="1"/>
  <c r="R123" i="1"/>
  <c r="X123" i="1" s="1"/>
  <c r="R96" i="1"/>
  <c r="X96" i="1" s="1"/>
  <c r="R277" i="1"/>
  <c r="X277" i="1" s="1"/>
  <c r="R93" i="1"/>
  <c r="X93" i="1" s="1"/>
  <c r="R370" i="1"/>
  <c r="X370" i="1" s="1"/>
  <c r="R226" i="1"/>
  <c r="X226" i="1" s="1"/>
  <c r="R90" i="1"/>
  <c r="X90" i="1" s="1"/>
  <c r="R335" i="1"/>
  <c r="X335" i="1" s="1"/>
  <c r="R72" i="1"/>
  <c r="X72" i="1" s="1"/>
  <c r="R273" i="1"/>
  <c r="X273" i="1" s="1"/>
  <c r="R77" i="1"/>
  <c r="X77" i="1" s="1"/>
  <c r="R366" i="1"/>
  <c r="X366" i="1" s="1"/>
  <c r="R218" i="1"/>
  <c r="X218" i="1" s="1"/>
  <c r="R86" i="1"/>
  <c r="X86" i="1" s="1"/>
  <c r="K9" i="1"/>
  <c r="K11" i="1" s="1"/>
  <c r="C529" i="1" s="1"/>
  <c r="D467" i="1"/>
  <c r="D469" i="1"/>
  <c r="U430" i="1"/>
  <c r="H543" i="1" s="1"/>
  <c r="D468" i="1"/>
  <c r="D472" i="1"/>
  <c r="D471" i="1"/>
  <c r="D470" i="1"/>
  <c r="T430" i="1"/>
  <c r="S430" i="1"/>
  <c r="V430" i="1"/>
  <c r="X16" i="1"/>
  <c r="W430" i="1"/>
  <c r="X430" i="1" l="1"/>
  <c r="E544" i="1" s="1"/>
  <c r="F543" i="1"/>
  <c r="G543" i="1"/>
  <c r="J543" i="1"/>
  <c r="E468" i="1"/>
  <c r="I543" i="1"/>
  <c r="E467" i="1"/>
  <c r="R430" i="1"/>
  <c r="E543" i="1" s="1"/>
  <c r="I534" i="1"/>
  <c r="F533" i="1"/>
  <c r="F535" i="1" s="1"/>
  <c r="I533" i="1"/>
  <c r="J533" i="1"/>
  <c r="J534" i="1"/>
  <c r="D521" i="1"/>
  <c r="D520" i="1"/>
  <c r="D519" i="1"/>
  <c r="D518" i="1"/>
  <c r="D517" i="1"/>
  <c r="D516" i="1"/>
  <c r="D515" i="1"/>
  <c r="D506" i="1"/>
  <c r="D505" i="1"/>
  <c r="D504" i="1"/>
  <c r="D503" i="1"/>
  <c r="D502" i="1"/>
  <c r="D501" i="1"/>
  <c r="D500" i="1"/>
  <c r="D474" i="1"/>
  <c r="D473" i="1"/>
  <c r="D490" i="1"/>
  <c r="D489" i="1"/>
  <c r="D488" i="1"/>
  <c r="D487" i="1"/>
  <c r="D486" i="1"/>
  <c r="D485" i="1"/>
  <c r="D484" i="1"/>
  <c r="D457" i="1"/>
  <c r="D456" i="1"/>
  <c r="D455" i="1"/>
  <c r="D454" i="1"/>
  <c r="D453" i="1"/>
  <c r="D452" i="1"/>
  <c r="D443" i="1"/>
  <c r="D442" i="1"/>
  <c r="D441" i="1"/>
  <c r="D440" i="1"/>
  <c r="E440" i="1" s="1"/>
  <c r="D439" i="1"/>
  <c r="E439" i="1" s="1"/>
  <c r="D438" i="1"/>
  <c r="E438" i="1" s="1"/>
  <c r="E545" i="1" l="1"/>
  <c r="J535" i="1"/>
  <c r="I535" i="1"/>
  <c r="D475" i="1"/>
  <c r="E520" i="1" l="1"/>
  <c r="D458" i="1" l="1"/>
  <c r="E473" i="1"/>
  <c r="E470" i="1"/>
  <c r="E469" i="1"/>
  <c r="E471" i="1"/>
  <c r="E472" i="1"/>
  <c r="E474" i="1"/>
  <c r="D522" i="1"/>
  <c r="E452" i="1"/>
  <c r="E456" i="1"/>
  <c r="E484" i="1"/>
  <c r="E488" i="1"/>
  <c r="E519" i="1"/>
  <c r="E501" i="1"/>
  <c r="E505" i="1"/>
  <c r="E455" i="1"/>
  <c r="E453" i="1"/>
  <c r="E457" i="1"/>
  <c r="E485" i="1"/>
  <c r="E489" i="1"/>
  <c r="E516" i="1"/>
  <c r="E502" i="1"/>
  <c r="E441" i="1"/>
  <c r="E454" i="1"/>
  <c r="D444" i="1"/>
  <c r="E442" i="1"/>
  <c r="E486" i="1"/>
  <c r="E490" i="1"/>
  <c r="E517" i="1"/>
  <c r="E521" i="1"/>
  <c r="E503" i="1"/>
  <c r="E506" i="1"/>
  <c r="E443" i="1"/>
  <c r="E487" i="1"/>
  <c r="E518" i="1"/>
  <c r="D507" i="1"/>
  <c r="E504" i="1"/>
  <c r="D491" i="1"/>
  <c r="E515" i="1"/>
  <c r="E500" i="1"/>
  <c r="E475" i="1" l="1"/>
  <c r="E522" i="1"/>
  <c r="E491" i="1"/>
  <c r="E444" i="1"/>
  <c r="E507" i="1"/>
  <c r="E458" i="1"/>
</calcChain>
</file>

<file path=xl/sharedStrings.xml><?xml version="1.0" encoding="utf-8"?>
<sst xmlns="http://schemas.openxmlformats.org/spreadsheetml/2006/main" count="1494" uniqueCount="532">
  <si>
    <t>OBJETO:</t>
  </si>
  <si>
    <t>MODALIDAD:</t>
  </si>
  <si>
    <t>VALOR:</t>
  </si>
  <si>
    <t>CIIU APLICABLE</t>
  </si>
  <si>
    <t>EMPRESAS</t>
  </si>
  <si>
    <t>Nit</t>
  </si>
  <si>
    <t>Razón social de la sociedad</t>
  </si>
  <si>
    <t>RANGO</t>
  </si>
  <si>
    <t>CANTIDAD DE EMPRESAS</t>
  </si>
  <si>
    <t>0 - 0.5</t>
  </si>
  <si>
    <t>0.5 - 1</t>
  </si>
  <si>
    <t>1 - 1.5</t>
  </si>
  <si>
    <t>1.5 - 2</t>
  </si>
  <si>
    <t>2 - 2.5</t>
  </si>
  <si>
    <t>&gt; 2.5</t>
  </si>
  <si>
    <t>TOTAL</t>
  </si>
  <si>
    <t>&lt; 0M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</si>
  <si>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</si>
  <si>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</si>
  <si>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</si>
  <si>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</si>
  <si>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</si>
  <si>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</si>
  <si>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</si>
  <si>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0 - 1.5</t>
  </si>
  <si>
    <t>1.5 - 3</t>
  </si>
  <si>
    <t>3 - 4.5</t>
  </si>
  <si>
    <t>4.5 - 6</t>
  </si>
  <si>
    <t>&gt; 6</t>
  </si>
  <si>
    <t>&lt; = 0%</t>
  </si>
  <si>
    <t>0% - 3%</t>
  </si>
  <si>
    <t>3,1% - 6%</t>
  </si>
  <si>
    <t>6,1% - 9%</t>
  </si>
  <si>
    <t>9,1% - 12%</t>
  </si>
  <si>
    <t>12,1% - 15%</t>
  </si>
  <si>
    <t>&gt; 15%</t>
  </si>
  <si>
    <t>0% - 6%</t>
  </si>
  <si>
    <t>6,1% - 12%</t>
  </si>
  <si>
    <t>12,1% - 18%</t>
  </si>
  <si>
    <t>18,1% - 24%</t>
  </si>
  <si>
    <t>24,1% - 30%</t>
  </si>
  <si>
    <t>&gt; 30%</t>
  </si>
  <si>
    <t>CAPITAL DE TRABAJO</t>
  </si>
  <si>
    <t>COBERTURA INTERESES</t>
  </si>
  <si>
    <t>RENTABILIDAD SOBRE ACTIVOS</t>
  </si>
  <si>
    <t>RENTABILIDAD SOBRE PATRIMONIO</t>
  </si>
  <si>
    <t>MEDIA PODADA</t>
  </si>
  <si>
    <t>MEDIANA</t>
  </si>
  <si>
    <t>MAYOR O IGUAL A</t>
  </si>
  <si>
    <t>MENOR O IGUAL A</t>
  </si>
  <si>
    <t>CIIU</t>
  </si>
  <si>
    <t>INDICADORES DE CAPACIDAD FINANCIERA</t>
  </si>
  <si>
    <t>Activos corrientes</t>
  </si>
  <si>
    <t>Pasivos corrientes</t>
  </si>
  <si>
    <t>Patrimonio</t>
  </si>
  <si>
    <t>índice de liquidez</t>
  </si>
  <si>
    <t>Nivel de endeudamiento</t>
  </si>
  <si>
    <t>Rentabilidad del patrimonio</t>
  </si>
  <si>
    <t>Rentabilidad del Activo</t>
  </si>
  <si>
    <t>Cobertura de Intereses</t>
  </si>
  <si>
    <t xml:space="preserve">Índice de Liquidez = Activo corriente / Pasivo corriente, el cual determina la capacidad que tiene un proponente para cumplir con sus obligaciones de corto plazo. A mayor índice de liquidez, menor es la probabilidad de que el proponente incumpla sus obligaciones de corto plazo. </t>
  </si>
  <si>
    <t>Capital de trabajo = Activo corriente - Pasivo corriente, el cual representa la liquidez operativa del proponente, es decir el remanente del proponente luego de liquidar sus activos corrientes (convertirlos en efectivo) y pagar el pasivo de corto plazo.</t>
  </si>
  <si>
    <t>Índice de Endeudamiento = Pasivo Total / Activo Total, el cual determina el grado de endeudamiento en la estructura de financiación (pasivos y patrimonio) del proponente. A mayor índice de endeudamiento, mayor es la probabilidad del proponente de no poder cumplir con sus pasivos.</t>
  </si>
  <si>
    <t>INDICADORES DE CAPACIDAD ORGANIZACIONAL</t>
  </si>
  <si>
    <t>PROMEDIO</t>
  </si>
  <si>
    <t>NIVEL DE ENDEUDAMIENTO</t>
  </si>
  <si>
    <t>CAPITAL DE TRABAJO 
(en miles de $)</t>
  </si>
  <si>
    <t>CRITERIO RECOMENDADO</t>
  </si>
  <si>
    <t>% DE LA MUESTRA QUE CUMPLE LOS SEIS (6) INDICADORES</t>
  </si>
  <si>
    <t>Razón de Cobertura de Intereses = Utilidad Operacional / Gastos de Intereses, el cual refleja la capacidad del proponente de cumplir con sus obligaciones financieras. A mayor cobertura de intereses, menor es la probabilidad de que el proponente incumpla sus obligaciones financieras.</t>
  </si>
  <si>
    <t>Rentabilidad sobre activos = Utilidad Operacional / Activo Total, el cual 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</si>
  <si>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Rentabilidad sobre patrimonio: Utilidad Operacional / Patrimonio, el cual 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</si>
  <si>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% DE LA MUESTRA QUE CUMPLE EL CRITERIO INDIVIDUALMENTE</t>
  </si>
  <si>
    <t>Negativo Infinito</t>
  </si>
  <si>
    <t>Gastos de intereses = 0 Positivo Infinito</t>
  </si>
  <si>
    <t>$1000M - $2000M</t>
  </si>
  <si>
    <t>$2000M- $3000M</t>
  </si>
  <si>
    <t>$3000M - $4000M</t>
  </si>
  <si>
    <t>&gt; $4000M</t>
  </si>
  <si>
    <t>0M - $1000M</t>
  </si>
  <si>
    <t>Tipo</t>
  </si>
  <si>
    <t>Total Activos</t>
  </si>
  <si>
    <t>Total Pasivos</t>
  </si>
  <si>
    <t>Capital de trabajo (en miles de $)</t>
  </si>
  <si>
    <t>Plenas-Individuales</t>
  </si>
  <si>
    <t>FUENTE: Superintendencia de Sociedades https://siis.ia.supersociedades.gov.co/#/massivereports</t>
  </si>
  <si>
    <t>Plenas-Separados</t>
  </si>
  <si>
    <t>Pymes-Individuales</t>
  </si>
  <si>
    <t>LIMITE INFERIOR</t>
  </si>
  <si>
    <t>LIMITE SUPERIOR</t>
  </si>
  <si>
    <t>EMPRESAS OBTENIDAS POR SIIS</t>
  </si>
  <si>
    <t>EMPRESAS COTIZANTES POR RUES</t>
  </si>
  <si>
    <t>No Aplica</t>
  </si>
  <si>
    <t>TOTAL MUESTRA</t>
  </si>
  <si>
    <t>Cuantas Empresas Cumplen con los seis indicadores</t>
  </si>
  <si>
    <t>Pymes-Separados</t>
  </si>
  <si>
    <t>Cumple con todos</t>
  </si>
  <si>
    <t>ÍNDICE DE LIQUIDEZ</t>
  </si>
  <si>
    <t>EMPRESAS IDENTIFICADAS COMO MUESTRA PARA EL ANÁLISIS:</t>
  </si>
  <si>
    <t>DESVIACIÓN ESTÁNDAR</t>
  </si>
  <si>
    <t>MÍNIMO</t>
  </si>
  <si>
    <t>MÁXIMO</t>
  </si>
  <si>
    <t>2. REQUISITOS FINANCIEROS Y DE CAPACIDAD ORGANIZACIONAL PARA EL PROCESO DE CONTRATACIÓN</t>
  </si>
  <si>
    <t>SMMLV</t>
  </si>
  <si>
    <t>1. ANÁLISIS FINANCIERO DEL SECTOR</t>
  </si>
  <si>
    <t>DESCRIPCIÓN</t>
  </si>
  <si>
    <t>Gastos de Intereses (Costos Financieros)</t>
  </si>
  <si>
    <t>Utilidad Operacional</t>
  </si>
  <si>
    <t>INDETERMINADO</t>
  </si>
  <si>
    <t>IND LIQUIDEZ ( ACT CTE/PAS CTE)</t>
  </si>
  <si>
    <t>ENDEUDAMIENTO ( PAS TOTAL/ ACT TOTAL)</t>
  </si>
  <si>
    <t>COBERTURA DE INTERESES ( UTIL OPER / GASTOS FINANCIEROS)</t>
  </si>
  <si>
    <t>RENT PATRIMONIO (UTIL OPER/PATRIMONIO)</t>
  </si>
  <si>
    <t>RENT ACTIVO (UTIL OPER/ACTIVO)</t>
  </si>
  <si>
    <t>CAPITAL DE TRABAJO ( ACT CTE- PAS CTE)
(en miles de $)</t>
  </si>
  <si>
    <t>CÁLCULO INDICADORES FINANCIEROS PARA PROCESOS DE SELECCIÓN
CORTE A 31 DE DICIEMBRE DE 2024</t>
  </si>
  <si>
    <t>se modifican los indicadores a los dados en la media podada por solicitud del Ingeniero Nelson y previa revisión y propuesta recomendada del asesor Elkin Ballesteros (revisor aspectos financieros)</t>
  </si>
  <si>
    <t>RICOH COLOMBIA S.A.</t>
  </si>
  <si>
    <t>ENERGIA Y POTENCIA S.A.S</t>
  </si>
  <si>
    <t>IMPLANTES Y SISTEMAS ORTOPEDICOS SA</t>
  </si>
  <si>
    <t>LM INSTRUMENTS SA</t>
  </si>
  <si>
    <t>UPSISTEMAS SAS</t>
  </si>
  <si>
    <t>JUNGHEINRICH COLOMBIA SAS</t>
  </si>
  <si>
    <t>ARNEG ANDINA LTDA</t>
  </si>
  <si>
    <t>Nordson Andina Ltda</t>
  </si>
  <si>
    <t>ST JUDE MEDICAL COLOMBIA LTDA</t>
  </si>
  <si>
    <t>FMC TECHNOLOGIES INC</t>
  </si>
  <si>
    <t>MEDTRONIC COLOMBIA S.A</t>
  </si>
  <si>
    <t>MAYEKAWA COLOMBIA SAS</t>
  </si>
  <si>
    <t>COMMSCOPE CONNECTIVITY COLOMBIA SAS</t>
  </si>
  <si>
    <t>Komatsu Colombia SAS</t>
  </si>
  <si>
    <t>KAESER COMPRESORES DE COLOMBIA SAS</t>
  </si>
  <si>
    <t>UCIPHARMA S.A.</t>
  </si>
  <si>
    <t>NOVOMATIC GAMING COLOMBIA SAS</t>
  </si>
  <si>
    <t>ANDRITZ HYDRO LTDA</t>
  </si>
  <si>
    <t>JOHN CRANE COLOMBIA SA</t>
  </si>
  <si>
    <t>NIPRO MEDICAL CORPORATION</t>
  </si>
  <si>
    <t>WEG COLOMBIA S.A.S.</t>
  </si>
  <si>
    <t>SKF Latin Trade SAS</t>
  </si>
  <si>
    <t>KAIKA SAS</t>
  </si>
  <si>
    <t>GENERAL DE EQUIPOS DE COLOMBIA S.A.</t>
  </si>
  <si>
    <t>CENTRAL SAS</t>
  </si>
  <si>
    <t>B Braun Medical S.A.</t>
  </si>
  <si>
    <t>DELCOP COLOMBIA SAS</t>
  </si>
  <si>
    <t>G. BARCO S.A.</t>
  </si>
  <si>
    <t>HELICENTRO SAS</t>
  </si>
  <si>
    <t>IMCOLMEDICA SA</t>
  </si>
  <si>
    <t>BLACK &amp; DECKER DE COLOMBIA SAS</t>
  </si>
  <si>
    <t>G &amp; G  SUCEOSRES S.A.S.</t>
  </si>
  <si>
    <t>NICOMAR ELECTRONICS S.A.S</t>
  </si>
  <si>
    <t>LA INSTRUMENTADORA SAS</t>
  </si>
  <si>
    <t>BIOTRONITECH COLOMBIA SAS</t>
  </si>
  <si>
    <t>Industrial Taylor SAS</t>
  </si>
  <si>
    <t>ELECTRICAS BOGOTA LTDA</t>
  </si>
  <si>
    <t>ATLAS COPCO COLOMBIA LTDA</t>
  </si>
  <si>
    <t>TRIENERGY S.A.S</t>
  </si>
  <si>
    <t>GILMEDICA SAS</t>
  </si>
  <si>
    <t>AUTOMATIZACION SA</t>
  </si>
  <si>
    <t>RODRIGUEZ Y LONDOÑO SA</t>
  </si>
  <si>
    <t>QUIRURGIL SAS</t>
  </si>
  <si>
    <t>ROHDE &amp; SCHWARZ COLOMBIA S.A.S.</t>
  </si>
  <si>
    <t>LAYHER ANDINA SAS</t>
  </si>
  <si>
    <t>SMITH &amp; NEPHEW COLOMBIA S.A.S</t>
  </si>
  <si>
    <t>PIPE SUPPLY AND SERVICES S.A.S.</t>
  </si>
  <si>
    <t>GEA ANDINA SOCIEDAD POR ACCIONES SIMPLIFICADA - GEA ANDINA SAS</t>
  </si>
  <si>
    <t>ROBERT BOSCH LTDA</t>
  </si>
  <si>
    <t>Draeger Colombia SA</t>
  </si>
  <si>
    <t>MAKITA COLOMBIA SAS</t>
  </si>
  <si>
    <t>IMPORMEDICAL EQUIPOS Y SUMINISTROS MEDICOS SA</t>
  </si>
  <si>
    <t>ISTC ANDINA S A S</t>
  </si>
  <si>
    <t>TOSHIBA AMERICA ENERGY SYSTEMS CORPORATION</t>
  </si>
  <si>
    <t>MINDRAY MEDICAL COLOMBIA SAS</t>
  </si>
  <si>
    <t>BTL COLOMBIA S.A.S.</t>
  </si>
  <si>
    <t>Eaton Industries Colombia SAS</t>
  </si>
  <si>
    <t>Levare Services Ltd Sucursal Colombia</t>
  </si>
  <si>
    <t>LIEBHERR COLOMBIA SAS</t>
  </si>
  <si>
    <t>ALKHORAYEF ZONA FRANCA SAS</t>
  </si>
  <si>
    <t>HILTI COLOMBIA S.A.S.</t>
  </si>
  <si>
    <t>WEIR MINERALS COLOMBIA SAS</t>
  </si>
  <si>
    <t>CUMMINS NORTE DE COLOMBIA SAS</t>
  </si>
  <si>
    <t>SPIRAX SARCO COLOMBIA SAS</t>
  </si>
  <si>
    <t>Getinge Colombia SAS</t>
  </si>
  <si>
    <t>CHAMPIONX LLC SUCURSAL COLOMBIA</t>
  </si>
  <si>
    <t>GRUNDFOS COLOMBIA SAS</t>
  </si>
  <si>
    <t>PHOENIX CONTACT SAS</t>
  </si>
  <si>
    <t>GE HEALTHCARE COLOMBIA SAS</t>
  </si>
  <si>
    <t>YOKOGAWA COLOMBIA SAS</t>
  </si>
  <si>
    <t>HP COLOMBIA SAS</t>
  </si>
  <si>
    <t>SANY COLOMBIA SAS</t>
  </si>
  <si>
    <t>LIVANOVA COLOMBIA SAS</t>
  </si>
  <si>
    <t>ENDRESS+HAUSER COLOMBIA SAS</t>
  </si>
  <si>
    <t>INVERSIONES PROMEDCO SAS</t>
  </si>
  <si>
    <t>CARDINAL HEALTH COLOMBIA SAS</t>
  </si>
  <si>
    <t>Epiroc Colombia S.A.S.</t>
  </si>
  <si>
    <t>IGT COLOMBIA SOLUTIONS SAS</t>
  </si>
  <si>
    <t>ADVANCED STERILIZATION PRODUCT COLOMBIA SAS</t>
  </si>
  <si>
    <t>CARL BAGUHN BARRANQUILLA SAS</t>
  </si>
  <si>
    <t>STECK ANDINA SAS</t>
  </si>
  <si>
    <t>impulmedicos sas</t>
  </si>
  <si>
    <t>COLSEIN SAS</t>
  </si>
  <si>
    <t>VARIADORES SAS</t>
  </si>
  <si>
    <t>FEILO SYLVANIA COLOMBIA S.A</t>
  </si>
  <si>
    <t>POTENCIA Y TECNOLOGIAS INCORPORADAS SA BIC</t>
  </si>
  <si>
    <t>Carval Internacional Limitada</t>
  </si>
  <si>
    <t>TECHNO FOOD SAS</t>
  </si>
  <si>
    <t>Suplemedicos SAS</t>
  </si>
  <si>
    <t>PARTEQUIPOS MAQUINARIA SAS</t>
  </si>
  <si>
    <t>TOP  MEDICAL SYSTEMS SA</t>
  </si>
  <si>
    <t>LABORATORIOS RETINA SAS</t>
  </si>
  <si>
    <t>CHM MINERIA SAS</t>
  </si>
  <si>
    <t>S &amp; N HOLDINGS S A S</t>
  </si>
  <si>
    <t>ENERGEX S.A</t>
  </si>
  <si>
    <t>LUAVAGA SAS</t>
  </si>
  <si>
    <t>COMPAÑIA MANUFACTURERA ONI SA</t>
  </si>
  <si>
    <t>LA CASA DEL MEDICO SAS</t>
  </si>
  <si>
    <t>PUMPER SAS</t>
  </si>
  <si>
    <t>INTERHOSPITALARIA SAS</t>
  </si>
  <si>
    <t>PLANTAS ELECTRICAS Y SOLUCIONES ENERGETICAS SAS</t>
  </si>
  <si>
    <t>DIDACTICOS Y LIBROS DIDACLIBROS LTDA</t>
  </si>
  <si>
    <t>SURTIMINAS SAS</t>
  </si>
  <si>
    <t>NEUMATICA DEL CARIBE SA</t>
  </si>
  <si>
    <t>MASER LTDA</t>
  </si>
  <si>
    <t>IMPORTADORA INDUSTRIAL COLOMBIANA SAS IMPORINCO SAS</t>
  </si>
  <si>
    <t>,MARWIND SAS</t>
  </si>
  <si>
    <t>BCI INGENIERIA SAS</t>
  </si>
  <si>
    <t>PROVETECMAR S.A.</t>
  </si>
  <si>
    <t>ASTRO MAQUINARIA SAS</t>
  </si>
  <si>
    <t>SITO COMERCIAL SAS</t>
  </si>
  <si>
    <t>GONZALEZ TASCON S A S.</t>
  </si>
  <si>
    <t>MAQUINARIAS PARA AREAS VERDES SA</t>
  </si>
  <si>
    <t>REPRESENTACIONES ANIBAL ROJASLTDA</t>
  </si>
  <si>
    <t>EUROSIERRAS S.A.S. EN PROCESO DE  NEGOCIACIÓN DE EMERGENCIA</t>
  </si>
  <si>
    <t>HERNAN ESCOBAR POSADA REPRESENTACIONES LTDA</t>
  </si>
  <si>
    <t>IMCOMELEC INGENIEROS SAS</t>
  </si>
  <si>
    <t>SERVICIOS TECNICOS E INGENIERIA SETINGE LTDA</t>
  </si>
  <si>
    <t>DICSON SA</t>
  </si>
  <si>
    <t>SERVITRONICS S.A.S</t>
  </si>
  <si>
    <t>USM OLOMBIA SAS</t>
  </si>
  <si>
    <t>TRASEGAR SAS</t>
  </si>
  <si>
    <t>INVERMEDICA SAS</t>
  </si>
  <si>
    <t>APLICACIONES TECNICAS E INVERSIONES SAS</t>
  </si>
  <si>
    <t>SOPORTE A LA INGENIERIA SAS</t>
  </si>
  <si>
    <t>KREIS MASCHINEN SOCIEDAD POR ACCIONES SIMPLIFICADAS</t>
  </si>
  <si>
    <t>TEC POINT SAS</t>
  </si>
  <si>
    <t>CONTROL E INSTRUMENTACION INDUSTRIAL DE COLOMBIA SAS</t>
  </si>
  <si>
    <t>MASTER CONSTROL LTDA</t>
  </si>
  <si>
    <t>INTELNET MEDICA SAS</t>
  </si>
  <si>
    <t>AGP REPRESENTACIONES SAS</t>
  </si>
  <si>
    <t>BIOSISTEMAS INGENIERIA MEDICA SAS</t>
  </si>
  <si>
    <t>ELESEG SAS</t>
  </si>
  <si>
    <t>INVERSIONES UCARO SAS</t>
  </si>
  <si>
    <t>ARCE MUÑOZ RAMIREZ Y CIA SAS</t>
  </si>
  <si>
    <t>INGEMARC SAS</t>
  </si>
  <si>
    <t>TECNIYALE SAS</t>
  </si>
  <si>
    <t>KRUMTAP SAS</t>
  </si>
  <si>
    <t>VALSI DE COLOMBIA SAS</t>
  </si>
  <si>
    <t>SAE INGENIERIA INDUSTRIAL SAS</t>
  </si>
  <si>
    <t>IBT IMPORTACION Y EXPORTACION DE PRODUCTOS AGRICOLAS E INDUSTRIALES INTERNATIONAL BUSINESS TRADE SAS</t>
  </si>
  <si>
    <t>Crediservicios y Tecnologia Ltda</t>
  </si>
  <si>
    <t>NOVA MEDICA SAS</t>
  </si>
  <si>
    <t>IINCLICOL VALVULAS Y CONEXIONES SAS</t>
  </si>
  <si>
    <t>DISUMED SAS</t>
  </si>
  <si>
    <t>NETGY S.A.S EN REOGANIZACIÓN  ABREVIADA</t>
  </si>
  <si>
    <t>NAUTICENTER SAS</t>
  </si>
  <si>
    <t>REQUIP SAS</t>
  </si>
  <si>
    <t>Maquitodo SAS</t>
  </si>
  <si>
    <t>COLCOPY SAS</t>
  </si>
  <si>
    <t>TECNISOLUTIONS SAS</t>
  </si>
  <si>
    <t>POWER ONE SAS</t>
  </si>
  <si>
    <t>THERMOREPUESTOS SAS</t>
  </si>
  <si>
    <t>ABC INGENIERIA Y REPRESENTACIONES SAS</t>
  </si>
  <si>
    <t>SIERRAS Y EQUIPOS SAS</t>
  </si>
  <si>
    <t>FUKUTEX SAS</t>
  </si>
  <si>
    <t>ONNERA COLOMBIA SAS</t>
  </si>
  <si>
    <t>EQUITRONIC SAS</t>
  </si>
  <si>
    <t>VELPA SOLUCIONES INTEGRALES SAS</t>
  </si>
  <si>
    <t>CPS REPRESENTACIONES SAS</t>
  </si>
  <si>
    <t>VIVALDI INGENIERIA HOSPITALARIA SAS</t>
  </si>
  <si>
    <t>DILASER SAS</t>
  </si>
  <si>
    <t>ABC PLANTAS Y EQUIPOS SAS</t>
  </si>
  <si>
    <t>TECNICA ELECTRO MEDICA SA</t>
  </si>
  <si>
    <t>TECNOENERGIA COLOMBIA SAS</t>
  </si>
  <si>
    <t>ICL DIDACTICA SAS</t>
  </si>
  <si>
    <t>Bawer Company SAS</t>
  </si>
  <si>
    <t>CORALMEDICA LIMITADA</t>
  </si>
  <si>
    <t>FECO Y CIA SAS</t>
  </si>
  <si>
    <t>COMPAÑIA INTERAMERICANA DE SEGURIDAD Y SERVICIOS LTDA</t>
  </si>
  <si>
    <t>HOBART ANDINA SAS</t>
  </si>
  <si>
    <t>NUEVOS RECURSOS SAS</t>
  </si>
  <si>
    <t>DOTACIONES Y EQUIPOS INDUSTRIALES DE COLOMBIA DOTAEQUIP LTDA</t>
  </si>
  <si>
    <t>INOXPA COLOMBIA SAS</t>
  </si>
  <si>
    <t>Logistica para dispositivos medicos sas</t>
  </si>
  <si>
    <t>CORREAS MANGUERAS Y SELLOS SAS</t>
  </si>
  <si>
    <t>AM ASESORIA Y MANTENIMIENTO LTDA</t>
  </si>
  <si>
    <t>INNOVACION TECNOLOGICA S.A.S.</t>
  </si>
  <si>
    <t>ERASMUS SAS</t>
  </si>
  <si>
    <t>SAEG ENGINEERING GROUP SAS</t>
  </si>
  <si>
    <t>HEIDELBERG COLOMBIA SAS</t>
  </si>
  <si>
    <t>TECNICOSTURA SA</t>
  </si>
  <si>
    <t>ALMAPAL COLOMBIA</t>
  </si>
  <si>
    <t>GEOSYSTEM INGENERIA SAS</t>
  </si>
  <si>
    <t>SUMINISTROS Y COMPRESORES LIMITADA</t>
  </si>
  <si>
    <t>KASSEL GROUP S.A.S.</t>
  </si>
  <si>
    <t>GRAPHIC SOLUTIONS INTERNATINAL SAS</t>
  </si>
  <si>
    <t>MICROMEDICA SAS - EN REORGANIZACION</t>
  </si>
  <si>
    <t>UNIVERSAL PACK GROUP S.A.S EN REORGANIZACIÓN</t>
  </si>
  <si>
    <t>SET Y GAD SAS</t>
  </si>
  <si>
    <t>CLA DE COLOMBIA SAS</t>
  </si>
  <si>
    <t>WORLD MEDICAL SAS</t>
  </si>
  <si>
    <t>ELECTROEQUIPOS COLOMBIA SAS</t>
  </si>
  <si>
    <t>HIGH QUALITY ENGINEERING SAS</t>
  </si>
  <si>
    <t>MACROSEARCH SAS</t>
  </si>
  <si>
    <t>DISTRIBUIDORA Y COMERCIALIZADORA DIZAR LTDA</t>
  </si>
  <si>
    <t>GLOBAL MOTOR SAS</t>
  </si>
  <si>
    <t>FLUICONNECTO SERVICIOS HIDRAULICOS SAS</t>
  </si>
  <si>
    <t>HOERBIGER de Colombia Ltda</t>
  </si>
  <si>
    <t>ELECTRICOS Y COMUNICACIONES ALFA SAS</t>
  </si>
  <si>
    <t>GRAFIX DIGITAL S.A.</t>
  </si>
  <si>
    <t>MEDIMEX SAS</t>
  </si>
  <si>
    <t>ASSIST INGENIERIA S.A.S</t>
  </si>
  <si>
    <t>AIRE Y ENERGIA LIMITADA</t>
  </si>
  <si>
    <t>ABCONTROL INGENIERIA SAS</t>
  </si>
  <si>
    <t>GAS INSTRUMENT SAS</t>
  </si>
  <si>
    <t>CODIFICACION Y ETIQUETADO SA</t>
  </si>
  <si>
    <t>BESTOOLS SAS</t>
  </si>
  <si>
    <t>VEYALTHI GROUP S.A.S VEYALTHI GROUP S.A.S</t>
  </si>
  <si>
    <t>METRICOM LIMITADA</t>
  </si>
  <si>
    <t>COLOMBIANA DE REPRESENTACIONES INGENIERIA Y SUMINISTROS S.A.</t>
  </si>
  <si>
    <t>BEARINGS TRANSMISSION COLOMBIA LIMITADA</t>
  </si>
  <si>
    <t>IMPORSOLUCIONES SAS</t>
  </si>
  <si>
    <t>LOH ENTERPRISES COLOMBIA SAS</t>
  </si>
  <si>
    <t>HIDROMED SA</t>
  </si>
  <si>
    <t>ABC RODAMIENTOS Y SUMINISTROS INDUTRIALES SAS</t>
  </si>
  <si>
    <t>INSE GROUP S.A.S</t>
  </si>
  <si>
    <t>HISPANO COLOMBIANA DE EQUIPOS SAS</t>
  </si>
  <si>
    <t>PANTECNICA S.A. Comercialización de Polipastos, puente gruas y equipos afines en el manejo de carga para todo tipo de industria. G4659 - Comercio al por mayor de otros tipos de maquinaria y equipo n.c.p. 01. ANUAL 1955-03-02 2052-12-31 ACTIVA 01. SOCIEDAD ANÓNIMA 07. ACTIVIDAD ECONÓMICA DIFERENTE A LAS ANTERIORE</t>
  </si>
  <si>
    <t>WONDERFUL MUEBLES SPAZIO W SAS</t>
  </si>
  <si>
    <t>HACH COLOMBIA SAS</t>
  </si>
  <si>
    <t>IMPORTADORA FOTOMORIZ SA</t>
  </si>
  <si>
    <t>SANITAS SAS</t>
  </si>
  <si>
    <t>SARAVIA BRAVO SOCIEDAD POR ACCIONES SIMPLIFICADA</t>
  </si>
  <si>
    <t>RADIOCOM SAS</t>
  </si>
  <si>
    <t>E MC ALLISTER SAS</t>
  </si>
  <si>
    <t>FSC SOLUCIONES DE INGENIERIA SAS</t>
  </si>
  <si>
    <t>UNIMAQ SA</t>
  </si>
  <si>
    <t>HANSEATICA SAS</t>
  </si>
  <si>
    <t>INSTRUMENTOS &amp; CONTROLES SA</t>
  </si>
  <si>
    <t>DISAM SAS</t>
  </si>
  <si>
    <t>COMPAÑIA IMPORTADORA Y EXPORTADORA DE COLOMBIA SAS</t>
  </si>
  <si>
    <t>TECNO INGENIERIA LTDA</t>
  </si>
  <si>
    <t>JAVAR SAS</t>
  </si>
  <si>
    <t>EQUIMED LTDA</t>
  </si>
  <si>
    <t>Petrolcarbon Ltda</t>
  </si>
  <si>
    <t>J RESTREPO EQUIPHOS SAS</t>
  </si>
  <si>
    <t>HOSPIMEDICS S.A.S EN LIQUIDACION</t>
  </si>
  <si>
    <t>FIZA SAS</t>
  </si>
  <si>
    <t>ALFRIO SAS</t>
  </si>
  <si>
    <t>INVERSIONES DRILLTEX SAS</t>
  </si>
  <si>
    <t>CI DISMECOL SAS</t>
  </si>
  <si>
    <t>DIRIMPEX SAS</t>
  </si>
  <si>
    <t>PURIFICACION Y ANALISIS DE FLUIDOS SAS</t>
  </si>
  <si>
    <t>PROYNS SAS</t>
  </si>
  <si>
    <t>LAS ELECTROMEDICINA SAS</t>
  </si>
  <si>
    <t>AMERICAN FARMAGRUP SAS</t>
  </si>
  <si>
    <t>MACOSER SA</t>
  </si>
  <si>
    <t>AVANTIKA COLOMBIA SAS</t>
  </si>
  <si>
    <t>INVERSIONES CHAHIN Y CIA C.S.A EN REORGANIZACION</t>
  </si>
  <si>
    <t>ATR SAS EN REORGANIZACION</t>
  </si>
  <si>
    <t>ESSEN SAS</t>
  </si>
  <si>
    <t>SINCRON DISEÑO ELECTRONICO SAS</t>
  </si>
  <si>
    <t>CODINTER SAS</t>
  </si>
  <si>
    <t>FISIOMEDICA SAS</t>
  </si>
  <si>
    <t>SOLDARCO SAS</t>
  </si>
  <si>
    <t>IMPORTACION TECNICA ESTUDIOS Y COMERCIALIZACION S.A.</t>
  </si>
  <si>
    <t>ANTONIO SPATH &amp; CÍA. S.A.</t>
  </si>
  <si>
    <t>MAQUINAS INDUSTRIALES DE CONFECCION SAS</t>
  </si>
  <si>
    <t>HECTOR ECHAVARRIA V. SOCIEDAD PORACCIONES SIMPLIFICADA- HEVCO SAS</t>
  </si>
  <si>
    <t>PREMAC SAS</t>
  </si>
  <si>
    <t>ALMACEN BOMBAS SA</t>
  </si>
  <si>
    <t>ELECTRONICA MEDICA Y CONTROL EMCO S.A.S.</t>
  </si>
  <si>
    <t>LINEAS Y DISEÑOS S.A.S</t>
  </si>
  <si>
    <t>BYR INGENIERIA DE FLUIDOS SAS</t>
  </si>
  <si>
    <t>SUMINISTROS Y CONTROLES ELECTRONICOS S.A.</t>
  </si>
  <si>
    <t>DICIMED SAS</t>
  </si>
  <si>
    <t>AQUAPLACE DESALINATION S.A.S.</t>
  </si>
  <si>
    <t>DISTRIALFA DEL PACIFICO SAS</t>
  </si>
  <si>
    <t>HIGH TEC ENVIRONMENTAL LTDA</t>
  </si>
  <si>
    <t>JPR MAQUINAS Y CONSTRUCCIONES S.A.S</t>
  </si>
  <si>
    <t>TRANSMISIONES SAS</t>
  </si>
  <si>
    <t>CONTINENTAL PROCESS INSTRUMENTS SAS</t>
  </si>
  <si>
    <t>SORING LTDA</t>
  </si>
  <si>
    <t>GNH COLOMBIA SAS</t>
  </si>
  <si>
    <t>GRUPO MLS SAS</t>
  </si>
  <si>
    <t>EDISATECH INTERNATIONAL GROUP SAS</t>
  </si>
  <si>
    <t>B&amp;V INGENIERIA SAS</t>
  </si>
  <si>
    <t>INCOMELEC SAS</t>
  </si>
  <si>
    <t>PEGSA LTDA</t>
  </si>
  <si>
    <t>OHB LTDA</t>
  </si>
  <si>
    <t>GERMAR GMG SAS</t>
  </si>
  <si>
    <t>XYLEM WATER SOLUTIONS COLOMBIA SAS</t>
  </si>
  <si>
    <t>DELLA VALENTINA COLOMBIA S.A.S.</t>
  </si>
  <si>
    <t>CARDIO SAFE S.A.</t>
  </si>
  <si>
    <t>DANVAL SAS</t>
  </si>
  <si>
    <t>POWERSUN SAS</t>
  </si>
  <si>
    <t>MARTROM SAS</t>
  </si>
  <si>
    <t>STEIN &amp; CIA S.A.S.</t>
  </si>
  <si>
    <t>PT ENGINEERING SUPLIES SAS</t>
  </si>
  <si>
    <t>MAQUINARIAS Y SOLUCIONES SAS</t>
  </si>
  <si>
    <t>SCALA ASCENSORES SAS</t>
  </si>
  <si>
    <t>IMPORTADORA DE BOMBAS Y TECNOLOGIA LTDA</t>
  </si>
  <si>
    <t>GHC HEALTCARE SUCURSAL COLOMBIA</t>
  </si>
  <si>
    <t>AIRPARTS DE COLOMBIA S.A.S.</t>
  </si>
  <si>
    <t>INGENERGIA COLOMBIA SA</t>
  </si>
  <si>
    <t>MACTRAK SAS</t>
  </si>
  <si>
    <t>ORDENES Y SUMINISTROS SAS</t>
  </si>
  <si>
    <t>Network1 International Colombia SAS</t>
  </si>
  <si>
    <t>DC TEKNICALDERAS LTDA</t>
  </si>
  <si>
    <t>SYP COLOMBIA S.A.S.</t>
  </si>
  <si>
    <t>FLEXCOM INTERNATIONAL TRADE LTDA</t>
  </si>
  <si>
    <t>COMPRESORES Y REDES NEUMATICAS LTDA.</t>
  </si>
  <si>
    <t>RITTAL SAS</t>
  </si>
  <si>
    <t>IMPORTADORA CASA COLOMBIA SAS</t>
  </si>
  <si>
    <t>INGENIERIA CLINICA A SU SERVICIO INCLISER LTDA</t>
  </si>
  <si>
    <t>EXIMEDICAL SAS</t>
  </si>
  <si>
    <t>MSA DE COLOMBIA SAS</t>
  </si>
  <si>
    <t>KOOLL IMPORTACIONES SAS</t>
  </si>
  <si>
    <t>WELCH ALLYN COLOMBIA LTDA</t>
  </si>
  <si>
    <t>GRUPO EMPRESARIAL DEL ORIENTE SAS EN REORGANIZACION</t>
  </si>
  <si>
    <t>INDUSTRICOL SAS</t>
  </si>
  <si>
    <t>THERMODYNAMICS ENGINEERING SAS</t>
  </si>
  <si>
    <t>TFI COLOMBIA</t>
  </si>
  <si>
    <t>GRUPO LYSCO SAS</t>
  </si>
  <si>
    <t>GLORY GLOBAL SOLUTIONS (COLOMBIA) S.A.S.</t>
  </si>
  <si>
    <t>ADVANCED RADIOTHERAPY CORPORATION S.A.</t>
  </si>
  <si>
    <t>BBG COLOMBIA S.A.S.</t>
  </si>
  <si>
    <t>FIORAZIO COLOMBIA SA</t>
  </si>
  <si>
    <t>MERKUR GAMNG COLOMBIA SAS</t>
  </si>
  <si>
    <t>DAKORA SAS</t>
  </si>
  <si>
    <t>DISEÑO PETROMECANICO SAS EN REORGANIZACION</t>
  </si>
  <si>
    <t xml:space="preserve">GVS COLOMBIA SASGVS COLOMBIA SAS </t>
  </si>
  <si>
    <t>AIGNEP LATAM SAS</t>
  </si>
  <si>
    <t>,METROOMAT NDT SAS</t>
  </si>
  <si>
    <t>INSMEVET S EN C</t>
  </si>
  <si>
    <t>COLFLO EQUIPOS SAS</t>
  </si>
  <si>
    <t>MOTORES Y MOTORES LC SOCIEDAD POR ACCIONES SIMPLIFICADA</t>
  </si>
  <si>
    <t>ALTAMIRA WATER LTDA</t>
  </si>
  <si>
    <t>TIENKEN SAS</t>
  </si>
  <si>
    <t>IME IMPORTMEDICAL COLOMBIA S.A.S.</t>
  </si>
  <si>
    <t>MINEPRO SAS</t>
  </si>
  <si>
    <t>SOLUCIONES HYTORC COLOMBIA SAS</t>
  </si>
  <si>
    <t>ET SERVICES SAS</t>
  </si>
  <si>
    <t>DIESELECTROS CARIBE SAS</t>
  </si>
  <si>
    <t>DOUBLE E COLOMBIA SAS</t>
  </si>
  <si>
    <t>COINSTOR S.A.S.</t>
  </si>
  <si>
    <t>HANNA INSTRUMENTS SAS</t>
  </si>
  <si>
    <t>TEXPROIL SRL SUCURSAL COLOMBIA</t>
  </si>
  <si>
    <t>APS LIGHTING &amp; SAFETY PRODUCTS DE COLOMBIA S.A.S</t>
  </si>
  <si>
    <t>SUMINISTROS TECNICOS PETROLEROS SAS EN REORGANIZACION</t>
  </si>
  <si>
    <t>TEKMAQ SAS</t>
  </si>
  <si>
    <t>PERDOMO BUSINESS GROUP SAS</t>
  </si>
  <si>
    <t>ITAL DESIGN SAS</t>
  </si>
  <si>
    <t>LINEA VIVA MEDICAL SAS</t>
  </si>
  <si>
    <t>COLMEDIKS SAS</t>
  </si>
  <si>
    <t>UNICO COLOMBIA SAS</t>
  </si>
  <si>
    <t>ECO AMERICA SAS</t>
  </si>
  <si>
    <t>FRIOCENTRO GSF SASCompra venta por mayor y por menor de productos de refrigeracion y aire acondicionadoG4659 -FRIOCENTRO GSF SAS2011-01-28</t>
  </si>
  <si>
    <t>GEOINSTRUMENTOS TOPOGRAFICOS SAS</t>
  </si>
  <si>
    <t>KEBCO SAS</t>
  </si>
  <si>
    <t>ULTRASCHALL DE COLOMBIA SAS</t>
  </si>
  <si>
    <t>INBIOS S.A.S</t>
  </si>
  <si>
    <t>REFRIPARTES Y MOTORES AS</t>
  </si>
  <si>
    <t>DYWINDAG S.A.S</t>
  </si>
  <si>
    <t>ITT GOULDS PUMPS COLOMBIA S.A.S.</t>
  </si>
  <si>
    <t>BITZER COLOMBIA S.A.S</t>
  </si>
  <si>
    <t>CLARYICON SAS</t>
  </si>
  <si>
    <t>DISPRO DISPENSADORES PROFESIONALES SAS</t>
  </si>
  <si>
    <t>TECNOLOGIAS MEDICAS COLOMBIA S.A.S</t>
  </si>
  <si>
    <t>OSTEOEQUIPOS SAS</t>
  </si>
  <si>
    <t>FINCPACK SAS</t>
  </si>
  <si>
    <t>KARCHER SAS</t>
  </si>
  <si>
    <t>TECNICAS EN AUTOMATIZACION Y CONTROL SAS</t>
  </si>
  <si>
    <t>DOTACION Y SUMINISTROS MRA S.A.S.</t>
  </si>
  <si>
    <t>CATVER S.A.S.</t>
  </si>
  <si>
    <t>KINNESIS SOLUTIONS SAS</t>
  </si>
  <si>
    <t>ENVITECK SAS</t>
  </si>
  <si>
    <t>AERZEN COLOMBIA SAS</t>
  </si>
  <si>
    <t>EQUIPOS Y SERVICIOS TREX DE COLOMBIA S.A.S</t>
  </si>
  <si>
    <t>COMERCIALIZADORA AEROMAQUINADOS S.A.S.</t>
  </si>
  <si>
    <t>IMPOMIN SAS</t>
  </si>
  <si>
    <t>BB EQUIPOS TOPOGRAFICOS SAS</t>
  </si>
  <si>
    <t>FLUIDRA COLOMBIA SAS</t>
  </si>
  <si>
    <t>ENERGIA Y MOVILIDAD SAS</t>
  </si>
  <si>
    <t>SH SOLUCIONES HOSPITALARIAS S.A.S.</t>
  </si>
  <si>
    <t>IMAGIQ SAS</t>
  </si>
  <si>
    <t>W COLOMBIA SAS</t>
  </si>
  <si>
    <t>FRANKLIN ELECTRIC COLOMBIA  S.A.S</t>
  </si>
  <si>
    <t>PROMINENT COLOMBIA S A S</t>
  </si>
  <si>
    <t>AIRE CONFORT JC SAS</t>
  </si>
  <si>
    <t>EDWARDS LIFESCIENCES COLOMBIA S.A.S.</t>
  </si>
  <si>
    <t>RAMDE SOLIDS CONTROL SAS</t>
  </si>
  <si>
    <t>VISUAL MAQUINAS SAS</t>
  </si>
  <si>
    <t>MEGADYNE COLOMBIA SAS</t>
  </si>
  <si>
    <t>JAIMES RUEDA YCIA PRECIMEC SAS</t>
  </si>
  <si>
    <t>MAQUITEC SOLUTIONS SAS</t>
  </si>
  <si>
    <t>SOLUCIONES DE MOVILIDAD INTERNACIONAL SAS</t>
  </si>
  <si>
    <t>Satarem Colombia S.A.S.</t>
  </si>
  <si>
    <t>RATIONAL COLOMBIA - AMERICA CENTRAL SAS</t>
  </si>
  <si>
    <t>GOMEZ VELASQUEZ SAS</t>
  </si>
  <si>
    <t>Parque industrial  y zona franca induenergy (induenergy sas)</t>
  </si>
  <si>
    <t>SCHOTTEL DE COLOMBIA S.A.S</t>
  </si>
  <si>
    <t>GOLDEN GAMING S.A.S</t>
  </si>
  <si>
    <t>Rocol International SAS</t>
  </si>
  <si>
    <t>PRECISUR SAS</t>
  </si>
  <si>
    <t>JPG TOOLS &amp; TOOLS SAS</t>
  </si>
  <si>
    <t>SOLUCIONES INDUSTRIALES &amp; EQUIPOS MOVILES ESPECIALES SAS</t>
  </si>
  <si>
    <t>GESFUSTE COLOMBIA S.A.S.</t>
  </si>
  <si>
    <t>HYBRICO SOLUCIONES COLOMBIA SAS</t>
  </si>
  <si>
    <t>HYBRICO COLOMBIA SAS</t>
  </si>
  <si>
    <t>NANSEN COLOMBIA SAS</t>
  </si>
  <si>
    <t>UNI REFRIGERACION COLOMBIA SAS</t>
  </si>
  <si>
    <t>REPRESENTACIONES OPTICAS COLOMBIANAS S.A.</t>
  </si>
  <si>
    <t>COMPAÑIA DE REPRESENTACIONES MEDICAS SA</t>
  </si>
  <si>
    <t>OSTEOSYNTESIS SAS</t>
  </si>
  <si>
    <t>FICHET COLOMBIA SA</t>
  </si>
  <si>
    <t>GUAYALRES SAS</t>
  </si>
  <si>
    <t>KHYMOS S.A.S.</t>
  </si>
  <si>
    <t>ACERTA SOCIEDAD POR ACCIONES SIMPLIFICADA SAS</t>
  </si>
  <si>
    <t>TODO ORTOPEDICO S.A.S.</t>
  </si>
  <si>
    <t>HELIOS TECNOLOGY &amp; INNOVATION SAS</t>
  </si>
  <si>
    <t>Selección Abreviada por Subasta Inversa</t>
  </si>
  <si>
    <t>Suministro de repuestos, cables, baterias y accesorios nuevos originales no remano facturados para los equipos biomédicos de varias marcas que lo requeran (monitores, electrocardiógrafos, desfibriladores, balanzas, equipos de organos, etc) pertenecientes a los diferentes servicios del Hospital Militar Central</t>
  </si>
  <si>
    <t>G4659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</si>
</sst>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#,##0.0"/>
    <numFmt numFmtId="166" formatCode="_-* #,##0\ _€_-;\-* #,##0\ _€_-;_-* &quot;-&quot;??\ _€_-;_-@_-"/>
    <numFmt numFmtId="167" formatCode="&quot;$&quot;\ #,##0.00"/>
    <numFmt numFmtId="168" formatCode="&quot;$&quot;\ #,##0"/>
    <numFmt numFmtId="169" formatCode="#,##0.00_ ;[Red]\-#,##0.00\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8"/>
      <color rgb="FFFF0000"/>
      <name val="Arial Narrow"/>
      <family val="2"/>
    </font>
    <font>
      <b/>
      <sz val="1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u/>
      <sz val="12"/>
      <color theme="10"/>
      <name val="Arial Narrow"/>
      <family val="2"/>
    </font>
    <font>
      <b/>
      <i/>
      <sz val="12"/>
      <color theme="1"/>
      <name val="Arial Narrow"/>
      <family val="2"/>
    </font>
    <font>
      <sz val="8"/>
      <color rgb="FF000000"/>
      <name val="Arial Narrow"/>
      <family val="2"/>
    </font>
    <font>
      <sz val="9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4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89">
    <xf numFmtId="0" fontId="0" fillId="0" borderId="0" xfId="0"/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9" fontId="7" fillId="0" borderId="0" xfId="4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9" fontId="7" fillId="0" borderId="0" xfId="4" applyFont="1" applyAlignment="1">
      <alignment vertical="center"/>
    </xf>
    <xf numFmtId="8" fontId="7" fillId="0" borderId="0" xfId="4" applyNumberFormat="1" applyFont="1" applyAlignment="1">
      <alignment horizontal="center" vertical="center"/>
    </xf>
    <xf numFmtId="41" fontId="7" fillId="0" borderId="0" xfId="2" quotePrefix="1" applyFont="1" applyAlignment="1">
      <alignment horizontal="center" vertical="center"/>
    </xf>
    <xf numFmtId="164" fontId="6" fillId="0" borderId="0" xfId="1" applyFont="1" applyAlignment="1">
      <alignment vertical="center"/>
    </xf>
    <xf numFmtId="9" fontId="7" fillId="0" borderId="0" xfId="4" applyFon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0" borderId="0" xfId="0" applyFont="1"/>
    <xf numFmtId="164" fontId="6" fillId="0" borderId="0" xfId="1" applyFont="1" applyFill="1" applyBorder="1" applyAlignment="1">
      <alignment horizontal="center"/>
    </xf>
    <xf numFmtId="10" fontId="6" fillId="0" borderId="0" xfId="4" applyNumberFormat="1" applyFont="1" applyFill="1" applyBorder="1" applyAlignment="1">
      <alignment horizontal="center"/>
    </xf>
    <xf numFmtId="3" fontId="4" fillId="0" borderId="0" xfId="0" applyNumberFormat="1" applyFont="1" applyAlignment="1">
      <alignment horizontal="center"/>
    </xf>
    <xf numFmtId="9" fontId="4" fillId="0" borderId="0" xfId="4" applyFont="1" applyFill="1" applyAlignment="1">
      <alignment horizontal="center"/>
    </xf>
    <xf numFmtId="9" fontId="7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9" fontId="5" fillId="0" borderId="0" xfId="0" applyNumberFormat="1" applyFont="1" applyAlignment="1">
      <alignment horizontal="center"/>
    </xf>
    <xf numFmtId="166" fontId="6" fillId="0" borderId="0" xfId="1" applyNumberFormat="1" applyFont="1" applyAlignment="1">
      <alignment vertical="center"/>
    </xf>
    <xf numFmtId="43" fontId="6" fillId="0" borderId="0" xfId="0" applyNumberFormat="1" applyFont="1" applyAlignment="1">
      <alignment vertical="center"/>
    </xf>
    <xf numFmtId="3" fontId="10" fillId="3" borderId="1" xfId="0" applyNumberFormat="1" applyFont="1" applyFill="1" applyBorder="1" applyAlignment="1">
      <alignment horizontal="center" vertical="center"/>
    </xf>
    <xf numFmtId="10" fontId="10" fillId="3" borderId="1" xfId="4" applyNumberFormat="1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10" fontId="11" fillId="3" borderId="1" xfId="4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3" fontId="13" fillId="0" borderId="0" xfId="0" applyNumberFormat="1" applyFont="1" applyAlignment="1">
      <alignment horizontal="center"/>
    </xf>
    <xf numFmtId="9" fontId="13" fillId="0" borderId="0" xfId="4" applyFont="1" applyFill="1" applyAlignment="1">
      <alignment horizontal="center"/>
    </xf>
    <xf numFmtId="9" fontId="12" fillId="0" borderId="0" xfId="0" applyNumberFormat="1" applyFont="1" applyAlignment="1">
      <alignment horizontal="center"/>
    </xf>
    <xf numFmtId="165" fontId="12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9" fontId="11" fillId="0" borderId="0" xfId="0" applyNumberFormat="1" applyFont="1" applyAlignment="1">
      <alignment horizontal="center"/>
    </xf>
    <xf numFmtId="164" fontId="10" fillId="0" borderId="0" xfId="1" applyFont="1" applyAlignment="1">
      <alignment vertical="center"/>
    </xf>
    <xf numFmtId="10" fontId="13" fillId="0" borderId="0" xfId="4" applyNumberFormat="1" applyFont="1" applyFill="1" applyAlignment="1">
      <alignment horizontal="center"/>
    </xf>
    <xf numFmtId="164" fontId="13" fillId="0" borderId="0" xfId="1" applyFont="1" applyFill="1" applyAlignment="1">
      <alignment horizontal="center"/>
    </xf>
    <xf numFmtId="3" fontId="11" fillId="0" borderId="0" xfId="0" applyNumberFormat="1" applyFont="1" applyAlignment="1">
      <alignment horizontal="center" vertical="center"/>
    </xf>
    <xf numFmtId="10" fontId="11" fillId="0" borderId="0" xfId="4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164" fontId="10" fillId="0" borderId="0" xfId="1" applyFont="1"/>
    <xf numFmtId="0" fontId="12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3" fontId="10" fillId="4" borderId="1" xfId="0" applyNumberFormat="1" applyFont="1" applyFill="1" applyBorder="1" applyAlignment="1">
      <alignment horizontal="center" vertical="center"/>
    </xf>
    <xf numFmtId="10" fontId="10" fillId="4" borderId="1" xfId="4" applyNumberFormat="1" applyFont="1" applyFill="1" applyBorder="1" applyAlignment="1">
      <alignment horizontal="center" vertical="center"/>
    </xf>
    <xf numFmtId="3" fontId="11" fillId="4" borderId="1" xfId="0" applyNumberFormat="1" applyFont="1" applyFill="1" applyBorder="1" applyAlignment="1">
      <alignment horizontal="center" vertical="center"/>
    </xf>
    <xf numFmtId="10" fontId="11" fillId="4" borderId="1" xfId="4" applyNumberFormat="1" applyFont="1" applyFill="1" applyBorder="1" applyAlignment="1">
      <alignment horizontal="center" vertical="center"/>
    </xf>
    <xf numFmtId="3" fontId="12" fillId="0" borderId="0" xfId="0" applyNumberFormat="1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64" fontId="13" fillId="0" borderId="0" xfId="1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164" fontId="12" fillId="0" borderId="0" xfId="1" applyFont="1" applyBorder="1" applyAlignment="1">
      <alignment vertical="center" wrapText="1"/>
    </xf>
    <xf numFmtId="0" fontId="14" fillId="0" borderId="0" xfId="5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vertical="center" wrapText="1"/>
    </xf>
    <xf numFmtId="9" fontId="11" fillId="0" borderId="1" xfId="4" applyFont="1" applyFill="1" applyBorder="1" applyAlignment="1">
      <alignment horizontal="center" vertical="center" wrapText="1"/>
    </xf>
    <xf numFmtId="10" fontId="10" fillId="0" borderId="0" xfId="4" applyNumberFormat="1" applyFont="1" applyAlignment="1">
      <alignment vertical="center"/>
    </xf>
    <xf numFmtId="10" fontId="12" fillId="0" borderId="0" xfId="4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0" fontId="10" fillId="0" borderId="0" xfId="4" applyNumberFormat="1" applyFont="1"/>
    <xf numFmtId="9" fontId="10" fillId="4" borderId="1" xfId="4" applyFont="1" applyFill="1" applyBorder="1" applyAlignment="1">
      <alignment horizontal="center" vertical="center"/>
    </xf>
    <xf numFmtId="9" fontId="11" fillId="4" borderId="1" xfId="4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6" fontId="16" fillId="0" borderId="0" xfId="0" applyNumberFormat="1" applyFont="1" applyAlignment="1">
      <alignment vertical="center"/>
    </xf>
    <xf numFmtId="164" fontId="17" fillId="0" borderId="1" xfId="1" applyFont="1" applyBorder="1"/>
    <xf numFmtId="2" fontId="17" fillId="0" borderId="1" xfId="0" applyNumberFormat="1" applyFont="1" applyBorder="1"/>
    <xf numFmtId="0" fontId="10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6" fontId="10" fillId="3" borderId="1" xfId="0" applyNumberFormat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3" fontId="11" fillId="0" borderId="1" xfId="0" applyNumberFormat="1" applyFont="1" applyBorder="1" applyAlignment="1">
      <alignment horizontal="center" vertical="center" wrapText="1"/>
    </xf>
    <xf numFmtId="164" fontId="6" fillId="0" borderId="0" xfId="1" applyFont="1" applyAlignment="1">
      <alignment vertical="center" wrapText="1"/>
    </xf>
    <xf numFmtId="43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8" fontId="6" fillId="0" borderId="0" xfId="0" applyNumberFormat="1" applyFont="1" applyAlignment="1">
      <alignment horizontal="center" vertical="center"/>
    </xf>
    <xf numFmtId="8" fontId="10" fillId="0" borderId="2" xfId="3" applyNumberFormat="1" applyFont="1" applyBorder="1" applyAlignment="1">
      <alignment vertical="center" wrapText="1"/>
    </xf>
    <xf numFmtId="8" fontId="10" fillId="0" borderId="3" xfId="3" applyNumberFormat="1" applyFont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164" fontId="3" fillId="5" borderId="1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/>
    </xf>
    <xf numFmtId="0" fontId="17" fillId="0" borderId="1" xfId="0" applyFont="1" applyBorder="1"/>
    <xf numFmtId="169" fontId="12" fillId="0" borderId="0" xfId="0" applyNumberFormat="1" applyFont="1" applyAlignment="1">
      <alignment vertical="center"/>
    </xf>
    <xf numFmtId="168" fontId="7" fillId="2" borderId="0" xfId="0" applyNumberFormat="1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1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20" fillId="6" borderId="1" xfId="1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9" fontId="6" fillId="0" borderId="0" xfId="4" applyFont="1" applyAlignment="1">
      <alignment horizontal="center" vertical="center"/>
    </xf>
    <xf numFmtId="9" fontId="10" fillId="0" borderId="0" xfId="4" applyFont="1" applyAlignment="1">
      <alignment vertical="center"/>
    </xf>
    <xf numFmtId="0" fontId="21" fillId="0" borderId="1" xfId="0" applyFont="1" applyBorder="1"/>
    <xf numFmtId="164" fontId="21" fillId="0" borderId="1" xfId="1" applyFont="1" applyBorder="1"/>
    <xf numFmtId="0" fontId="22" fillId="0" borderId="1" xfId="0" applyFont="1" applyBorder="1"/>
    <xf numFmtId="2" fontId="10" fillId="0" borderId="0" xfId="0" applyNumberFormat="1" applyFont="1" applyAlignment="1">
      <alignment vertical="center"/>
    </xf>
    <xf numFmtId="164" fontId="11" fillId="0" borderId="4" xfId="1" applyFont="1" applyFill="1" applyBorder="1" applyAlignment="1">
      <alignment horizontal="center" vertical="center" wrapText="1"/>
    </xf>
    <xf numFmtId="167" fontId="10" fillId="0" borderId="1" xfId="1" applyNumberFormat="1" applyFont="1" applyFill="1" applyBorder="1" applyAlignment="1">
      <alignment horizontal="right" vertical="center"/>
    </xf>
    <xf numFmtId="2" fontId="10" fillId="0" borderId="1" xfId="1" applyNumberFormat="1" applyFont="1" applyFill="1" applyBorder="1" applyAlignment="1">
      <alignment vertical="center"/>
    </xf>
    <xf numFmtId="4" fontId="10" fillId="0" borderId="1" xfId="4" applyNumberFormat="1" applyFont="1" applyFill="1" applyBorder="1" applyAlignment="1">
      <alignment vertical="center"/>
    </xf>
    <xf numFmtId="167" fontId="10" fillId="0" borderId="5" xfId="1" applyNumberFormat="1" applyFont="1" applyFill="1" applyBorder="1" applyAlignment="1">
      <alignment horizontal="right" vertical="center"/>
    </xf>
    <xf numFmtId="2" fontId="10" fillId="0" borderId="5" xfId="1" applyNumberFormat="1" applyFont="1" applyFill="1" applyBorder="1" applyAlignment="1">
      <alignment vertical="center"/>
    </xf>
    <xf numFmtId="4" fontId="10" fillId="0" borderId="5" xfId="4" applyNumberFormat="1" applyFont="1" applyFill="1" applyBorder="1" applyAlignment="1">
      <alignment vertical="center"/>
    </xf>
    <xf numFmtId="2" fontId="10" fillId="0" borderId="5" xfId="1" applyNumberFormat="1" applyFont="1" applyFill="1" applyBorder="1" applyAlignment="1">
      <alignment horizontal="right" vertical="center"/>
    </xf>
    <xf numFmtId="4" fontId="10" fillId="0" borderId="5" xfId="4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164" fontId="10" fillId="0" borderId="0" xfId="1" applyFont="1" applyFill="1" applyAlignment="1">
      <alignment vertical="center"/>
    </xf>
    <xf numFmtId="165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2" fontId="11" fillId="0" borderId="1" xfId="1" applyNumberFormat="1" applyFont="1" applyFill="1" applyBorder="1" applyAlignment="1">
      <alignment horizontal="center" vertical="center"/>
    </xf>
    <xf numFmtId="2" fontId="11" fillId="0" borderId="1" xfId="4" applyNumberFormat="1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165" fontId="13" fillId="7" borderId="4" xfId="0" applyNumberFormat="1" applyFont="1" applyFill="1" applyBorder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11" fillId="0" borderId="2" xfId="4" applyFont="1" applyBorder="1" applyAlignment="1">
      <alignment horizontal="center" vertical="center"/>
    </xf>
    <xf numFmtId="9" fontId="11" fillId="0" borderId="6" xfId="4" applyFont="1" applyBorder="1" applyAlignment="1">
      <alignment horizontal="center" vertical="center"/>
    </xf>
    <xf numFmtId="9" fontId="11" fillId="0" borderId="3" xfId="4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1" fontId="11" fillId="0" borderId="2" xfId="1" applyNumberFormat="1" applyFont="1" applyBorder="1" applyAlignment="1">
      <alignment horizontal="center" vertical="center"/>
    </xf>
    <xf numFmtId="1" fontId="11" fillId="0" borderId="6" xfId="1" applyNumberFormat="1" applyFont="1" applyBorder="1" applyAlignment="1">
      <alignment horizontal="center" vertical="center"/>
    </xf>
    <xf numFmtId="1" fontId="11" fillId="0" borderId="3" xfId="1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6">
    <cellStyle name="Hipervínculo" xfId="5" builtinId="8"/>
    <cellStyle name="Millares" xfId="1" builtinId="3"/>
    <cellStyle name="Millares [0]" xfId="2" builtinId="6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CCFFCC"/>
      <color rgb="FFCC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Índice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contenedores!$C$451:$C$457</c:f>
            </c:multiLvlStrRef>
          </c:cat>
          <c:val>
            <c:numRef>
              <c:f>contenedores!$D$451:$D$457</c:f>
            </c:numRef>
          </c:val>
          <c:extLst>
            <c:ext xmlns:c15="http://schemas.microsoft.com/office/drawing/2012/chart" uri="{02D57815-91ED-43cb-92C2-25804820EDAC}">
              <c15:datalabelsRange>
                <c15:f>contenedores!$E$451:$E$457</c15:f>
              </c15:datalabelsRange>
            </c:ext>
            <c:ext xmlns:c16="http://schemas.microsoft.com/office/drawing/2014/chart" uri="{C3380CC4-5D6E-409C-BE32-E72D297353CC}">
              <c16:uniqueId val="{00000008-4A48-4C86-94A3-927C5B5E46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0816"/>
        <c:axId val="796279936"/>
        <c:extLst/>
      </c:barChart>
      <c:catAx>
        <c:axId val="79629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72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79936"/>
        <c:crosses val="autoZero"/>
        <c:auto val="1"/>
        <c:lblAlgn val="ctr"/>
        <c:lblOffset val="100"/>
        <c:noMultiLvlLbl val="0"/>
      </c:catAx>
      <c:valAx>
        <c:axId val="79627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N.º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0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contenedores!$C$437:$C$443</c:f>
            </c:multiLvlStrRef>
          </c:cat>
          <c:val>
            <c:numRef>
              <c:f>contenedores!$D$437:$D$443</c:f>
            </c:numRef>
          </c:val>
          <c:extLst>
            <c:ext xmlns:c15="http://schemas.microsoft.com/office/drawing/2012/chart" uri="{02D57815-91ED-43cb-92C2-25804820EDAC}">
              <c15:datalabelsRange>
                <c15:f>contenedores!$E$437:$E$443</c15:f>
              </c15:datalabelsRange>
            </c:ext>
            <c:ext xmlns:c16="http://schemas.microsoft.com/office/drawing/2014/chart" uri="{C3380CC4-5D6E-409C-BE32-E72D297353CC}">
              <c16:uniqueId val="{00000003-D09B-4D92-BB63-AA2AB7AF16EC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contenedores!$C$437:$C$443</c:f>
            </c:multiLvlStrRef>
          </c:cat>
          <c:val>
            <c:numRef>
              <c:f>contenedores!$E$437:$E$443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D09B-4D92-BB63-AA2AB7AF16E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1360"/>
        <c:axId val="796283744"/>
        <c:extLst/>
      </c:barChart>
      <c:catAx>
        <c:axId val="79629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83744"/>
        <c:crosses val="autoZero"/>
        <c:auto val="1"/>
        <c:lblAlgn val="ctr"/>
        <c:lblOffset val="100"/>
        <c:noMultiLvlLbl val="0"/>
      </c:catAx>
      <c:valAx>
        <c:axId val="79628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N.º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1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Índice de endeudamiento</a:t>
            </a:r>
          </a:p>
        </c:rich>
      </c:tx>
      <c:layout>
        <c:manualLayout>
          <c:xMode val="edge"/>
          <c:yMode val="edge"/>
          <c:x val="0.31278985507246376"/>
          <c:y val="1.30399314530847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contenedores!$C$483:$C$490</c:f>
            </c:multiLvlStrRef>
          </c:cat>
          <c:val>
            <c:numRef>
              <c:f>contenedores!$D$483:$D$490</c:f>
            </c:numRef>
          </c:val>
          <c:extLst>
            <c:ext xmlns:c15="http://schemas.microsoft.com/office/drawing/2012/chart" uri="{02D57815-91ED-43cb-92C2-25804820EDAC}">
              <c15:datalabelsRange>
                <c15:f>contenedores!$E$483:$E$490</c15:f>
              </c15:datalabelsRange>
            </c:ext>
            <c:ext xmlns:c16="http://schemas.microsoft.com/office/drawing/2014/chart" uri="{C3380CC4-5D6E-409C-BE32-E72D297353CC}">
              <c16:uniqueId val="{00000007-EA49-421D-BC8F-A1590F559A83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contenedores!$C$483:$C$490</c:f>
            </c:multiLvlStrRef>
          </c:cat>
          <c:val>
            <c:numRef>
              <c:f>contenedores!$E$483:$E$490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8-EA49-421D-BC8F-A1590F559A8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2448"/>
        <c:axId val="796283200"/>
        <c:extLst/>
      </c:barChart>
      <c:catAx>
        <c:axId val="796292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72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83200"/>
        <c:crosses val="autoZero"/>
        <c:auto val="1"/>
        <c:lblAlgn val="ctr"/>
        <c:lblOffset val="100"/>
        <c:noMultiLvlLbl val="0"/>
      </c:catAx>
      <c:valAx>
        <c:axId val="796283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N.º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2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contenedores!$C$466:$C$475</c:f>
            </c:multiLvlStrRef>
          </c:cat>
          <c:val>
            <c:numRef>
              <c:f>contenedores!$D$466:$D$475</c:f>
            </c:numRef>
          </c:val>
          <c:extLst>
            <c:ext xmlns:c15="http://schemas.microsoft.com/office/drawing/2012/chart" uri="{02D57815-91ED-43cb-92C2-25804820EDAC}">
              <c15:datalabelsRange>
                <c15:f>contenedores!$E$466:$E$474</c15:f>
              </c15:datalabelsRange>
            </c:ext>
            <c:ext xmlns:c16="http://schemas.microsoft.com/office/drawing/2014/chart" uri="{C3380CC4-5D6E-409C-BE32-E72D297353CC}">
              <c16:uniqueId val="{00000007-C6A0-4D83-BA24-1E9F6664AD93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contenedores!$C$466:$C$475</c:f>
            </c:multiLvlStrRef>
          </c:cat>
          <c:val>
            <c:numRef>
              <c:f>contenedores!$E$466:$E$475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8-C6A0-4D83-BA24-1E9F6664AD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92992"/>
        <c:axId val="796294080"/>
        <c:extLst/>
      </c:barChart>
      <c:catAx>
        <c:axId val="796292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4080"/>
        <c:crosses val="autoZero"/>
        <c:auto val="1"/>
        <c:lblAlgn val="ctr"/>
        <c:lblOffset val="100"/>
        <c:noMultiLvlLbl val="0"/>
      </c:catAx>
      <c:valAx>
        <c:axId val="79629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N.º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92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Rentabilidad sobre activos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contenedores!$C$514:$C$522</c:f>
            </c:multiLvlStrRef>
          </c:cat>
          <c:val>
            <c:numRef>
              <c:f>contenedores!$D$514:$D$522</c:f>
            </c:numRef>
          </c:val>
          <c:extLst>
            <c:ext xmlns:c15="http://schemas.microsoft.com/office/drawing/2012/chart" uri="{02D57815-91ED-43cb-92C2-25804820EDAC}">
              <c15:datalabelsRange>
                <c15:f>contenedores!$E$514:$E$521</c15:f>
              </c15:datalabelsRange>
            </c:ext>
            <c:ext xmlns:c16="http://schemas.microsoft.com/office/drawing/2014/chart" uri="{C3380CC4-5D6E-409C-BE32-E72D297353CC}">
              <c16:uniqueId val="{00000007-0B0C-4019-BA8B-0EBE2A4F5E4C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contenedores!$C$514:$C$522</c:f>
            </c:multiLvlStrRef>
          </c:cat>
          <c:val>
            <c:numRef>
              <c:f>contenedores!$E$514:$E$522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8-0B0C-4019-BA8B-0EBE2A4F5E4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96279392"/>
        <c:axId val="804225056"/>
        <c:extLst/>
      </c:barChart>
      <c:catAx>
        <c:axId val="79627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04225056"/>
        <c:crosses val="autoZero"/>
        <c:auto val="1"/>
        <c:lblAlgn val="ctr"/>
        <c:lblOffset val="100"/>
        <c:noMultiLvlLbl val="0"/>
      </c:catAx>
      <c:valAx>
        <c:axId val="80422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N.º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79627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r>
              <a:rPr lang="es-ES"/>
              <a:t>Rentabilidad sobre patrimonio</a:t>
            </a:r>
          </a:p>
        </c:rich>
      </c:tx>
      <c:layout>
        <c:manualLayout>
          <c:xMode val="edge"/>
          <c:yMode val="edge"/>
          <c:x val="0.25435823150227116"/>
          <c:y val="4.05063183477674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Work Sans" panose="00000500000000000000" pitchFamily="2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contenedores!$C$499:$C$507</c:f>
            </c:multiLvlStrRef>
          </c:cat>
          <c:val>
            <c:numRef>
              <c:f>contenedores!$D$499:$D$507</c:f>
            </c:numRef>
          </c:val>
          <c:extLst>
            <c:ext xmlns:c15="http://schemas.microsoft.com/office/drawing/2012/chart" uri="{02D57815-91ED-43cb-92C2-25804820EDAC}">
              <c15:datalabelsRange>
                <c15:f>contenedores!$E$499:$E$506</c15:f>
              </c15:datalabelsRange>
            </c:ext>
            <c:ext xmlns:c16="http://schemas.microsoft.com/office/drawing/2014/chart" uri="{C3380CC4-5D6E-409C-BE32-E72D297353CC}">
              <c16:uniqueId val="{00000007-DF76-4D64-8000-80E65EF98200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contenedores!$C$499:$C$507</c:f>
            </c:multiLvlStrRef>
          </c:cat>
          <c:val>
            <c:numRef>
              <c:f>contenedores!$E$499:$E$507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8-DF76-4D64-8000-80E65EF9820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804222336"/>
        <c:axId val="804220704"/>
        <c:extLst/>
      </c:barChart>
      <c:catAx>
        <c:axId val="80422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04220704"/>
        <c:crosses val="autoZero"/>
        <c:auto val="1"/>
        <c:lblAlgn val="ctr"/>
        <c:lblOffset val="100"/>
        <c:noMultiLvlLbl val="0"/>
      </c:catAx>
      <c:valAx>
        <c:axId val="8042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Work Sans" panose="00000500000000000000" pitchFamily="2" charset="0"/>
                    <a:ea typeface="+mn-ea"/>
                    <a:cs typeface="Arial" panose="020B0604020202020204" pitchFamily="34" charset="0"/>
                  </a:defRPr>
                </a:pPr>
                <a:r>
                  <a:rPr lang="es-ES"/>
                  <a:t>N.º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Work Sans" panose="00000500000000000000" pitchFamily="2" charset="0"/>
                  <a:ea typeface="+mn-ea"/>
                  <a:cs typeface="Arial" panose="020B0604020202020204" pitchFamily="34" charset="0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Work Sans" panose="00000500000000000000" pitchFamily="2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804222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b="1">
          <a:latin typeface="Work Sans" panose="00000500000000000000" pitchFamily="2" charset="0"/>
          <a:cs typeface="Arial" panose="020B060402020202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16671</xdr:colOff>
      <xdr:row>448</xdr:row>
      <xdr:rowOff>1400</xdr:rowOff>
    </xdr:from>
    <xdr:to>
      <xdr:col>11</xdr:col>
      <xdr:colOff>0</xdr:colOff>
      <xdr:row>459</xdr:row>
      <xdr:rowOff>179294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13027</xdr:colOff>
      <xdr:row>434</xdr:row>
      <xdr:rowOff>15968</xdr:rowOff>
    </xdr:from>
    <xdr:to>
      <xdr:col>11</xdr:col>
      <xdr:colOff>8964</xdr:colOff>
      <xdr:row>445</xdr:row>
      <xdr:rowOff>188259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9525</xdr:colOff>
      <xdr:row>480</xdr:row>
      <xdr:rowOff>188119</xdr:rowOff>
    </xdr:from>
    <xdr:to>
      <xdr:col>11</xdr:col>
      <xdr:colOff>11206</xdr:colOff>
      <xdr:row>493</xdr:row>
      <xdr:rowOff>11907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463</xdr:row>
      <xdr:rowOff>173970</xdr:rowOff>
    </xdr:from>
    <xdr:to>
      <xdr:col>11</xdr:col>
      <xdr:colOff>0</xdr:colOff>
      <xdr:row>477</xdr:row>
      <xdr:rowOff>11205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11205</xdr:colOff>
      <xdr:row>511</xdr:row>
      <xdr:rowOff>190221</xdr:rowOff>
    </xdr:from>
    <xdr:to>
      <xdr:col>11</xdr:col>
      <xdr:colOff>0</xdr:colOff>
      <xdr:row>523</xdr:row>
      <xdr:rowOff>179294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3362</xdr:colOff>
      <xdr:row>496</xdr:row>
      <xdr:rowOff>175650</xdr:rowOff>
    </xdr:from>
    <xdr:to>
      <xdr:col>11</xdr:col>
      <xdr:colOff>0</xdr:colOff>
      <xdr:row>508</xdr:row>
      <xdr:rowOff>190499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58"/>
  <sheetViews>
    <sheetView showGridLines="0" tabSelected="1" topLeftCell="A525" zoomScale="110" zoomScaleNormal="110" zoomScaleSheetLayoutView="30" workbookViewId="0">
      <selection activeCell="K536" sqref="K536"/>
    </sheetView>
  </sheetViews>
  <sheetFormatPr baseColWidth="10" defaultColWidth="11.5" defaultRowHeight="11" x14ac:dyDescent="0.2"/>
  <cols>
    <col min="1" max="1" width="14.5" style="1" bestFit="1" customWidth="1"/>
    <col min="2" max="2" width="11.5" style="1" customWidth="1"/>
    <col min="3" max="3" width="34.5" style="98" customWidth="1"/>
    <col min="4" max="4" width="22.83203125" style="1" customWidth="1"/>
    <col min="5" max="5" width="19.83203125" style="1" hidden="1" customWidth="1"/>
    <col min="6" max="6" width="19.5" style="13" customWidth="1"/>
    <col min="7" max="7" width="18.33203125" style="1" customWidth="1"/>
    <col min="8" max="9" width="20.6640625" style="1" customWidth="1"/>
    <col min="10" max="11" width="18.33203125" style="1" customWidth="1"/>
    <col min="12" max="12" width="19.6640625" style="6" customWidth="1"/>
    <col min="13" max="13" width="9.5" style="8" customWidth="1"/>
    <col min="14" max="15" width="13.83203125" style="8" customWidth="1"/>
    <col min="16" max="17" width="15.1640625" style="8" customWidth="1"/>
    <col min="18" max="18" width="11.5" style="111"/>
    <col min="19" max="19" width="11.6640625" style="111" bestFit="1" customWidth="1"/>
    <col min="20" max="21" width="12.5" style="111" customWidth="1"/>
    <col min="22" max="24" width="11.5" style="111"/>
    <col min="25" max="16384" width="11.5" style="1"/>
  </cols>
  <sheetData>
    <row r="1" spans="1:24" ht="42.75" customHeight="1" x14ac:dyDescent="0.2">
      <c r="C1" s="168" t="s">
        <v>115</v>
      </c>
      <c r="D1" s="181"/>
      <c r="E1" s="181"/>
      <c r="F1" s="181"/>
      <c r="G1" s="181"/>
      <c r="H1" s="181"/>
      <c r="I1" s="181"/>
      <c r="J1" s="181"/>
      <c r="K1" s="181"/>
      <c r="M1" s="7"/>
    </row>
    <row r="2" spans="1:24" ht="16" x14ac:dyDescent="0.2">
      <c r="C2" s="64"/>
      <c r="D2" s="64"/>
      <c r="E2" s="64"/>
      <c r="F2" s="64"/>
      <c r="G2" s="64"/>
      <c r="H2" s="64"/>
      <c r="I2" s="64"/>
      <c r="J2" s="64"/>
      <c r="K2" s="64"/>
    </row>
    <row r="3" spans="1:24" ht="33" customHeight="1" x14ac:dyDescent="0.2">
      <c r="C3" s="168" t="s">
        <v>0</v>
      </c>
      <c r="D3" s="182" t="s">
        <v>530</v>
      </c>
      <c r="E3" s="182"/>
      <c r="F3" s="182"/>
      <c r="G3" s="182"/>
      <c r="H3" s="182"/>
      <c r="I3" s="58" t="s">
        <v>1</v>
      </c>
      <c r="J3" s="182" t="s">
        <v>529</v>
      </c>
      <c r="K3" s="182"/>
      <c r="L3" s="95" t="s">
        <v>103</v>
      </c>
      <c r="M3" s="9"/>
      <c r="N3" s="9"/>
      <c r="O3" s="9"/>
      <c r="Q3" s="111"/>
      <c r="X3" s="1"/>
    </row>
    <row r="4" spans="1:24" ht="33" customHeight="1" x14ac:dyDescent="0.2">
      <c r="C4" s="168"/>
      <c r="D4" s="182"/>
      <c r="E4" s="182"/>
      <c r="F4" s="182"/>
      <c r="G4" s="182"/>
      <c r="H4" s="182"/>
      <c r="I4" s="58" t="s">
        <v>2</v>
      </c>
      <c r="J4" s="119">
        <v>90000000</v>
      </c>
      <c r="K4" s="120"/>
      <c r="L4" s="120">
        <v>1750905</v>
      </c>
      <c r="M4" s="11"/>
      <c r="N4" s="12"/>
      <c r="O4" s="12"/>
      <c r="P4" s="9"/>
    </row>
    <row r="5" spans="1:24" ht="16" x14ac:dyDescent="0.2">
      <c r="C5" s="3"/>
      <c r="D5" s="33"/>
      <c r="E5" s="33"/>
      <c r="F5" s="41"/>
      <c r="G5" s="33"/>
      <c r="H5" s="33"/>
      <c r="I5" s="33"/>
      <c r="J5" s="33"/>
      <c r="K5" s="33"/>
      <c r="L5" s="126">
        <f>+J4/L4</f>
        <v>51.401989256984244</v>
      </c>
      <c r="N5" s="14"/>
      <c r="O5" s="14"/>
      <c r="P5" s="14"/>
    </row>
    <row r="6" spans="1:24" s="15" customFormat="1" ht="15" customHeight="1" x14ac:dyDescent="0.2">
      <c r="C6" s="183" t="s">
        <v>104</v>
      </c>
      <c r="D6" s="184"/>
      <c r="E6" s="184"/>
      <c r="F6" s="184"/>
      <c r="G6" s="184"/>
      <c r="H6" s="184"/>
      <c r="I6" s="184"/>
      <c r="J6" s="184"/>
      <c r="K6" s="185"/>
      <c r="L6" s="127">
        <f>+J4/4</f>
        <v>22500000</v>
      </c>
      <c r="M6" s="127"/>
      <c r="N6" s="16"/>
      <c r="O6" s="16"/>
      <c r="P6" s="16"/>
      <c r="Q6" s="16"/>
      <c r="R6" s="112"/>
      <c r="S6" s="112"/>
      <c r="T6" s="112"/>
      <c r="U6" s="112"/>
      <c r="V6" s="112"/>
      <c r="W6" s="112"/>
      <c r="X6" s="112"/>
    </row>
    <row r="7" spans="1:24" ht="16" x14ac:dyDescent="0.2">
      <c r="C7" s="3"/>
      <c r="D7" s="33"/>
      <c r="E7" s="33"/>
      <c r="F7" s="41"/>
      <c r="G7" s="33"/>
      <c r="H7" s="33"/>
      <c r="I7" s="33"/>
      <c r="J7" s="33"/>
      <c r="K7" s="33"/>
      <c r="L7" s="127">
        <f>+L6*3</f>
        <v>67500000</v>
      </c>
    </row>
    <row r="8" spans="1:24" ht="15" customHeight="1" x14ac:dyDescent="0.2">
      <c r="C8" s="57" t="s">
        <v>3</v>
      </c>
      <c r="D8" s="181" t="s">
        <v>105</v>
      </c>
      <c r="E8" s="181"/>
      <c r="F8" s="181"/>
      <c r="G8" s="181"/>
      <c r="H8" s="181"/>
      <c r="I8" s="181"/>
      <c r="J8" s="181"/>
      <c r="K8" s="58" t="s">
        <v>4</v>
      </c>
      <c r="L8" s="127">
        <f>+L7/1000</f>
        <v>67500</v>
      </c>
      <c r="M8" s="14">
        <f>+L8/L9</f>
        <v>0.75</v>
      </c>
    </row>
    <row r="9" spans="1:24" ht="15" customHeight="1" x14ac:dyDescent="0.2">
      <c r="C9" s="95">
        <v>4659</v>
      </c>
      <c r="D9" s="187" t="s">
        <v>90</v>
      </c>
      <c r="E9" s="187"/>
      <c r="F9" s="187"/>
      <c r="G9" s="187"/>
      <c r="H9" s="187"/>
      <c r="I9" s="187"/>
      <c r="J9" s="187"/>
      <c r="K9" s="78">
        <f>+B430</f>
        <v>414</v>
      </c>
      <c r="L9" s="127">
        <f>+J4/1000</f>
        <v>90000</v>
      </c>
    </row>
    <row r="10" spans="1:24" ht="16" x14ac:dyDescent="0.2">
      <c r="C10" s="79"/>
      <c r="D10" s="182" t="s">
        <v>91</v>
      </c>
      <c r="E10" s="182"/>
      <c r="F10" s="182"/>
      <c r="G10" s="182"/>
      <c r="H10" s="182"/>
      <c r="I10" s="182"/>
      <c r="J10" s="182"/>
      <c r="K10" s="80">
        <v>0</v>
      </c>
      <c r="L10" s="10"/>
    </row>
    <row r="11" spans="1:24" ht="15" customHeight="1" x14ac:dyDescent="0.2">
      <c r="C11" s="3"/>
      <c r="D11" s="186" t="s">
        <v>98</v>
      </c>
      <c r="E11" s="186"/>
      <c r="F11" s="186"/>
      <c r="G11" s="186"/>
      <c r="H11" s="186"/>
      <c r="I11" s="186"/>
      <c r="J11" s="186"/>
      <c r="K11" s="81">
        <f>SUBTOTAL(9,K9:K10)</f>
        <v>414</v>
      </c>
    </row>
    <row r="12" spans="1:24" ht="16" x14ac:dyDescent="0.2">
      <c r="C12" s="3"/>
      <c r="D12" s="33"/>
      <c r="E12" s="33"/>
      <c r="F12" s="41"/>
      <c r="G12" s="33"/>
      <c r="H12" s="33"/>
      <c r="I12" s="33"/>
      <c r="J12" s="33"/>
      <c r="K12" s="82"/>
    </row>
    <row r="13" spans="1:24" s="33" customFormat="1" ht="17.25" customHeight="1" x14ac:dyDescent="0.2">
      <c r="B13" s="83" t="s">
        <v>85</v>
      </c>
      <c r="C13" s="97"/>
      <c r="F13" s="41"/>
      <c r="K13" s="82"/>
      <c r="L13" s="34"/>
      <c r="M13" s="49"/>
      <c r="N13" s="49"/>
      <c r="O13" s="49"/>
      <c r="P13" s="49"/>
      <c r="Q13" s="49"/>
      <c r="R13" s="113"/>
      <c r="S13" s="113"/>
      <c r="T13" s="113"/>
      <c r="U13" s="113"/>
      <c r="V13" s="113"/>
      <c r="W13" s="113"/>
      <c r="X13" s="113"/>
    </row>
    <row r="14" spans="1:24" ht="15" customHeight="1" x14ac:dyDescent="0.2">
      <c r="E14" s="17"/>
      <c r="F14" s="17"/>
      <c r="G14" s="17"/>
      <c r="H14" s="17"/>
      <c r="I14" s="17"/>
      <c r="J14" s="17"/>
      <c r="K14" s="17"/>
      <c r="R14" s="118">
        <f>+J4*E542/1000</f>
        <v>4500</v>
      </c>
      <c r="S14" s="135">
        <f>+R14/L9</f>
        <v>0.05</v>
      </c>
    </row>
    <row r="15" spans="1:24" ht="42" customHeight="1" x14ac:dyDescent="0.2">
      <c r="A15" s="121" t="s">
        <v>80</v>
      </c>
      <c r="B15" s="121" t="s">
        <v>5</v>
      </c>
      <c r="C15" s="121" t="s">
        <v>6</v>
      </c>
      <c r="D15" s="122" t="s">
        <v>50</v>
      </c>
      <c r="E15" s="122" t="s">
        <v>52</v>
      </c>
      <c r="F15" s="123" t="s">
        <v>81</v>
      </c>
      <c r="G15" s="122" t="s">
        <v>53</v>
      </c>
      <c r="H15" s="122" t="s">
        <v>82</v>
      </c>
      <c r="I15" s="122" t="s">
        <v>54</v>
      </c>
      <c r="J15" s="122" t="s">
        <v>107</v>
      </c>
      <c r="K15" s="122" t="s">
        <v>106</v>
      </c>
      <c r="L15" s="133" t="s">
        <v>114</v>
      </c>
      <c r="M15" s="134" t="s">
        <v>109</v>
      </c>
      <c r="N15" s="134" t="s">
        <v>110</v>
      </c>
      <c r="O15" s="134" t="s">
        <v>111</v>
      </c>
      <c r="P15" s="134" t="s">
        <v>112</v>
      </c>
      <c r="Q15" s="134" t="s">
        <v>113</v>
      </c>
      <c r="R15" s="84" t="s">
        <v>83</v>
      </c>
      <c r="S15" s="84" t="s">
        <v>55</v>
      </c>
      <c r="T15" s="84" t="s">
        <v>56</v>
      </c>
      <c r="U15" s="84" t="s">
        <v>59</v>
      </c>
      <c r="V15" s="84" t="s">
        <v>57</v>
      </c>
      <c r="W15" s="84" t="s">
        <v>58</v>
      </c>
      <c r="X15" s="84" t="s">
        <v>96</v>
      </c>
    </row>
    <row r="16" spans="1:24" s="2" customFormat="1" ht="12" x14ac:dyDescent="0.15">
      <c r="A16" s="125" t="s">
        <v>84</v>
      </c>
      <c r="B16" s="139">
        <v>800026212</v>
      </c>
      <c r="C16" s="137" t="s">
        <v>117</v>
      </c>
      <c r="D16" s="137" t="s">
        <v>531</v>
      </c>
      <c r="E16" s="138">
        <v>52756828</v>
      </c>
      <c r="F16" s="138">
        <v>72854435</v>
      </c>
      <c r="G16" s="138">
        <v>27317034</v>
      </c>
      <c r="H16" s="138">
        <v>29530921</v>
      </c>
      <c r="I16" s="138">
        <v>43323514</v>
      </c>
      <c r="J16" s="138">
        <v>-3295506</v>
      </c>
      <c r="K16" s="138">
        <v>2002122</v>
      </c>
      <c r="L16" s="93">
        <f>E16-G16</f>
        <v>25439794</v>
      </c>
      <c r="M16" s="94">
        <f>E16/G16</f>
        <v>1.9312795086025811</v>
      </c>
      <c r="N16" s="94">
        <f>H16/F16</f>
        <v>0.40534143185655069</v>
      </c>
      <c r="O16" s="94"/>
      <c r="P16" s="94">
        <f t="shared" ref="P16:P79" si="0">J16/I16</f>
        <v>-7.6067375328787962E-2</v>
      </c>
      <c r="Q16" s="94">
        <f>J16/F16</f>
        <v>-4.5234116495447396E-2</v>
      </c>
      <c r="R16" s="117" t="str">
        <f>+IF(L16&gt;=$R$14,"SI","NO")</f>
        <v>SI</v>
      </c>
      <c r="S16" s="117" t="str">
        <f>+IF(M16&gt;=$F$542,"SI","NO")</f>
        <v>SI</v>
      </c>
      <c r="T16" s="117" t="str">
        <f t="shared" ref="T16:T79" si="1">+IF(N16&lt;=$G$542,"SI","NO")</f>
        <v>SI</v>
      </c>
      <c r="U16" s="117" t="str">
        <f t="shared" ref="U16:U79" si="2">+IF(O16&gt;=$H$542,"SI","NO")</f>
        <v>NO</v>
      </c>
      <c r="V16" s="117" t="str">
        <f t="shared" ref="V16:V79" si="3">+IF(P16&gt;=$I$542,"SI","NO")</f>
        <v>NO</v>
      </c>
      <c r="W16" s="117" t="str">
        <f t="shared" ref="W16:W79" si="4">+IF(Q16&gt;=$J$542,"SI","NO")</f>
        <v>NO</v>
      </c>
      <c r="X16" s="132" t="b">
        <f t="shared" ref="X16" si="5">+IF(R16="SI",IF(S16="SI",IF(T16="SI",IF(U16="SI",IF(V16="SI",IF(W16="SI","SI","NO"))))))</f>
        <v>0</v>
      </c>
    </row>
    <row r="17" spans="1:24" s="2" customFormat="1" ht="12" x14ac:dyDescent="0.15">
      <c r="A17" s="125" t="s">
        <v>84</v>
      </c>
      <c r="B17" s="139">
        <v>800051319</v>
      </c>
      <c r="C17" s="137" t="s">
        <v>118</v>
      </c>
      <c r="D17" s="137" t="s">
        <v>531</v>
      </c>
      <c r="E17" s="138">
        <v>38103064</v>
      </c>
      <c r="F17" s="138">
        <v>57894848</v>
      </c>
      <c r="G17" s="138">
        <v>11608524</v>
      </c>
      <c r="H17" s="138">
        <v>23290496</v>
      </c>
      <c r="I17" s="138">
        <v>34604352</v>
      </c>
      <c r="J17" s="138">
        <v>336028</v>
      </c>
      <c r="K17" s="138">
        <v>2401742</v>
      </c>
      <c r="L17" s="93">
        <f t="shared" ref="L17:L80" si="6">E17-G17</f>
        <v>26494540</v>
      </c>
      <c r="M17" s="94">
        <f t="shared" ref="M17:M80" si="7">E17/G17</f>
        <v>3.2823349462860221</v>
      </c>
      <c r="N17" s="94">
        <f t="shared" ref="N17:N80" si="8">H17/F17</f>
        <v>0.40228961305848837</v>
      </c>
      <c r="O17" s="94">
        <f>J17/K17</f>
        <v>0.13991011524135399</v>
      </c>
      <c r="P17" s="94">
        <f t="shared" si="0"/>
        <v>9.7105705085880536E-3</v>
      </c>
      <c r="Q17" s="94">
        <f t="shared" ref="Q17:Q80" si="9">J17/F17</f>
        <v>5.804108856110996E-3</v>
      </c>
      <c r="R17" s="117" t="str">
        <f t="shared" ref="R17:R80" si="10">+IF(L17&gt;=$R$14,"SI","NO")</f>
        <v>SI</v>
      </c>
      <c r="S17" s="117" t="str">
        <f t="shared" ref="S17:S80" si="11">+IF(M17&gt;=$F$542,"SI","NO")</f>
        <v>SI</v>
      </c>
      <c r="T17" s="117" t="str">
        <f t="shared" si="1"/>
        <v>SI</v>
      </c>
      <c r="U17" s="117" t="str">
        <f t="shared" si="2"/>
        <v>NO</v>
      </c>
      <c r="V17" s="117" t="str">
        <f t="shared" si="3"/>
        <v>NO</v>
      </c>
      <c r="W17" s="117" t="str">
        <f t="shared" si="4"/>
        <v>NO</v>
      </c>
      <c r="X17" s="132" t="b">
        <f t="shared" ref="X17:X80" si="12">+IF(R17="SI",IF(S17="SI",IF(T17="SI",IF(U17="SI",IF(V17="SI",IF(W17="SI","SI","NO"))))))</f>
        <v>0</v>
      </c>
    </row>
    <row r="18" spans="1:24" s="2" customFormat="1" ht="12" x14ac:dyDescent="0.15">
      <c r="A18" s="125" t="s">
        <v>84</v>
      </c>
      <c r="B18" s="139">
        <v>800061357</v>
      </c>
      <c r="C18" s="137" t="s">
        <v>119</v>
      </c>
      <c r="D18" s="137" t="s">
        <v>531</v>
      </c>
      <c r="E18" s="138">
        <v>77593348</v>
      </c>
      <c r="F18" s="138">
        <v>99393091</v>
      </c>
      <c r="G18" s="138">
        <v>27595938</v>
      </c>
      <c r="H18" s="138">
        <v>31289839</v>
      </c>
      <c r="I18" s="138">
        <v>68103252</v>
      </c>
      <c r="J18" s="138">
        <v>-888406</v>
      </c>
      <c r="K18" s="138">
        <v>2901124</v>
      </c>
      <c r="L18" s="93">
        <f t="shared" si="6"/>
        <v>49997410</v>
      </c>
      <c r="M18" s="94">
        <f t="shared" si="7"/>
        <v>2.811767007158807</v>
      </c>
      <c r="N18" s="94">
        <f t="shared" si="8"/>
        <v>0.31480899411811231</v>
      </c>
      <c r="O18" s="94"/>
      <c r="P18" s="94">
        <f t="shared" si="0"/>
        <v>-1.3044986456740714E-2</v>
      </c>
      <c r="Q18" s="94">
        <f t="shared" si="9"/>
        <v>-8.9383073920097731E-3</v>
      </c>
      <c r="R18" s="117" t="str">
        <f t="shared" si="10"/>
        <v>SI</v>
      </c>
      <c r="S18" s="117" t="str">
        <f t="shared" si="11"/>
        <v>SI</v>
      </c>
      <c r="T18" s="117" t="str">
        <f t="shared" si="1"/>
        <v>SI</v>
      </c>
      <c r="U18" s="117" t="str">
        <f t="shared" si="2"/>
        <v>NO</v>
      </c>
      <c r="V18" s="117" t="str">
        <f t="shared" si="3"/>
        <v>NO</v>
      </c>
      <c r="W18" s="117" t="str">
        <f t="shared" si="4"/>
        <v>NO</v>
      </c>
      <c r="X18" s="132" t="b">
        <f t="shared" si="12"/>
        <v>0</v>
      </c>
    </row>
    <row r="19" spans="1:24" s="2" customFormat="1" ht="12" x14ac:dyDescent="0.15">
      <c r="A19" s="125" t="s">
        <v>84</v>
      </c>
      <c r="B19" s="139">
        <v>800077635</v>
      </c>
      <c r="C19" s="137" t="s">
        <v>120</v>
      </c>
      <c r="D19" s="137" t="s">
        <v>531</v>
      </c>
      <c r="E19" s="138">
        <v>68188942</v>
      </c>
      <c r="F19" s="138">
        <v>80270712</v>
      </c>
      <c r="G19" s="138">
        <v>25821103</v>
      </c>
      <c r="H19" s="138">
        <v>26327384</v>
      </c>
      <c r="I19" s="138">
        <v>53943328</v>
      </c>
      <c r="J19" s="138">
        <v>15061965</v>
      </c>
      <c r="K19" s="138"/>
      <c r="L19" s="93">
        <f t="shared" si="6"/>
        <v>42367839</v>
      </c>
      <c r="M19" s="94">
        <f t="shared" si="7"/>
        <v>2.6408221988038232</v>
      </c>
      <c r="N19" s="94">
        <f t="shared" si="8"/>
        <v>0.32798244022053774</v>
      </c>
      <c r="O19" s="94" t="s">
        <v>108</v>
      </c>
      <c r="P19" s="94">
        <f t="shared" si="0"/>
        <v>0.27921831222574922</v>
      </c>
      <c r="Q19" s="94">
        <f t="shared" si="9"/>
        <v>0.18763960882768799</v>
      </c>
      <c r="R19" s="117" t="str">
        <f t="shared" si="10"/>
        <v>SI</v>
      </c>
      <c r="S19" s="117" t="str">
        <f t="shared" si="11"/>
        <v>SI</v>
      </c>
      <c r="T19" s="117" t="str">
        <f t="shared" si="1"/>
        <v>SI</v>
      </c>
      <c r="U19" s="117" t="str">
        <f t="shared" si="2"/>
        <v>SI</v>
      </c>
      <c r="V19" s="117" t="str">
        <f t="shared" si="3"/>
        <v>SI</v>
      </c>
      <c r="W19" s="117" t="str">
        <f t="shared" si="4"/>
        <v>SI</v>
      </c>
      <c r="X19" s="132" t="str">
        <f t="shared" si="12"/>
        <v>SI</v>
      </c>
    </row>
    <row r="20" spans="1:24" s="2" customFormat="1" ht="12" x14ac:dyDescent="0.15">
      <c r="A20" s="125" t="s">
        <v>84</v>
      </c>
      <c r="B20" s="139">
        <v>800105706</v>
      </c>
      <c r="C20" s="137" t="s">
        <v>121</v>
      </c>
      <c r="D20" s="137" t="s">
        <v>531</v>
      </c>
      <c r="E20" s="138">
        <v>90143741</v>
      </c>
      <c r="F20" s="138">
        <v>100373295</v>
      </c>
      <c r="G20" s="138">
        <v>64234958</v>
      </c>
      <c r="H20" s="138">
        <v>78295373</v>
      </c>
      <c r="I20" s="138">
        <v>22077922</v>
      </c>
      <c r="J20" s="138">
        <v>17080262</v>
      </c>
      <c r="K20" s="138">
        <v>5547956</v>
      </c>
      <c r="L20" s="93">
        <f t="shared" si="6"/>
        <v>25908783</v>
      </c>
      <c r="M20" s="94">
        <f t="shared" si="7"/>
        <v>1.403343970428065</v>
      </c>
      <c r="N20" s="94">
        <f t="shared" si="8"/>
        <v>0.78004187269133685</v>
      </c>
      <c r="O20" s="94">
        <f t="shared" ref="O20:O30" si="13">J20/K20</f>
        <v>3.0786585185607094</v>
      </c>
      <c r="P20" s="94">
        <f t="shared" si="0"/>
        <v>0.77363539920106617</v>
      </c>
      <c r="Q20" s="94">
        <f t="shared" si="9"/>
        <v>0.17016739362795652</v>
      </c>
      <c r="R20" s="117" t="str">
        <f t="shared" si="10"/>
        <v>SI</v>
      </c>
      <c r="S20" s="117" t="str">
        <f t="shared" si="11"/>
        <v>NO</v>
      </c>
      <c r="T20" s="117" t="str">
        <f t="shared" si="1"/>
        <v>SI</v>
      </c>
      <c r="U20" s="117" t="str">
        <f t="shared" si="2"/>
        <v>SI</v>
      </c>
      <c r="V20" s="117" t="str">
        <f t="shared" si="3"/>
        <v>SI</v>
      </c>
      <c r="W20" s="117" t="str">
        <f t="shared" si="4"/>
        <v>SI</v>
      </c>
      <c r="X20" s="132" t="b">
        <f t="shared" si="12"/>
        <v>0</v>
      </c>
    </row>
    <row r="21" spans="1:24" s="2" customFormat="1" ht="12" x14ac:dyDescent="0.15">
      <c r="A21" s="125" t="s">
        <v>84</v>
      </c>
      <c r="B21" s="139">
        <v>800249678</v>
      </c>
      <c r="C21" s="137" t="s">
        <v>122</v>
      </c>
      <c r="D21" s="137" t="s">
        <v>531</v>
      </c>
      <c r="E21" s="138">
        <v>43894593</v>
      </c>
      <c r="F21" s="138">
        <v>105105108</v>
      </c>
      <c r="G21" s="138">
        <v>38764010</v>
      </c>
      <c r="H21" s="138">
        <v>85283740</v>
      </c>
      <c r="I21" s="138">
        <v>19821368</v>
      </c>
      <c r="J21" s="138">
        <v>15361211</v>
      </c>
      <c r="K21" s="138">
        <v>2699539</v>
      </c>
      <c r="L21" s="93">
        <f t="shared" si="6"/>
        <v>5130583</v>
      </c>
      <c r="M21" s="94">
        <f t="shared" si="7"/>
        <v>1.1323542894556058</v>
      </c>
      <c r="N21" s="94">
        <f t="shared" si="8"/>
        <v>0.81141384679420148</v>
      </c>
      <c r="O21" s="94"/>
      <c r="P21" s="94">
        <f t="shared" si="0"/>
        <v>0.77498238264886665</v>
      </c>
      <c r="Q21" s="94">
        <f t="shared" si="9"/>
        <v>0.14615094634601394</v>
      </c>
      <c r="R21" s="117" t="str">
        <f t="shared" si="10"/>
        <v>SI</v>
      </c>
      <c r="S21" s="117" t="str">
        <f t="shared" si="11"/>
        <v>NO</v>
      </c>
      <c r="T21" s="117" t="str">
        <f t="shared" si="1"/>
        <v>SI</v>
      </c>
      <c r="U21" s="117" t="str">
        <f t="shared" si="2"/>
        <v>NO</v>
      </c>
      <c r="V21" s="117" t="str">
        <f t="shared" si="3"/>
        <v>SI</v>
      </c>
      <c r="W21" s="117" t="str">
        <f t="shared" si="4"/>
        <v>SI</v>
      </c>
      <c r="X21" s="132" t="b">
        <f t="shared" si="12"/>
        <v>0</v>
      </c>
    </row>
    <row r="22" spans="1:24" s="2" customFormat="1" ht="12" x14ac:dyDescent="0.15">
      <c r="A22" s="125" t="s">
        <v>84</v>
      </c>
      <c r="B22" s="139">
        <v>802010521</v>
      </c>
      <c r="C22" s="137" t="s">
        <v>123</v>
      </c>
      <c r="D22" s="137" t="s">
        <v>531</v>
      </c>
      <c r="E22" s="138">
        <v>12568655</v>
      </c>
      <c r="F22" s="138">
        <v>24131611</v>
      </c>
      <c r="G22" s="138">
        <v>9287398</v>
      </c>
      <c r="H22" s="138">
        <v>15524451</v>
      </c>
      <c r="I22" s="138">
        <v>8607160</v>
      </c>
      <c r="J22" s="138">
        <v>683231</v>
      </c>
      <c r="K22" s="138">
        <v>4240350</v>
      </c>
      <c r="L22" s="93">
        <f t="shared" si="6"/>
        <v>3281257</v>
      </c>
      <c r="M22" s="94">
        <f t="shared" si="7"/>
        <v>1.3533020766419184</v>
      </c>
      <c r="N22" s="94">
        <f t="shared" si="8"/>
        <v>0.64332426873614035</v>
      </c>
      <c r="O22" s="94">
        <f t="shared" si="13"/>
        <v>0.16112608629004682</v>
      </c>
      <c r="P22" s="94">
        <f t="shared" si="0"/>
        <v>7.9379377169705223E-2</v>
      </c>
      <c r="Q22" s="94">
        <f t="shared" si="9"/>
        <v>2.8312697399274337E-2</v>
      </c>
      <c r="R22" s="117" t="str">
        <f t="shared" si="10"/>
        <v>SI</v>
      </c>
      <c r="S22" s="117" t="str">
        <f t="shared" si="11"/>
        <v>NO</v>
      </c>
      <c r="T22" s="117" t="str">
        <f t="shared" si="1"/>
        <v>SI</v>
      </c>
      <c r="U22" s="117" t="str">
        <f t="shared" si="2"/>
        <v>NO</v>
      </c>
      <c r="V22" s="117" t="str">
        <f t="shared" si="3"/>
        <v>NO</v>
      </c>
      <c r="W22" s="117" t="str">
        <f t="shared" si="4"/>
        <v>NO</v>
      </c>
      <c r="X22" s="132" t="b">
        <f t="shared" si="12"/>
        <v>0</v>
      </c>
    </row>
    <row r="23" spans="1:24" s="2" customFormat="1" ht="12" x14ac:dyDescent="0.15">
      <c r="A23" s="125" t="s">
        <v>84</v>
      </c>
      <c r="B23" s="139">
        <v>811001646</v>
      </c>
      <c r="C23" s="137" t="s">
        <v>124</v>
      </c>
      <c r="D23" s="137" t="s">
        <v>531</v>
      </c>
      <c r="E23" s="138">
        <v>11899481</v>
      </c>
      <c r="F23" s="138">
        <v>13434180</v>
      </c>
      <c r="G23" s="138">
        <v>2242987</v>
      </c>
      <c r="H23" s="138">
        <v>2974660</v>
      </c>
      <c r="I23" s="138">
        <v>10459520</v>
      </c>
      <c r="J23" s="138">
        <v>5889619</v>
      </c>
      <c r="K23" s="138">
        <v>1483013</v>
      </c>
      <c r="L23" s="93">
        <f t="shared" si="6"/>
        <v>9656494</v>
      </c>
      <c r="M23" s="94"/>
      <c r="N23" s="94">
        <f t="shared" si="8"/>
        <v>0.22142475387407345</v>
      </c>
      <c r="O23" s="94"/>
      <c r="P23" s="94">
        <f t="shared" si="0"/>
        <v>0.56308692941932326</v>
      </c>
      <c r="Q23" s="94">
        <f t="shared" si="9"/>
        <v>0.43840554466294185</v>
      </c>
      <c r="R23" s="117" t="str">
        <f t="shared" si="10"/>
        <v>SI</v>
      </c>
      <c r="S23" s="117" t="str">
        <f t="shared" si="11"/>
        <v>NO</v>
      </c>
      <c r="T23" s="117" t="str">
        <f t="shared" si="1"/>
        <v>SI</v>
      </c>
      <c r="U23" s="117" t="str">
        <f t="shared" si="2"/>
        <v>NO</v>
      </c>
      <c r="V23" s="117" t="str">
        <f t="shared" si="3"/>
        <v>SI</v>
      </c>
      <c r="W23" s="117" t="str">
        <f t="shared" si="4"/>
        <v>SI</v>
      </c>
      <c r="X23" s="132" t="b">
        <f t="shared" si="12"/>
        <v>0</v>
      </c>
    </row>
    <row r="24" spans="1:24" s="2" customFormat="1" ht="12" x14ac:dyDescent="0.15">
      <c r="A24" s="125" t="s">
        <v>84</v>
      </c>
      <c r="B24" s="139">
        <v>811021765</v>
      </c>
      <c r="C24" s="137" t="s">
        <v>125</v>
      </c>
      <c r="D24" s="137" t="s">
        <v>531</v>
      </c>
      <c r="E24" s="138">
        <v>122981128</v>
      </c>
      <c r="F24" s="138">
        <v>144497245</v>
      </c>
      <c r="G24" s="138">
        <v>57836155</v>
      </c>
      <c r="H24" s="138">
        <v>59756224</v>
      </c>
      <c r="I24" s="138">
        <v>84741021</v>
      </c>
      <c r="J24" s="138">
        <v>6854248</v>
      </c>
      <c r="K24" s="138">
        <v>2519792</v>
      </c>
      <c r="L24" s="93">
        <f t="shared" si="6"/>
        <v>65144973</v>
      </c>
      <c r="M24" s="94">
        <f t="shared" si="7"/>
        <v>2.1263710908859692</v>
      </c>
      <c r="N24" s="94">
        <f t="shared" si="8"/>
        <v>0.41354576691064249</v>
      </c>
      <c r="O24" s="94">
        <f t="shared" si="13"/>
        <v>2.7201642040295391</v>
      </c>
      <c r="P24" s="94">
        <f t="shared" si="0"/>
        <v>8.088465207422979E-2</v>
      </c>
      <c r="Q24" s="94">
        <f t="shared" si="9"/>
        <v>4.7435146600891938E-2</v>
      </c>
      <c r="R24" s="117" t="str">
        <f t="shared" si="10"/>
        <v>SI</v>
      </c>
      <c r="S24" s="117" t="str">
        <f t="shared" si="11"/>
        <v>SI</v>
      </c>
      <c r="T24" s="117" t="str">
        <f t="shared" si="1"/>
        <v>SI</v>
      </c>
      <c r="U24" s="117" t="str">
        <f t="shared" si="2"/>
        <v>SI</v>
      </c>
      <c r="V24" s="117" t="str">
        <f t="shared" si="3"/>
        <v>NO</v>
      </c>
      <c r="W24" s="117" t="str">
        <f t="shared" si="4"/>
        <v>NO</v>
      </c>
      <c r="X24" s="132" t="b">
        <f t="shared" si="12"/>
        <v>0</v>
      </c>
    </row>
    <row r="25" spans="1:24" s="2" customFormat="1" ht="12" x14ac:dyDescent="0.15">
      <c r="A25" s="125" t="s">
        <v>84</v>
      </c>
      <c r="B25" s="139">
        <v>830002560</v>
      </c>
      <c r="C25" s="137" t="s">
        <v>126</v>
      </c>
      <c r="D25" s="137" t="s">
        <v>531</v>
      </c>
      <c r="E25" s="138">
        <v>43511138</v>
      </c>
      <c r="F25" s="138">
        <v>54746225</v>
      </c>
      <c r="G25" s="138">
        <v>8699204</v>
      </c>
      <c r="H25" s="138">
        <v>11817999</v>
      </c>
      <c r="I25" s="138">
        <v>42928226</v>
      </c>
      <c r="J25" s="138">
        <v>8964141</v>
      </c>
      <c r="K25" s="138">
        <v>1551096</v>
      </c>
      <c r="L25" s="93">
        <f t="shared" si="6"/>
        <v>34811934</v>
      </c>
      <c r="M25" s="94"/>
      <c r="N25" s="94">
        <f t="shared" si="8"/>
        <v>0.21586874711452708</v>
      </c>
      <c r="O25" s="94"/>
      <c r="P25" s="94">
        <f t="shared" si="0"/>
        <v>0.20881694482320326</v>
      </c>
      <c r="Q25" s="94">
        <f t="shared" si="9"/>
        <v>0.16373989256793506</v>
      </c>
      <c r="R25" s="117" t="str">
        <f t="shared" si="10"/>
        <v>SI</v>
      </c>
      <c r="S25" s="117" t="str">
        <f t="shared" si="11"/>
        <v>NO</v>
      </c>
      <c r="T25" s="117" t="str">
        <f t="shared" si="1"/>
        <v>SI</v>
      </c>
      <c r="U25" s="117" t="str">
        <f t="shared" si="2"/>
        <v>NO</v>
      </c>
      <c r="V25" s="117" t="str">
        <f t="shared" si="3"/>
        <v>SI</v>
      </c>
      <c r="W25" s="117" t="str">
        <f t="shared" si="4"/>
        <v>SI</v>
      </c>
      <c r="X25" s="132" t="b">
        <f t="shared" si="12"/>
        <v>0</v>
      </c>
    </row>
    <row r="26" spans="1:24" s="2" customFormat="1" ht="12" x14ac:dyDescent="0.15">
      <c r="A26" s="125" t="s">
        <v>84</v>
      </c>
      <c r="B26" s="139">
        <v>830025149</v>
      </c>
      <c r="C26" s="137" t="s">
        <v>127</v>
      </c>
      <c r="D26" s="137" t="s">
        <v>531</v>
      </c>
      <c r="E26" s="138">
        <v>558144231</v>
      </c>
      <c r="F26" s="138">
        <v>618935642</v>
      </c>
      <c r="G26" s="138">
        <v>199026896</v>
      </c>
      <c r="H26" s="138">
        <v>204574632</v>
      </c>
      <c r="I26" s="138">
        <v>414361010</v>
      </c>
      <c r="J26" s="138">
        <v>20957514</v>
      </c>
      <c r="K26" s="138">
        <v>2032795</v>
      </c>
      <c r="L26" s="93">
        <f t="shared" si="6"/>
        <v>359117335</v>
      </c>
      <c r="M26" s="94">
        <f t="shared" si="7"/>
        <v>2.8043658531457978</v>
      </c>
      <c r="N26" s="94">
        <f t="shared" si="8"/>
        <v>0.33052650084740154</v>
      </c>
      <c r="O26" s="94"/>
      <c r="P26" s="94">
        <f t="shared" si="0"/>
        <v>5.0577910310625029E-2</v>
      </c>
      <c r="Q26" s="94">
        <f t="shared" si="9"/>
        <v>3.3860570595480428E-2</v>
      </c>
      <c r="R26" s="117" t="str">
        <f t="shared" si="10"/>
        <v>SI</v>
      </c>
      <c r="S26" s="117" t="str">
        <f t="shared" si="11"/>
        <v>SI</v>
      </c>
      <c r="T26" s="117" t="str">
        <f t="shared" si="1"/>
        <v>SI</v>
      </c>
      <c r="U26" s="117" t="str">
        <f t="shared" si="2"/>
        <v>NO</v>
      </c>
      <c r="V26" s="117" t="str">
        <f t="shared" si="3"/>
        <v>NO</v>
      </c>
      <c r="W26" s="117" t="str">
        <f t="shared" si="4"/>
        <v>NO</v>
      </c>
      <c r="X26" s="132" t="b">
        <f t="shared" si="12"/>
        <v>0</v>
      </c>
    </row>
    <row r="27" spans="1:24" s="2" customFormat="1" ht="12" x14ac:dyDescent="0.15">
      <c r="A27" s="125" t="s">
        <v>84</v>
      </c>
      <c r="B27" s="139">
        <v>830036006</v>
      </c>
      <c r="C27" s="137" t="s">
        <v>128</v>
      </c>
      <c r="D27" s="137" t="s">
        <v>531</v>
      </c>
      <c r="E27" s="138">
        <v>88995293</v>
      </c>
      <c r="F27" s="138">
        <v>99737366</v>
      </c>
      <c r="G27" s="138">
        <v>39965660</v>
      </c>
      <c r="H27" s="138">
        <v>44126137</v>
      </c>
      <c r="I27" s="138">
        <v>55611229</v>
      </c>
      <c r="J27" s="138">
        <v>14788346</v>
      </c>
      <c r="K27" s="138">
        <v>7529987</v>
      </c>
      <c r="L27" s="93">
        <f t="shared" si="6"/>
        <v>49029633</v>
      </c>
      <c r="M27" s="94">
        <f t="shared" si="7"/>
        <v>2.2267940276727569</v>
      </c>
      <c r="N27" s="94">
        <f t="shared" si="8"/>
        <v>0.44242332407294577</v>
      </c>
      <c r="O27" s="94">
        <f t="shared" si="13"/>
        <v>1.9639271621584473</v>
      </c>
      <c r="P27" s="94">
        <f t="shared" si="0"/>
        <v>0.26592373996985391</v>
      </c>
      <c r="Q27" s="94">
        <f t="shared" si="9"/>
        <v>0.14827287498248148</v>
      </c>
      <c r="R27" s="117" t="str">
        <f t="shared" si="10"/>
        <v>SI</v>
      </c>
      <c r="S27" s="117" t="str">
        <f t="shared" si="11"/>
        <v>SI</v>
      </c>
      <c r="T27" s="117" t="str">
        <f t="shared" si="1"/>
        <v>SI</v>
      </c>
      <c r="U27" s="117" t="str">
        <f t="shared" si="2"/>
        <v>SI</v>
      </c>
      <c r="V27" s="117" t="str">
        <f t="shared" si="3"/>
        <v>SI</v>
      </c>
      <c r="W27" s="117" t="str">
        <f t="shared" si="4"/>
        <v>SI</v>
      </c>
      <c r="X27" s="132" t="str">
        <f t="shared" si="12"/>
        <v>SI</v>
      </c>
    </row>
    <row r="28" spans="1:24" s="2" customFormat="1" ht="12" x14ac:dyDescent="0.15">
      <c r="A28" s="125" t="s">
        <v>84</v>
      </c>
      <c r="B28" s="139">
        <v>830041688</v>
      </c>
      <c r="C28" s="137" t="s">
        <v>129</v>
      </c>
      <c r="D28" s="137" t="s">
        <v>531</v>
      </c>
      <c r="E28" s="138">
        <v>12786948</v>
      </c>
      <c r="F28" s="138">
        <v>14662001</v>
      </c>
      <c r="G28" s="138">
        <v>14734084</v>
      </c>
      <c r="H28" s="138">
        <v>15296867</v>
      </c>
      <c r="I28" s="138">
        <v>-634866</v>
      </c>
      <c r="J28" s="138">
        <v>2346382</v>
      </c>
      <c r="K28" s="138">
        <v>3168811</v>
      </c>
      <c r="L28" s="93">
        <f t="shared" si="6"/>
        <v>-1947136</v>
      </c>
      <c r="M28" s="94">
        <f t="shared" si="7"/>
        <v>0.86784818112887097</v>
      </c>
      <c r="N28" s="94">
        <f t="shared" si="8"/>
        <v>1.0433000925317084</v>
      </c>
      <c r="O28" s="94">
        <f t="shared" si="13"/>
        <v>0.74046132760836791</v>
      </c>
      <c r="P28" s="94">
        <f t="shared" si="0"/>
        <v>-3.6958696795859285</v>
      </c>
      <c r="Q28" s="94">
        <f t="shared" si="9"/>
        <v>0.1600314991112059</v>
      </c>
      <c r="R28" s="117" t="str">
        <f t="shared" si="10"/>
        <v>NO</v>
      </c>
      <c r="S28" s="117" t="str">
        <f t="shared" si="11"/>
        <v>NO</v>
      </c>
      <c r="T28" s="117" t="str">
        <f t="shared" si="1"/>
        <v>NO</v>
      </c>
      <c r="U28" s="117" t="str">
        <f t="shared" si="2"/>
        <v>NO</v>
      </c>
      <c r="V28" s="117" t="str">
        <f t="shared" si="3"/>
        <v>NO</v>
      </c>
      <c r="W28" s="117" t="str">
        <f t="shared" si="4"/>
        <v>SI</v>
      </c>
      <c r="X28" s="132" t="b">
        <f t="shared" si="12"/>
        <v>0</v>
      </c>
    </row>
    <row r="29" spans="1:24" s="2" customFormat="1" ht="12" x14ac:dyDescent="0.15">
      <c r="A29" s="125" t="s">
        <v>84</v>
      </c>
      <c r="B29" s="139">
        <v>830060331</v>
      </c>
      <c r="C29" s="137" t="s">
        <v>130</v>
      </c>
      <c r="D29" s="137" t="s">
        <v>531</v>
      </c>
      <c r="E29" s="138">
        <v>383180781</v>
      </c>
      <c r="F29" s="138">
        <v>524928584</v>
      </c>
      <c r="G29" s="138">
        <v>347268080</v>
      </c>
      <c r="H29" s="138">
        <v>385140335</v>
      </c>
      <c r="I29" s="138">
        <v>139788249</v>
      </c>
      <c r="J29" s="138">
        <v>47932548</v>
      </c>
      <c r="K29" s="138">
        <v>39136942</v>
      </c>
      <c r="L29" s="93">
        <f t="shared" si="6"/>
        <v>35912701</v>
      </c>
      <c r="M29" s="94">
        <f t="shared" si="7"/>
        <v>1.1034149208300401</v>
      </c>
      <c r="N29" s="94">
        <f>H29/F29</f>
        <v>0.73370044371597798</v>
      </c>
      <c r="O29" s="94">
        <f t="shared" si="13"/>
        <v>1.2247392246435604</v>
      </c>
      <c r="P29" s="94">
        <f t="shared" si="0"/>
        <v>0.34289397243970055</v>
      </c>
      <c r="Q29" s="94">
        <f t="shared" si="9"/>
        <v>9.1312512713157948E-2</v>
      </c>
      <c r="R29" s="117" t="str">
        <f t="shared" si="10"/>
        <v>SI</v>
      </c>
      <c r="S29" s="117" t="str">
        <f t="shared" si="11"/>
        <v>NO</v>
      </c>
      <c r="T29" s="117" t="str">
        <f t="shared" si="1"/>
        <v>SI</v>
      </c>
      <c r="U29" s="117" t="str">
        <f t="shared" si="2"/>
        <v>SI</v>
      </c>
      <c r="V29" s="117" t="str">
        <f t="shared" si="3"/>
        <v>SI</v>
      </c>
      <c r="W29" s="117" t="str">
        <f t="shared" si="4"/>
        <v>SI</v>
      </c>
      <c r="X29" s="132" t="b">
        <f t="shared" si="12"/>
        <v>0</v>
      </c>
    </row>
    <row r="30" spans="1:24" s="2" customFormat="1" ht="12" x14ac:dyDescent="0.15">
      <c r="A30" s="125" t="s">
        <v>84</v>
      </c>
      <c r="B30" s="139">
        <v>830067414</v>
      </c>
      <c r="C30" s="137" t="s">
        <v>131</v>
      </c>
      <c r="D30" s="137" t="s">
        <v>531</v>
      </c>
      <c r="E30" s="138">
        <v>92848627</v>
      </c>
      <c r="F30" s="138">
        <v>175586677</v>
      </c>
      <c r="G30" s="138">
        <v>38281997</v>
      </c>
      <c r="H30" s="138">
        <v>80993785</v>
      </c>
      <c r="I30" s="138">
        <v>94592892</v>
      </c>
      <c r="J30" s="138">
        <v>26418945</v>
      </c>
      <c r="K30" s="138">
        <v>11342564</v>
      </c>
      <c r="L30" s="93">
        <f t="shared" si="6"/>
        <v>54566630</v>
      </c>
      <c r="M30" s="94">
        <f t="shared" si="7"/>
        <v>2.425386193933404</v>
      </c>
      <c r="N30" s="94">
        <f t="shared" si="8"/>
        <v>0.46127523103589457</v>
      </c>
      <c r="O30" s="94">
        <f t="shared" si="13"/>
        <v>2.3291863285937819</v>
      </c>
      <c r="P30" s="94">
        <f t="shared" si="0"/>
        <v>0.27929101691911479</v>
      </c>
      <c r="Q30" s="94">
        <f t="shared" si="9"/>
        <v>0.15046098856350018</v>
      </c>
      <c r="R30" s="117" t="str">
        <f t="shared" si="10"/>
        <v>SI</v>
      </c>
      <c r="S30" s="117" t="str">
        <f t="shared" si="11"/>
        <v>SI</v>
      </c>
      <c r="T30" s="117" t="str">
        <f t="shared" si="1"/>
        <v>SI</v>
      </c>
      <c r="U30" s="117" t="str">
        <f t="shared" si="2"/>
        <v>SI</v>
      </c>
      <c r="V30" s="117" t="str">
        <f t="shared" si="3"/>
        <v>SI</v>
      </c>
      <c r="W30" s="117" t="str">
        <f t="shared" si="4"/>
        <v>SI</v>
      </c>
      <c r="X30" s="132" t="str">
        <f t="shared" si="12"/>
        <v>SI</v>
      </c>
    </row>
    <row r="31" spans="1:24" s="2" customFormat="1" ht="12" x14ac:dyDescent="0.15">
      <c r="A31" s="125" t="s">
        <v>84</v>
      </c>
      <c r="B31" s="139">
        <v>830070192</v>
      </c>
      <c r="C31" s="137" t="s">
        <v>132</v>
      </c>
      <c r="D31" s="137" t="s">
        <v>531</v>
      </c>
      <c r="E31" s="138">
        <v>32538252</v>
      </c>
      <c r="F31" s="138">
        <v>47357948</v>
      </c>
      <c r="G31" s="138">
        <v>24199426</v>
      </c>
      <c r="H31" s="138">
        <v>24290562</v>
      </c>
      <c r="I31" s="138">
        <v>23067386</v>
      </c>
      <c r="J31" s="138">
        <v>12492803</v>
      </c>
      <c r="K31" s="138">
        <v>2155474</v>
      </c>
      <c r="L31" s="93">
        <f t="shared" si="6"/>
        <v>8338826</v>
      </c>
      <c r="M31" s="94">
        <f t="shared" si="7"/>
        <v>1.3445877600567882</v>
      </c>
      <c r="N31" s="94">
        <f t="shared" si="8"/>
        <v>0.51291415751375036</v>
      </c>
      <c r="O31" s="94"/>
      <c r="P31" s="94">
        <f t="shared" si="0"/>
        <v>0.5415786166668386</v>
      </c>
      <c r="Q31" s="94">
        <f t="shared" si="9"/>
        <v>0.26379527677170472</v>
      </c>
      <c r="R31" s="117" t="str">
        <f t="shared" si="10"/>
        <v>SI</v>
      </c>
      <c r="S31" s="117" t="str">
        <f t="shared" si="11"/>
        <v>NO</v>
      </c>
      <c r="T31" s="117" t="str">
        <f t="shared" si="1"/>
        <v>SI</v>
      </c>
      <c r="U31" s="117" t="str">
        <f t="shared" si="2"/>
        <v>NO</v>
      </c>
      <c r="V31" s="117" t="str">
        <f t="shared" si="3"/>
        <v>SI</v>
      </c>
      <c r="W31" s="117" t="str">
        <f t="shared" si="4"/>
        <v>SI</v>
      </c>
      <c r="X31" s="132" t="b">
        <f t="shared" si="12"/>
        <v>0</v>
      </c>
    </row>
    <row r="32" spans="1:24" s="2" customFormat="1" ht="12" x14ac:dyDescent="0.15">
      <c r="A32" s="125" t="s">
        <v>84</v>
      </c>
      <c r="B32" s="139">
        <v>830083714</v>
      </c>
      <c r="C32" s="137" t="s">
        <v>133</v>
      </c>
      <c r="D32" s="137" t="s">
        <v>531</v>
      </c>
      <c r="E32" s="138">
        <v>104316919</v>
      </c>
      <c r="F32" s="138">
        <v>113066931</v>
      </c>
      <c r="G32" s="138">
        <v>91312808</v>
      </c>
      <c r="H32" s="138">
        <v>95452129</v>
      </c>
      <c r="I32" s="138">
        <v>17614802</v>
      </c>
      <c r="J32" s="138">
        <v>-15524429</v>
      </c>
      <c r="K32" s="138"/>
      <c r="L32" s="93">
        <f t="shared" si="6"/>
        <v>13004111</v>
      </c>
      <c r="M32" s="94">
        <f t="shared" si="7"/>
        <v>1.1424127817863186</v>
      </c>
      <c r="N32" s="94">
        <f t="shared" si="8"/>
        <v>0.84420907294282177</v>
      </c>
      <c r="O32" s="94" t="s">
        <v>108</v>
      </c>
      <c r="P32" s="94">
        <f t="shared" si="0"/>
        <v>-0.88132861215243863</v>
      </c>
      <c r="Q32" s="94">
        <f t="shared" si="9"/>
        <v>-0.13730300152924466</v>
      </c>
      <c r="R32" s="117" t="str">
        <f t="shared" si="10"/>
        <v>SI</v>
      </c>
      <c r="S32" s="117" t="str">
        <f t="shared" si="11"/>
        <v>NO</v>
      </c>
      <c r="T32" s="117" t="str">
        <f t="shared" si="1"/>
        <v>SI</v>
      </c>
      <c r="U32" s="117" t="str">
        <f t="shared" si="2"/>
        <v>SI</v>
      </c>
      <c r="V32" s="117" t="str">
        <f t="shared" si="3"/>
        <v>NO</v>
      </c>
      <c r="W32" s="117" t="str">
        <f t="shared" si="4"/>
        <v>NO</v>
      </c>
      <c r="X32" s="132" t="b">
        <f t="shared" si="12"/>
        <v>0</v>
      </c>
    </row>
    <row r="33" spans="1:24" s="2" customFormat="1" ht="12" x14ac:dyDescent="0.15">
      <c r="A33" s="125" t="s">
        <v>84</v>
      </c>
      <c r="B33" s="139">
        <v>830092234</v>
      </c>
      <c r="C33" s="137" t="s">
        <v>134</v>
      </c>
      <c r="D33" s="137" t="s">
        <v>531</v>
      </c>
      <c r="E33" s="138">
        <v>25290724</v>
      </c>
      <c r="F33" s="138">
        <v>27775616</v>
      </c>
      <c r="G33" s="138">
        <v>20039401</v>
      </c>
      <c r="H33" s="138">
        <v>21604522</v>
      </c>
      <c r="I33" s="138">
        <v>6171094</v>
      </c>
      <c r="J33" s="138">
        <v>818507</v>
      </c>
      <c r="K33" s="138">
        <v>295997</v>
      </c>
      <c r="L33" s="93">
        <f t="shared" si="6"/>
        <v>5251323</v>
      </c>
      <c r="M33" s="94">
        <f t="shared" si="7"/>
        <v>1.2620498985972683</v>
      </c>
      <c r="N33" s="94">
        <f t="shared" si="8"/>
        <v>0.77782332532246989</v>
      </c>
      <c r="O33" s="94">
        <f t="shared" ref="O33:O79" si="14">J33/K33</f>
        <v>2.7652543775781511</v>
      </c>
      <c r="P33" s="94">
        <f t="shared" si="0"/>
        <v>0.13263563964509373</v>
      </c>
      <c r="Q33" s="94">
        <f t="shared" si="9"/>
        <v>2.9468545360074101E-2</v>
      </c>
      <c r="R33" s="117" t="str">
        <f t="shared" si="10"/>
        <v>SI</v>
      </c>
      <c r="S33" s="117" t="str">
        <f t="shared" si="11"/>
        <v>NO</v>
      </c>
      <c r="T33" s="117" t="str">
        <f t="shared" si="1"/>
        <v>SI</v>
      </c>
      <c r="U33" s="117" t="str">
        <f t="shared" si="2"/>
        <v>SI</v>
      </c>
      <c r="V33" s="117" t="str">
        <f t="shared" si="3"/>
        <v>NO</v>
      </c>
      <c r="W33" s="117" t="str">
        <f t="shared" si="4"/>
        <v>NO</v>
      </c>
      <c r="X33" s="132" t="b">
        <f t="shared" si="12"/>
        <v>0</v>
      </c>
    </row>
    <row r="34" spans="1:24" s="2" customFormat="1" ht="12" x14ac:dyDescent="0.15">
      <c r="A34" s="125" t="s">
        <v>84</v>
      </c>
      <c r="B34" s="139">
        <v>830093986</v>
      </c>
      <c r="C34" s="137" t="s">
        <v>135</v>
      </c>
      <c r="D34" s="137" t="s">
        <v>531</v>
      </c>
      <c r="E34" s="138">
        <v>27991460</v>
      </c>
      <c r="F34" s="138">
        <v>31594974</v>
      </c>
      <c r="G34" s="138">
        <v>14601221</v>
      </c>
      <c r="H34" s="138">
        <v>15197289</v>
      </c>
      <c r="I34" s="138">
        <v>16397685</v>
      </c>
      <c r="J34" s="138">
        <v>24031679</v>
      </c>
      <c r="K34" s="138"/>
      <c r="L34" s="93">
        <f t="shared" si="6"/>
        <v>13390239</v>
      </c>
      <c r="M34" s="94">
        <f t="shared" si="7"/>
        <v>1.9170629634329897</v>
      </c>
      <c r="N34" s="94">
        <f t="shared" si="8"/>
        <v>0.48100337097919432</v>
      </c>
      <c r="O34" s="94" t="s">
        <v>108</v>
      </c>
      <c r="P34" s="94">
        <f t="shared" si="0"/>
        <v>1.4655531558265695</v>
      </c>
      <c r="Q34" s="94">
        <f t="shared" si="9"/>
        <v>0.76061714752479304</v>
      </c>
      <c r="R34" s="117" t="str">
        <f t="shared" si="10"/>
        <v>SI</v>
      </c>
      <c r="S34" s="117" t="str">
        <f t="shared" si="11"/>
        <v>SI</v>
      </c>
      <c r="T34" s="117" t="str">
        <f t="shared" si="1"/>
        <v>SI</v>
      </c>
      <c r="U34" s="117" t="str">
        <f t="shared" si="2"/>
        <v>SI</v>
      </c>
      <c r="V34" s="117" t="str">
        <f t="shared" si="3"/>
        <v>SI</v>
      </c>
      <c r="W34" s="117" t="str">
        <f t="shared" si="4"/>
        <v>SI</v>
      </c>
      <c r="X34" s="132" t="str">
        <f t="shared" si="12"/>
        <v>SI</v>
      </c>
    </row>
    <row r="35" spans="1:24" s="2" customFormat="1" ht="12" x14ac:dyDescent="0.15">
      <c r="A35" s="125" t="s">
        <v>84</v>
      </c>
      <c r="B35" s="139">
        <v>830117139</v>
      </c>
      <c r="C35" s="137" t="s">
        <v>136</v>
      </c>
      <c r="D35" s="137" t="s">
        <v>531</v>
      </c>
      <c r="E35" s="138">
        <v>49949968</v>
      </c>
      <c r="F35" s="138">
        <v>67026624</v>
      </c>
      <c r="G35" s="138">
        <v>7048088</v>
      </c>
      <c r="H35" s="138">
        <v>7934618</v>
      </c>
      <c r="I35" s="138">
        <v>59092006</v>
      </c>
      <c r="J35" s="138">
        <v>2103961</v>
      </c>
      <c r="K35" s="138"/>
      <c r="L35" s="93">
        <f t="shared" si="6"/>
        <v>42901880</v>
      </c>
      <c r="M35" s="94"/>
      <c r="N35" s="94">
        <f t="shared" si="8"/>
        <v>0.11838009325965754</v>
      </c>
      <c r="O35" s="94" t="s">
        <v>108</v>
      </c>
      <c r="P35" s="94">
        <f t="shared" si="0"/>
        <v>3.560483291090169E-2</v>
      </c>
      <c r="Q35" s="94">
        <f t="shared" si="9"/>
        <v>3.1389929470414621E-2</v>
      </c>
      <c r="R35" s="117" t="str">
        <f t="shared" si="10"/>
        <v>SI</v>
      </c>
      <c r="S35" s="117" t="str">
        <f t="shared" si="11"/>
        <v>NO</v>
      </c>
      <c r="T35" s="117" t="str">
        <f t="shared" si="1"/>
        <v>SI</v>
      </c>
      <c r="U35" s="117" t="str">
        <f t="shared" si="2"/>
        <v>SI</v>
      </c>
      <c r="V35" s="117" t="str">
        <f t="shared" si="3"/>
        <v>NO</v>
      </c>
      <c r="W35" s="117" t="str">
        <f t="shared" si="4"/>
        <v>NO</v>
      </c>
      <c r="X35" s="132" t="b">
        <f t="shared" si="12"/>
        <v>0</v>
      </c>
    </row>
    <row r="36" spans="1:24" s="2" customFormat="1" ht="12" x14ac:dyDescent="0.15">
      <c r="A36" s="125" t="s">
        <v>84</v>
      </c>
      <c r="B36" s="139">
        <v>830128434</v>
      </c>
      <c r="C36" s="137" t="s">
        <v>137</v>
      </c>
      <c r="D36" s="137" t="s">
        <v>531</v>
      </c>
      <c r="E36" s="138">
        <v>346936867</v>
      </c>
      <c r="F36" s="138">
        <v>452705626</v>
      </c>
      <c r="G36" s="138">
        <v>274129003</v>
      </c>
      <c r="H36" s="138">
        <v>274214684</v>
      </c>
      <c r="I36" s="138">
        <v>178490942</v>
      </c>
      <c r="J36" s="138">
        <v>48876966</v>
      </c>
      <c r="K36" s="138">
        <v>80688081</v>
      </c>
      <c r="L36" s="93">
        <f t="shared" si="6"/>
        <v>72807864</v>
      </c>
      <c r="M36" s="94">
        <f t="shared" si="7"/>
        <v>1.2655970845959703</v>
      </c>
      <c r="N36" s="94">
        <f t="shared" si="8"/>
        <v>0.60572404726421492</v>
      </c>
      <c r="O36" s="94">
        <f t="shared" si="14"/>
        <v>0.60575199452320594</v>
      </c>
      <c r="P36" s="94">
        <f t="shared" si="0"/>
        <v>0.27383443357030407</v>
      </c>
      <c r="Q36" s="94">
        <f t="shared" si="9"/>
        <v>0.10796633218779569</v>
      </c>
      <c r="R36" s="117" t="str">
        <f t="shared" si="10"/>
        <v>SI</v>
      </c>
      <c r="S36" s="117" t="str">
        <f t="shared" si="11"/>
        <v>NO</v>
      </c>
      <c r="T36" s="117" t="str">
        <f t="shared" si="1"/>
        <v>SI</v>
      </c>
      <c r="U36" s="117" t="str">
        <f t="shared" si="2"/>
        <v>NO</v>
      </c>
      <c r="V36" s="117" t="str">
        <f t="shared" si="3"/>
        <v>SI</v>
      </c>
      <c r="W36" s="117" t="str">
        <f t="shared" si="4"/>
        <v>SI</v>
      </c>
      <c r="X36" s="132" t="b">
        <f t="shared" si="12"/>
        <v>0</v>
      </c>
    </row>
    <row r="37" spans="1:24" s="2" customFormat="1" ht="12" x14ac:dyDescent="0.15">
      <c r="A37" s="125" t="s">
        <v>84</v>
      </c>
      <c r="B37" s="139">
        <v>830511110</v>
      </c>
      <c r="C37" s="137" t="s">
        <v>138</v>
      </c>
      <c r="D37" s="137" t="s">
        <v>531</v>
      </c>
      <c r="E37" s="138">
        <v>189533924</v>
      </c>
      <c r="F37" s="138">
        <v>201177579</v>
      </c>
      <c r="G37" s="138">
        <v>121271990</v>
      </c>
      <c r="H37" s="138">
        <v>130237214</v>
      </c>
      <c r="I37" s="138">
        <v>70940365</v>
      </c>
      <c r="J37" s="138">
        <v>25132000</v>
      </c>
      <c r="K37" s="138"/>
      <c r="L37" s="93">
        <f t="shared" si="6"/>
        <v>68261934</v>
      </c>
      <c r="M37" s="94">
        <f t="shared" si="7"/>
        <v>1.5628829377665856</v>
      </c>
      <c r="N37" s="94">
        <f t="shared" si="8"/>
        <v>0.64737439752170389</v>
      </c>
      <c r="O37" s="94" t="s">
        <v>108</v>
      </c>
      <c r="P37" s="94">
        <f t="shared" si="0"/>
        <v>0.35426939232692134</v>
      </c>
      <c r="Q37" s="94">
        <f t="shared" si="9"/>
        <v>0.12492445790890047</v>
      </c>
      <c r="R37" s="117" t="str">
        <f t="shared" si="10"/>
        <v>SI</v>
      </c>
      <c r="S37" s="117" t="str">
        <f t="shared" si="11"/>
        <v>NO</v>
      </c>
      <c r="T37" s="117" t="str">
        <f t="shared" si="1"/>
        <v>SI</v>
      </c>
      <c r="U37" s="117" t="str">
        <f t="shared" si="2"/>
        <v>SI</v>
      </c>
      <c r="V37" s="117" t="str">
        <f t="shared" si="3"/>
        <v>SI</v>
      </c>
      <c r="W37" s="117" t="str">
        <f t="shared" si="4"/>
        <v>SI</v>
      </c>
      <c r="X37" s="132" t="b">
        <f t="shared" si="12"/>
        <v>0</v>
      </c>
    </row>
    <row r="38" spans="1:24" s="2" customFormat="1" ht="12" x14ac:dyDescent="0.15">
      <c r="A38" s="125" t="s">
        <v>84</v>
      </c>
      <c r="B38" s="139">
        <v>860001911</v>
      </c>
      <c r="C38" s="137" t="s">
        <v>139</v>
      </c>
      <c r="D38" s="137" t="s">
        <v>531</v>
      </c>
      <c r="E38" s="138">
        <v>31127959</v>
      </c>
      <c r="F38" s="138">
        <v>34737221</v>
      </c>
      <c r="G38" s="138">
        <v>17701889</v>
      </c>
      <c r="H38" s="138">
        <v>17978713</v>
      </c>
      <c r="I38" s="138">
        <v>16758508</v>
      </c>
      <c r="J38" s="138">
        <v>6054136</v>
      </c>
      <c r="K38" s="138">
        <v>2885263</v>
      </c>
      <c r="L38" s="93">
        <f t="shared" si="6"/>
        <v>13426070</v>
      </c>
      <c r="M38" s="94">
        <f t="shared" si="7"/>
        <v>1.758454083629154</v>
      </c>
      <c r="N38" s="94">
        <f t="shared" si="8"/>
        <v>0.51756336524444491</v>
      </c>
      <c r="O38" s="94">
        <f t="shared" si="14"/>
        <v>2.0982960652113865</v>
      </c>
      <c r="P38" s="94">
        <f t="shared" si="0"/>
        <v>0.36125745800282461</v>
      </c>
      <c r="Q38" s="94">
        <f t="shared" si="9"/>
        <v>0.174283832319229</v>
      </c>
      <c r="R38" s="117" t="str">
        <f t="shared" si="10"/>
        <v>SI</v>
      </c>
      <c r="S38" s="117" t="str">
        <f t="shared" si="11"/>
        <v>NO</v>
      </c>
      <c r="T38" s="117" t="str">
        <f t="shared" si="1"/>
        <v>SI</v>
      </c>
      <c r="U38" s="117" t="str">
        <f t="shared" si="2"/>
        <v>SI</v>
      </c>
      <c r="V38" s="117" t="str">
        <f t="shared" si="3"/>
        <v>SI</v>
      </c>
      <c r="W38" s="117" t="str">
        <f t="shared" si="4"/>
        <v>SI</v>
      </c>
      <c r="X38" s="132" t="b">
        <f t="shared" si="12"/>
        <v>0</v>
      </c>
    </row>
    <row r="39" spans="1:24" s="2" customFormat="1" ht="12" x14ac:dyDescent="0.15">
      <c r="A39" s="125" t="s">
        <v>84</v>
      </c>
      <c r="B39" s="139">
        <v>860002576</v>
      </c>
      <c r="C39" s="137" t="s">
        <v>140</v>
      </c>
      <c r="D39" s="137" t="s">
        <v>531</v>
      </c>
      <c r="E39" s="138">
        <v>620173382</v>
      </c>
      <c r="F39" s="138">
        <v>728894335</v>
      </c>
      <c r="G39" s="138">
        <v>441941155</v>
      </c>
      <c r="H39" s="138">
        <v>463176872</v>
      </c>
      <c r="I39" s="138">
        <v>265717463</v>
      </c>
      <c r="J39" s="138">
        <v>4477766</v>
      </c>
      <c r="K39" s="138">
        <v>33486321</v>
      </c>
      <c r="L39" s="93">
        <f t="shared" si="6"/>
        <v>178232227</v>
      </c>
      <c r="M39" s="94">
        <f t="shared" si="7"/>
        <v>1.4032940245178116</v>
      </c>
      <c r="N39" s="94">
        <f t="shared" si="8"/>
        <v>0.63545132642579805</v>
      </c>
      <c r="O39" s="94">
        <f t="shared" si="14"/>
        <v>0.13371925808153126</v>
      </c>
      <c r="P39" s="94">
        <f t="shared" si="0"/>
        <v>1.6851606023349695E-2</v>
      </c>
      <c r="Q39" s="94">
        <f t="shared" si="9"/>
        <v>6.143230623407164E-3</v>
      </c>
      <c r="R39" s="117" t="str">
        <f t="shared" si="10"/>
        <v>SI</v>
      </c>
      <c r="S39" s="117" t="str">
        <f t="shared" si="11"/>
        <v>NO</v>
      </c>
      <c r="T39" s="117" t="str">
        <f t="shared" si="1"/>
        <v>SI</v>
      </c>
      <c r="U39" s="117" t="str">
        <f t="shared" si="2"/>
        <v>NO</v>
      </c>
      <c r="V39" s="117" t="str">
        <f t="shared" si="3"/>
        <v>NO</v>
      </c>
      <c r="W39" s="117" t="str">
        <f t="shared" si="4"/>
        <v>NO</v>
      </c>
      <c r="X39" s="132" t="b">
        <f t="shared" si="12"/>
        <v>0</v>
      </c>
    </row>
    <row r="40" spans="1:24" s="2" customFormat="1" ht="12" x14ac:dyDescent="0.15">
      <c r="A40" s="125" t="s">
        <v>84</v>
      </c>
      <c r="B40" s="139">
        <v>860003437</v>
      </c>
      <c r="C40" s="137" t="s">
        <v>141</v>
      </c>
      <c r="D40" s="137" t="s">
        <v>531</v>
      </c>
      <c r="E40" s="138">
        <v>18511641</v>
      </c>
      <c r="F40" s="138">
        <v>30112856</v>
      </c>
      <c r="G40" s="138">
        <v>1006304</v>
      </c>
      <c r="H40" s="138">
        <v>2598309</v>
      </c>
      <c r="I40" s="138">
        <v>27514547</v>
      </c>
      <c r="J40" s="138">
        <v>2691141</v>
      </c>
      <c r="K40" s="138"/>
      <c r="L40" s="93">
        <f t="shared" si="6"/>
        <v>17505337</v>
      </c>
      <c r="M40" s="94"/>
      <c r="N40" s="94">
        <f t="shared" si="8"/>
        <v>8.6285704683740388E-2</v>
      </c>
      <c r="O40" s="94" t="s">
        <v>108</v>
      </c>
      <c r="P40" s="94">
        <f t="shared" si="0"/>
        <v>9.7807934108455424E-2</v>
      </c>
      <c r="Q40" s="94">
        <f t="shared" si="9"/>
        <v>8.9368507590246504E-2</v>
      </c>
      <c r="R40" s="117" t="str">
        <f t="shared" si="10"/>
        <v>SI</v>
      </c>
      <c r="S40" s="117" t="str">
        <f t="shared" si="11"/>
        <v>NO</v>
      </c>
      <c r="T40" s="117" t="str">
        <f t="shared" si="1"/>
        <v>SI</v>
      </c>
      <c r="U40" s="117" t="str">
        <f t="shared" si="2"/>
        <v>SI</v>
      </c>
      <c r="V40" s="117" t="str">
        <f t="shared" si="3"/>
        <v>NO</v>
      </c>
      <c r="W40" s="117" t="str">
        <f t="shared" si="4"/>
        <v>NO</v>
      </c>
      <c r="X40" s="132" t="b">
        <f t="shared" si="12"/>
        <v>0</v>
      </c>
    </row>
    <row r="41" spans="1:24" s="2" customFormat="1" ht="12" x14ac:dyDescent="0.15">
      <c r="A41" s="125" t="s">
        <v>84</v>
      </c>
      <c r="B41" s="139">
        <v>860026442</v>
      </c>
      <c r="C41" s="137" t="s">
        <v>142</v>
      </c>
      <c r="D41" s="137" t="s">
        <v>531</v>
      </c>
      <c r="E41" s="138">
        <v>114716913</v>
      </c>
      <c r="F41" s="138">
        <v>161803219</v>
      </c>
      <c r="G41" s="138">
        <v>50951668</v>
      </c>
      <c r="H41" s="138">
        <v>51255086</v>
      </c>
      <c r="I41" s="138">
        <v>110548133</v>
      </c>
      <c r="J41" s="138">
        <v>22812193</v>
      </c>
      <c r="K41" s="138">
        <v>1297379</v>
      </c>
      <c r="L41" s="93">
        <f t="shared" si="6"/>
        <v>63765245</v>
      </c>
      <c r="M41" s="94">
        <f t="shared" si="7"/>
        <v>2.2514849366658614</v>
      </c>
      <c r="N41" s="94">
        <f t="shared" si="8"/>
        <v>0.3167742045972522</v>
      </c>
      <c r="O41" s="94"/>
      <c r="P41" s="94">
        <f t="shared" si="0"/>
        <v>0.20635529864624669</v>
      </c>
      <c r="Q41" s="94">
        <f t="shared" si="9"/>
        <v>0.14098726305315348</v>
      </c>
      <c r="R41" s="117" t="str">
        <f t="shared" si="10"/>
        <v>SI</v>
      </c>
      <c r="S41" s="117" t="str">
        <f t="shared" si="11"/>
        <v>SI</v>
      </c>
      <c r="T41" s="117" t="str">
        <f t="shared" si="1"/>
        <v>SI</v>
      </c>
      <c r="U41" s="117" t="str">
        <f t="shared" si="2"/>
        <v>NO</v>
      </c>
      <c r="V41" s="117" t="str">
        <f t="shared" si="3"/>
        <v>SI</v>
      </c>
      <c r="W41" s="117" t="str">
        <f t="shared" si="4"/>
        <v>SI</v>
      </c>
      <c r="X41" s="132" t="b">
        <f t="shared" si="12"/>
        <v>0</v>
      </c>
    </row>
    <row r="42" spans="1:24" s="2" customFormat="1" ht="12" x14ac:dyDescent="0.15">
      <c r="A42" s="125" t="s">
        <v>86</v>
      </c>
      <c r="B42" s="139">
        <v>860028581</v>
      </c>
      <c r="C42" s="137" t="s">
        <v>143</v>
      </c>
      <c r="D42" s="137" t="s">
        <v>531</v>
      </c>
      <c r="E42" s="138">
        <v>10234745</v>
      </c>
      <c r="F42" s="138">
        <v>52509885</v>
      </c>
      <c r="G42" s="138">
        <v>3462243</v>
      </c>
      <c r="H42" s="138">
        <v>11212223</v>
      </c>
      <c r="I42" s="138">
        <v>41297662</v>
      </c>
      <c r="J42" s="138">
        <v>2003130</v>
      </c>
      <c r="K42" s="138"/>
      <c r="L42" s="93">
        <f t="shared" si="6"/>
        <v>6772502</v>
      </c>
      <c r="M42" s="94"/>
      <c r="N42" s="94">
        <f t="shared" si="8"/>
        <v>0.21352594849522141</v>
      </c>
      <c r="O42" s="94" t="s">
        <v>108</v>
      </c>
      <c r="P42" s="94">
        <f t="shared" si="0"/>
        <v>4.8504682904325191E-2</v>
      </c>
      <c r="Q42" s="94">
        <f t="shared" si="9"/>
        <v>3.81476744807192E-2</v>
      </c>
      <c r="R42" s="117" t="str">
        <f t="shared" si="10"/>
        <v>SI</v>
      </c>
      <c r="S42" s="117" t="str">
        <f t="shared" si="11"/>
        <v>NO</v>
      </c>
      <c r="T42" s="117" t="str">
        <f t="shared" si="1"/>
        <v>SI</v>
      </c>
      <c r="U42" s="117" t="str">
        <f t="shared" si="2"/>
        <v>SI</v>
      </c>
      <c r="V42" s="117" t="str">
        <f t="shared" si="3"/>
        <v>NO</v>
      </c>
      <c r="W42" s="117" t="str">
        <f t="shared" si="4"/>
        <v>NO</v>
      </c>
      <c r="X42" s="132" t="b">
        <f t="shared" si="12"/>
        <v>0</v>
      </c>
    </row>
    <row r="43" spans="1:24" s="2" customFormat="1" ht="12" x14ac:dyDescent="0.15">
      <c r="A43" s="125" t="s">
        <v>86</v>
      </c>
      <c r="B43" s="139">
        <v>860044349</v>
      </c>
      <c r="C43" s="137" t="s">
        <v>144</v>
      </c>
      <c r="D43" s="137" t="s">
        <v>531</v>
      </c>
      <c r="E43" s="138">
        <v>86512039</v>
      </c>
      <c r="F43" s="138">
        <v>101459809</v>
      </c>
      <c r="G43" s="138">
        <v>35018701</v>
      </c>
      <c r="H43" s="138">
        <v>37202033</v>
      </c>
      <c r="I43" s="138">
        <v>64257776</v>
      </c>
      <c r="J43" s="138">
        <v>20440661</v>
      </c>
      <c r="K43" s="138">
        <v>2696403</v>
      </c>
      <c r="L43" s="93">
        <f t="shared" si="6"/>
        <v>51493338</v>
      </c>
      <c r="M43" s="94">
        <f t="shared" si="7"/>
        <v>2.4704525447702927</v>
      </c>
      <c r="N43" s="94">
        <f t="shared" si="8"/>
        <v>0.36666768217551049</v>
      </c>
      <c r="O43" s="94"/>
      <c r="P43" s="94">
        <f t="shared" si="0"/>
        <v>0.31810408439906168</v>
      </c>
      <c r="Q43" s="94">
        <f t="shared" si="9"/>
        <v>0.20146559708189477</v>
      </c>
      <c r="R43" s="117" t="str">
        <f t="shared" si="10"/>
        <v>SI</v>
      </c>
      <c r="S43" s="117" t="str">
        <f t="shared" si="11"/>
        <v>SI</v>
      </c>
      <c r="T43" s="117" t="str">
        <f t="shared" si="1"/>
        <v>SI</v>
      </c>
      <c r="U43" s="117" t="str">
        <f t="shared" si="2"/>
        <v>NO</v>
      </c>
      <c r="V43" s="117" t="str">
        <f t="shared" si="3"/>
        <v>SI</v>
      </c>
      <c r="W43" s="117" t="str">
        <f t="shared" si="4"/>
        <v>SI</v>
      </c>
      <c r="X43" s="132" t="b">
        <f t="shared" si="12"/>
        <v>0</v>
      </c>
    </row>
    <row r="44" spans="1:24" s="2" customFormat="1" ht="12" x14ac:dyDescent="0.15">
      <c r="A44" s="125" t="s">
        <v>86</v>
      </c>
      <c r="B44" s="139">
        <v>860064038</v>
      </c>
      <c r="C44" s="137" t="s">
        <v>145</v>
      </c>
      <c r="D44" s="137" t="s">
        <v>531</v>
      </c>
      <c r="E44" s="138">
        <v>118725068</v>
      </c>
      <c r="F44" s="138">
        <v>171113998</v>
      </c>
      <c r="G44" s="138">
        <v>102809501</v>
      </c>
      <c r="H44" s="138">
        <v>120630911</v>
      </c>
      <c r="I44" s="138">
        <v>50483087</v>
      </c>
      <c r="J44" s="138">
        <v>17314995</v>
      </c>
      <c r="K44" s="138">
        <v>1152843</v>
      </c>
      <c r="L44" s="93">
        <f t="shared" si="6"/>
        <v>15915567</v>
      </c>
      <c r="M44" s="94">
        <f t="shared" si="7"/>
        <v>1.1548063831182296</v>
      </c>
      <c r="N44" s="94">
        <f t="shared" si="8"/>
        <v>0.70497394958885828</v>
      </c>
      <c r="O44" s="94"/>
      <c r="P44" s="94">
        <f t="shared" si="0"/>
        <v>0.34298605788508929</v>
      </c>
      <c r="Q44" s="94">
        <f t="shared" si="9"/>
        <v>0.10118982200392512</v>
      </c>
      <c r="R44" s="117" t="str">
        <f t="shared" si="10"/>
        <v>SI</v>
      </c>
      <c r="S44" s="117" t="str">
        <f t="shared" si="11"/>
        <v>NO</v>
      </c>
      <c r="T44" s="117" t="str">
        <f t="shared" si="1"/>
        <v>SI</v>
      </c>
      <c r="U44" s="117" t="str">
        <f t="shared" si="2"/>
        <v>NO</v>
      </c>
      <c r="V44" s="117" t="str">
        <f t="shared" si="3"/>
        <v>SI</v>
      </c>
      <c r="W44" s="117" t="str">
        <f t="shared" si="4"/>
        <v>SI</v>
      </c>
      <c r="X44" s="132" t="b">
        <f t="shared" si="12"/>
        <v>0</v>
      </c>
    </row>
    <row r="45" spans="1:24" s="2" customFormat="1" ht="12" x14ac:dyDescent="0.15">
      <c r="A45" s="125" t="s">
        <v>86</v>
      </c>
      <c r="B45" s="139">
        <v>860070078</v>
      </c>
      <c r="C45" s="137" t="s">
        <v>146</v>
      </c>
      <c r="D45" s="137" t="s">
        <v>531</v>
      </c>
      <c r="E45" s="138">
        <v>49013850</v>
      </c>
      <c r="F45" s="138">
        <v>75123716</v>
      </c>
      <c r="G45" s="138">
        <v>16500158</v>
      </c>
      <c r="H45" s="138">
        <v>31949342</v>
      </c>
      <c r="I45" s="138">
        <v>43174374</v>
      </c>
      <c r="J45" s="138">
        <v>2708552</v>
      </c>
      <c r="K45" s="138">
        <v>1803753</v>
      </c>
      <c r="L45" s="93">
        <f t="shared" si="6"/>
        <v>32513692</v>
      </c>
      <c r="M45" s="94"/>
      <c r="N45" s="94">
        <f t="shared" si="8"/>
        <v>0.42528969147372847</v>
      </c>
      <c r="O45" s="94">
        <f t="shared" si="14"/>
        <v>1.5016202329254615</v>
      </c>
      <c r="P45" s="94">
        <f t="shared" si="0"/>
        <v>6.2735177121502672E-2</v>
      </c>
      <c r="Q45" s="94">
        <f t="shared" si="9"/>
        <v>3.6054552998949094E-2</v>
      </c>
      <c r="R45" s="117" t="str">
        <f t="shared" si="10"/>
        <v>SI</v>
      </c>
      <c r="S45" s="117" t="str">
        <f t="shared" si="11"/>
        <v>NO</v>
      </c>
      <c r="T45" s="117" t="str">
        <f t="shared" si="1"/>
        <v>SI</v>
      </c>
      <c r="U45" s="117" t="str">
        <f t="shared" si="2"/>
        <v>SI</v>
      </c>
      <c r="V45" s="117" t="str">
        <f t="shared" si="3"/>
        <v>NO</v>
      </c>
      <c r="W45" s="117" t="str">
        <f t="shared" si="4"/>
        <v>NO</v>
      </c>
      <c r="X45" s="132" t="b">
        <f t="shared" si="12"/>
        <v>0</v>
      </c>
    </row>
    <row r="46" spans="1:24" s="2" customFormat="1" ht="12" x14ac:dyDescent="0.15">
      <c r="A46" s="125" t="s">
        <v>86</v>
      </c>
      <c r="B46" s="139">
        <v>860070698</v>
      </c>
      <c r="C46" s="137" t="s">
        <v>147</v>
      </c>
      <c r="D46" s="137" t="s">
        <v>531</v>
      </c>
      <c r="E46" s="138">
        <v>106624682</v>
      </c>
      <c r="F46" s="138">
        <v>151746086</v>
      </c>
      <c r="G46" s="138">
        <v>68914356</v>
      </c>
      <c r="H46" s="138">
        <v>71356991</v>
      </c>
      <c r="I46" s="138">
        <v>80389095</v>
      </c>
      <c r="J46" s="138">
        <v>35862586</v>
      </c>
      <c r="K46" s="138">
        <v>78657190</v>
      </c>
      <c r="L46" s="93">
        <f t="shared" si="6"/>
        <v>37710326</v>
      </c>
      <c r="M46" s="94">
        <f t="shared" si="7"/>
        <v>1.5472056649560797</v>
      </c>
      <c r="N46" s="94">
        <f t="shared" si="8"/>
        <v>0.47023941691649301</v>
      </c>
      <c r="O46" s="94">
        <f t="shared" si="14"/>
        <v>0.45593525525129996</v>
      </c>
      <c r="P46" s="94">
        <f t="shared" si="0"/>
        <v>0.44611257285580835</v>
      </c>
      <c r="Q46" s="94">
        <f t="shared" si="9"/>
        <v>0.23633285671697654</v>
      </c>
      <c r="R46" s="117" t="str">
        <f t="shared" si="10"/>
        <v>SI</v>
      </c>
      <c r="S46" s="117" t="str">
        <f t="shared" si="11"/>
        <v>NO</v>
      </c>
      <c r="T46" s="117" t="str">
        <f t="shared" si="1"/>
        <v>SI</v>
      </c>
      <c r="U46" s="117" t="str">
        <f t="shared" si="2"/>
        <v>NO</v>
      </c>
      <c r="V46" s="117" t="str">
        <f t="shared" si="3"/>
        <v>SI</v>
      </c>
      <c r="W46" s="117" t="str">
        <f t="shared" si="4"/>
        <v>SI</v>
      </c>
      <c r="X46" s="132" t="b">
        <f t="shared" si="12"/>
        <v>0</v>
      </c>
    </row>
    <row r="47" spans="1:24" s="2" customFormat="1" ht="12" x14ac:dyDescent="0.15">
      <c r="A47" s="125" t="s">
        <v>86</v>
      </c>
      <c r="B47" s="139">
        <v>860072122</v>
      </c>
      <c r="C47" s="137" t="s">
        <v>148</v>
      </c>
      <c r="D47" s="137" t="s">
        <v>531</v>
      </c>
      <c r="E47" s="138">
        <v>3354358</v>
      </c>
      <c r="F47" s="138">
        <v>3437608</v>
      </c>
      <c r="G47" s="138">
        <v>980403</v>
      </c>
      <c r="H47" s="138">
        <v>1303651</v>
      </c>
      <c r="I47" s="138">
        <v>2133957</v>
      </c>
      <c r="J47" s="138">
        <v>253588</v>
      </c>
      <c r="K47" s="138"/>
      <c r="L47" s="93">
        <f t="shared" si="6"/>
        <v>2373955</v>
      </c>
      <c r="M47" s="94"/>
      <c r="N47" s="94">
        <f t="shared" si="8"/>
        <v>0.37923201249240751</v>
      </c>
      <c r="O47" s="94" t="s">
        <v>108</v>
      </c>
      <c r="P47" s="94">
        <f t="shared" si="0"/>
        <v>0.11883463443733872</v>
      </c>
      <c r="Q47" s="94">
        <f t="shared" si="9"/>
        <v>7.3768736865867199E-2</v>
      </c>
      <c r="R47" s="117" t="str">
        <f t="shared" si="10"/>
        <v>SI</v>
      </c>
      <c r="S47" s="117" t="str">
        <f t="shared" si="11"/>
        <v>NO</v>
      </c>
      <c r="T47" s="117" t="str">
        <f t="shared" si="1"/>
        <v>SI</v>
      </c>
      <c r="U47" s="117" t="str">
        <f t="shared" si="2"/>
        <v>SI</v>
      </c>
      <c r="V47" s="117" t="str">
        <f t="shared" si="3"/>
        <v>NO</v>
      </c>
      <c r="W47" s="117" t="str">
        <f t="shared" si="4"/>
        <v>NO</v>
      </c>
      <c r="X47" s="132" t="b">
        <f t="shared" si="12"/>
        <v>0</v>
      </c>
    </row>
    <row r="48" spans="1:24" s="2" customFormat="1" ht="12" x14ac:dyDescent="0.15">
      <c r="A48" s="125" t="s">
        <v>87</v>
      </c>
      <c r="B48" s="139">
        <v>860450450</v>
      </c>
      <c r="C48" s="137" t="s">
        <v>149</v>
      </c>
      <c r="D48" s="137" t="s">
        <v>531</v>
      </c>
      <c r="E48" s="138">
        <v>62389976</v>
      </c>
      <c r="F48" s="138">
        <v>70701385</v>
      </c>
      <c r="G48" s="138">
        <v>18130555</v>
      </c>
      <c r="H48" s="138">
        <v>18130555</v>
      </c>
      <c r="I48" s="138">
        <v>52570830</v>
      </c>
      <c r="J48" s="138">
        <v>14141660</v>
      </c>
      <c r="K48" s="138">
        <v>19731</v>
      </c>
      <c r="L48" s="93">
        <f t="shared" si="6"/>
        <v>44259421</v>
      </c>
      <c r="M48" s="94"/>
      <c r="N48" s="94">
        <f t="shared" si="8"/>
        <v>0.25643847005260223</v>
      </c>
      <c r="O48" s="94"/>
      <c r="P48" s="94">
        <f t="shared" si="0"/>
        <v>0.26900203021333313</v>
      </c>
      <c r="Q48" s="94">
        <f t="shared" si="9"/>
        <v>0.2000195611443821</v>
      </c>
      <c r="R48" s="117" t="str">
        <f t="shared" si="10"/>
        <v>SI</v>
      </c>
      <c r="S48" s="117" t="str">
        <f t="shared" si="11"/>
        <v>NO</v>
      </c>
      <c r="T48" s="117" t="str">
        <f t="shared" si="1"/>
        <v>SI</v>
      </c>
      <c r="U48" s="117" t="str">
        <f t="shared" si="2"/>
        <v>NO</v>
      </c>
      <c r="V48" s="117" t="str">
        <f t="shared" si="3"/>
        <v>SI</v>
      </c>
      <c r="W48" s="117" t="str">
        <f t="shared" si="4"/>
        <v>SI</v>
      </c>
      <c r="X48" s="132" t="b">
        <f t="shared" si="12"/>
        <v>0</v>
      </c>
    </row>
    <row r="49" spans="1:24" s="2" customFormat="1" ht="12" x14ac:dyDescent="0.15">
      <c r="A49" s="125" t="s">
        <v>87</v>
      </c>
      <c r="B49" s="139">
        <v>860503565</v>
      </c>
      <c r="C49" s="137" t="s">
        <v>150</v>
      </c>
      <c r="D49" s="137" t="s">
        <v>531</v>
      </c>
      <c r="E49" s="138">
        <v>28598812</v>
      </c>
      <c r="F49" s="138">
        <v>35845152</v>
      </c>
      <c r="G49" s="138">
        <v>10083659</v>
      </c>
      <c r="H49" s="138">
        <v>17452032</v>
      </c>
      <c r="I49" s="138">
        <v>18393120</v>
      </c>
      <c r="J49" s="138">
        <v>4066019</v>
      </c>
      <c r="K49" s="138">
        <v>707420</v>
      </c>
      <c r="L49" s="93">
        <f t="shared" si="6"/>
        <v>18515153</v>
      </c>
      <c r="M49" s="94"/>
      <c r="N49" s="94">
        <f t="shared" si="8"/>
        <v>0.48687286916791428</v>
      </c>
      <c r="O49" s="94"/>
      <c r="P49" s="94">
        <f t="shared" si="0"/>
        <v>0.22106195142531554</v>
      </c>
      <c r="Q49" s="94">
        <f t="shared" si="9"/>
        <v>0.11343288487101408</v>
      </c>
      <c r="R49" s="117" t="str">
        <f t="shared" si="10"/>
        <v>SI</v>
      </c>
      <c r="S49" s="117" t="str">
        <f t="shared" si="11"/>
        <v>NO</v>
      </c>
      <c r="T49" s="117" t="str">
        <f t="shared" si="1"/>
        <v>SI</v>
      </c>
      <c r="U49" s="117" t="str">
        <f t="shared" si="2"/>
        <v>NO</v>
      </c>
      <c r="V49" s="117" t="str">
        <f t="shared" si="3"/>
        <v>SI</v>
      </c>
      <c r="W49" s="117" t="str">
        <f t="shared" si="4"/>
        <v>SI</v>
      </c>
      <c r="X49" s="132" t="b">
        <f t="shared" si="12"/>
        <v>0</v>
      </c>
    </row>
    <row r="50" spans="1:24" s="2" customFormat="1" ht="12" x14ac:dyDescent="0.15">
      <c r="A50" s="125" t="s">
        <v>87</v>
      </c>
      <c r="B50" s="139">
        <v>860506831</v>
      </c>
      <c r="C50" s="137" t="s">
        <v>151</v>
      </c>
      <c r="D50" s="137" t="s">
        <v>531</v>
      </c>
      <c r="E50" s="138">
        <v>60290651</v>
      </c>
      <c r="F50" s="138">
        <v>67460451</v>
      </c>
      <c r="G50" s="138">
        <v>31545358</v>
      </c>
      <c r="H50" s="138">
        <v>40132487</v>
      </c>
      <c r="I50" s="138">
        <v>27327964</v>
      </c>
      <c r="J50" s="138">
        <v>13127719</v>
      </c>
      <c r="K50" s="138">
        <v>423273</v>
      </c>
      <c r="L50" s="93">
        <f t="shared" si="6"/>
        <v>28745293</v>
      </c>
      <c r="M50" s="94">
        <f t="shared" si="7"/>
        <v>1.9112368609035917</v>
      </c>
      <c r="N50" s="94">
        <f t="shared" si="8"/>
        <v>0.59490392378195045</v>
      </c>
      <c r="O50" s="94"/>
      <c r="P50" s="94">
        <f t="shared" si="0"/>
        <v>0.48037676718250943</v>
      </c>
      <c r="Q50" s="94">
        <f t="shared" si="9"/>
        <v>0.19459874349194611</v>
      </c>
      <c r="R50" s="117" t="str">
        <f t="shared" si="10"/>
        <v>SI</v>
      </c>
      <c r="S50" s="117" t="str">
        <f t="shared" si="11"/>
        <v>SI</v>
      </c>
      <c r="T50" s="117" t="str">
        <f t="shared" si="1"/>
        <v>SI</v>
      </c>
      <c r="U50" s="117" t="str">
        <f t="shared" si="2"/>
        <v>NO</v>
      </c>
      <c r="V50" s="117" t="str">
        <f t="shared" si="3"/>
        <v>SI</v>
      </c>
      <c r="W50" s="117" t="str">
        <f t="shared" si="4"/>
        <v>SI</v>
      </c>
      <c r="X50" s="132" t="b">
        <f t="shared" si="12"/>
        <v>0</v>
      </c>
    </row>
    <row r="51" spans="1:24" s="2" customFormat="1" ht="12" x14ac:dyDescent="0.15">
      <c r="A51" s="125" t="s">
        <v>87</v>
      </c>
      <c r="B51" s="139">
        <v>860510826</v>
      </c>
      <c r="C51" s="137" t="s">
        <v>152</v>
      </c>
      <c r="D51" s="137" t="s">
        <v>531</v>
      </c>
      <c r="E51" s="138">
        <v>55714657</v>
      </c>
      <c r="F51" s="138">
        <v>56551135</v>
      </c>
      <c r="G51" s="138">
        <v>17881566</v>
      </c>
      <c r="H51" s="138">
        <v>17881566</v>
      </c>
      <c r="I51" s="138">
        <v>38669569</v>
      </c>
      <c r="J51" s="138">
        <v>2894092</v>
      </c>
      <c r="K51" s="138">
        <v>235</v>
      </c>
      <c r="L51" s="93">
        <f t="shared" si="6"/>
        <v>37833091</v>
      </c>
      <c r="M51" s="94"/>
      <c r="N51" s="94">
        <f t="shared" si="8"/>
        <v>0.31620171725996304</v>
      </c>
      <c r="O51" s="94"/>
      <c r="P51" s="94">
        <f t="shared" si="0"/>
        <v>7.4841589261054345E-2</v>
      </c>
      <c r="Q51" s="94">
        <f t="shared" si="9"/>
        <v>5.1176550214244151E-2</v>
      </c>
      <c r="R51" s="117" t="str">
        <f t="shared" si="10"/>
        <v>SI</v>
      </c>
      <c r="S51" s="117" t="str">
        <f t="shared" si="11"/>
        <v>NO</v>
      </c>
      <c r="T51" s="117" t="str">
        <f t="shared" si="1"/>
        <v>SI</v>
      </c>
      <c r="U51" s="117" t="str">
        <f t="shared" si="2"/>
        <v>NO</v>
      </c>
      <c r="V51" s="117" t="str">
        <f t="shared" si="3"/>
        <v>NO</v>
      </c>
      <c r="W51" s="117" t="str">
        <f t="shared" si="4"/>
        <v>NO</v>
      </c>
      <c r="X51" s="132" t="b">
        <f t="shared" si="12"/>
        <v>0</v>
      </c>
    </row>
    <row r="52" spans="1:24" s="2" customFormat="1" ht="12" x14ac:dyDescent="0.15">
      <c r="A52" s="125" t="s">
        <v>87</v>
      </c>
      <c r="B52" s="139">
        <v>860511571</v>
      </c>
      <c r="C52" s="137" t="s">
        <v>153</v>
      </c>
      <c r="D52" s="137" t="s">
        <v>531</v>
      </c>
      <c r="E52" s="138">
        <v>61619479</v>
      </c>
      <c r="F52" s="138">
        <v>84574004</v>
      </c>
      <c r="G52" s="138">
        <v>3087267</v>
      </c>
      <c r="H52" s="138">
        <v>7689766</v>
      </c>
      <c r="I52" s="138">
        <v>76884238</v>
      </c>
      <c r="J52" s="138">
        <v>12224443</v>
      </c>
      <c r="K52" s="138">
        <v>542297</v>
      </c>
      <c r="L52" s="93">
        <f t="shared" si="6"/>
        <v>58532212</v>
      </c>
      <c r="M52" s="94"/>
      <c r="N52" s="94">
        <f t="shared" si="8"/>
        <v>9.0923518295290828E-2</v>
      </c>
      <c r="O52" s="94"/>
      <c r="P52" s="94">
        <f t="shared" si="0"/>
        <v>0.15899803806340645</v>
      </c>
      <c r="Q52" s="94">
        <f t="shared" si="9"/>
        <v>0.14454137704063297</v>
      </c>
      <c r="R52" s="117" t="str">
        <f t="shared" si="10"/>
        <v>SI</v>
      </c>
      <c r="S52" s="117" t="str">
        <f t="shared" si="11"/>
        <v>NO</v>
      </c>
      <c r="T52" s="117" t="str">
        <f t="shared" si="1"/>
        <v>SI</v>
      </c>
      <c r="U52" s="117" t="str">
        <f t="shared" si="2"/>
        <v>NO</v>
      </c>
      <c r="V52" s="117" t="str">
        <f t="shared" si="3"/>
        <v>NO</v>
      </c>
      <c r="W52" s="117" t="str">
        <f t="shared" si="4"/>
        <v>SI</v>
      </c>
      <c r="X52" s="132" t="b">
        <f t="shared" si="12"/>
        <v>0</v>
      </c>
    </row>
    <row r="53" spans="1:24" s="2" customFormat="1" ht="12" x14ac:dyDescent="0.15">
      <c r="A53" s="125" t="s">
        <v>87</v>
      </c>
      <c r="B53" s="139">
        <v>860534244</v>
      </c>
      <c r="C53" s="137" t="s">
        <v>154</v>
      </c>
      <c r="D53" s="137" t="s">
        <v>531</v>
      </c>
      <c r="E53" s="138">
        <v>46571313</v>
      </c>
      <c r="F53" s="138">
        <v>61486442</v>
      </c>
      <c r="G53" s="138">
        <v>18209849</v>
      </c>
      <c r="H53" s="138">
        <v>23259966</v>
      </c>
      <c r="I53" s="138">
        <v>38226476</v>
      </c>
      <c r="J53" s="138">
        <v>5869748</v>
      </c>
      <c r="K53" s="138">
        <v>890205</v>
      </c>
      <c r="L53" s="93">
        <f t="shared" si="6"/>
        <v>28361464</v>
      </c>
      <c r="M53" s="94">
        <f t="shared" si="7"/>
        <v>2.5574793618552247</v>
      </c>
      <c r="N53" s="94">
        <f t="shared" si="8"/>
        <v>0.37829422622958081</v>
      </c>
      <c r="O53" s="94"/>
      <c r="P53" s="94">
        <f t="shared" si="0"/>
        <v>0.15355189947407133</v>
      </c>
      <c r="Q53" s="94">
        <f t="shared" si="9"/>
        <v>9.5464102476445128E-2</v>
      </c>
      <c r="R53" s="117" t="str">
        <f t="shared" si="10"/>
        <v>SI</v>
      </c>
      <c r="S53" s="117" t="str">
        <f t="shared" si="11"/>
        <v>SI</v>
      </c>
      <c r="T53" s="117" t="str">
        <f t="shared" si="1"/>
        <v>SI</v>
      </c>
      <c r="U53" s="117" t="str">
        <f t="shared" si="2"/>
        <v>NO</v>
      </c>
      <c r="V53" s="117" t="str">
        <f t="shared" si="3"/>
        <v>NO</v>
      </c>
      <c r="W53" s="117" t="str">
        <f t="shared" si="4"/>
        <v>SI</v>
      </c>
      <c r="X53" s="132" t="b">
        <f t="shared" si="12"/>
        <v>0</v>
      </c>
    </row>
    <row r="54" spans="1:24" s="2" customFormat="1" ht="12" x14ac:dyDescent="0.15">
      <c r="A54" s="125" t="s">
        <v>87</v>
      </c>
      <c r="B54" s="139">
        <v>890210534</v>
      </c>
      <c r="C54" s="137" t="s">
        <v>155</v>
      </c>
      <c r="D54" s="137" t="s">
        <v>531</v>
      </c>
      <c r="E54" s="138">
        <v>111781633</v>
      </c>
      <c r="F54" s="138">
        <v>155698158</v>
      </c>
      <c r="G54" s="138">
        <v>50382435</v>
      </c>
      <c r="H54" s="138">
        <v>83184874</v>
      </c>
      <c r="I54" s="138">
        <v>72513284</v>
      </c>
      <c r="J54" s="138">
        <v>28577394</v>
      </c>
      <c r="K54" s="138">
        <v>5939163</v>
      </c>
      <c r="L54" s="93">
        <f t="shared" si="6"/>
        <v>61399198</v>
      </c>
      <c r="M54" s="94">
        <f t="shared" si="7"/>
        <v>2.2186627740401987</v>
      </c>
      <c r="N54" s="94">
        <f t="shared" si="8"/>
        <v>0.53427012283600683</v>
      </c>
      <c r="O54" s="94"/>
      <c r="P54" s="94">
        <f t="shared" si="0"/>
        <v>0.39409874196292088</v>
      </c>
      <c r="Q54" s="94">
        <f t="shared" si="9"/>
        <v>0.18354355868487537</v>
      </c>
      <c r="R54" s="117" t="str">
        <f t="shared" si="10"/>
        <v>SI</v>
      </c>
      <c r="S54" s="117" t="str">
        <f t="shared" si="11"/>
        <v>SI</v>
      </c>
      <c r="T54" s="117" t="str">
        <f t="shared" si="1"/>
        <v>SI</v>
      </c>
      <c r="U54" s="117" t="str">
        <f t="shared" si="2"/>
        <v>NO</v>
      </c>
      <c r="V54" s="117" t="str">
        <f t="shared" si="3"/>
        <v>SI</v>
      </c>
      <c r="W54" s="117" t="str">
        <f t="shared" si="4"/>
        <v>SI</v>
      </c>
      <c r="X54" s="132" t="b">
        <f t="shared" si="12"/>
        <v>0</v>
      </c>
    </row>
    <row r="55" spans="1:24" s="2" customFormat="1" ht="12" x14ac:dyDescent="0.15">
      <c r="A55" s="125" t="s">
        <v>87</v>
      </c>
      <c r="B55" s="139">
        <v>890317417</v>
      </c>
      <c r="C55" s="137" t="s">
        <v>156</v>
      </c>
      <c r="D55" s="137" t="s">
        <v>531</v>
      </c>
      <c r="E55" s="138">
        <v>81184179</v>
      </c>
      <c r="F55" s="138">
        <v>92932033</v>
      </c>
      <c r="G55" s="138">
        <v>17067248</v>
      </c>
      <c r="H55" s="138">
        <v>19910664</v>
      </c>
      <c r="I55" s="138">
        <v>73021369</v>
      </c>
      <c r="J55" s="138">
        <v>10164553</v>
      </c>
      <c r="K55" s="138">
        <v>592410</v>
      </c>
      <c r="L55" s="93">
        <f t="shared" si="6"/>
        <v>64116931</v>
      </c>
      <c r="M55" s="94"/>
      <c r="N55" s="94">
        <f t="shared" si="8"/>
        <v>0.21424974099081637</v>
      </c>
      <c r="O55" s="94"/>
      <c r="P55" s="94">
        <f t="shared" si="0"/>
        <v>0.1391997046782292</v>
      </c>
      <c r="Q55" s="94">
        <f t="shared" si="9"/>
        <v>0.10937620400492046</v>
      </c>
      <c r="R55" s="117" t="str">
        <f t="shared" si="10"/>
        <v>SI</v>
      </c>
      <c r="S55" s="117" t="str">
        <f t="shared" si="11"/>
        <v>NO</v>
      </c>
      <c r="T55" s="117" t="str">
        <f t="shared" si="1"/>
        <v>SI</v>
      </c>
      <c r="U55" s="117" t="str">
        <f t="shared" si="2"/>
        <v>NO</v>
      </c>
      <c r="V55" s="117" t="str">
        <f t="shared" si="3"/>
        <v>NO</v>
      </c>
      <c r="W55" s="117" t="str">
        <f t="shared" si="4"/>
        <v>SI</v>
      </c>
      <c r="X55" s="132" t="b">
        <f t="shared" si="12"/>
        <v>0</v>
      </c>
    </row>
    <row r="56" spans="1:24" s="2" customFormat="1" ht="12" x14ac:dyDescent="0.15">
      <c r="A56" s="125" t="s">
        <v>87</v>
      </c>
      <c r="B56" s="139">
        <v>890900769</v>
      </c>
      <c r="C56" s="137" t="s">
        <v>157</v>
      </c>
      <c r="D56" s="137" t="s">
        <v>531</v>
      </c>
      <c r="E56" s="138">
        <v>39476379</v>
      </c>
      <c r="F56" s="138">
        <v>51008708</v>
      </c>
      <c r="G56" s="138">
        <v>20566026</v>
      </c>
      <c r="H56" s="138">
        <v>22289573</v>
      </c>
      <c r="I56" s="138">
        <v>28719135</v>
      </c>
      <c r="J56" s="138">
        <v>12025887</v>
      </c>
      <c r="K56" s="138">
        <v>631119</v>
      </c>
      <c r="L56" s="93">
        <f t="shared" si="6"/>
        <v>18910353</v>
      </c>
      <c r="M56" s="94">
        <f t="shared" si="7"/>
        <v>1.9194947531428774</v>
      </c>
      <c r="N56" s="94">
        <f t="shared" si="8"/>
        <v>0.4369758394978363</v>
      </c>
      <c r="O56" s="94"/>
      <c r="P56" s="94">
        <f t="shared" si="0"/>
        <v>0.41874126779932613</v>
      </c>
      <c r="Q56" s="94">
        <f t="shared" si="9"/>
        <v>0.23576145077032729</v>
      </c>
      <c r="R56" s="117" t="str">
        <f t="shared" si="10"/>
        <v>SI</v>
      </c>
      <c r="S56" s="117" t="str">
        <f t="shared" si="11"/>
        <v>SI</v>
      </c>
      <c r="T56" s="117" t="str">
        <f t="shared" si="1"/>
        <v>SI</v>
      </c>
      <c r="U56" s="117" t="str">
        <f t="shared" si="2"/>
        <v>NO</v>
      </c>
      <c r="V56" s="117" t="str">
        <f t="shared" si="3"/>
        <v>SI</v>
      </c>
      <c r="W56" s="117" t="str">
        <f t="shared" si="4"/>
        <v>SI</v>
      </c>
      <c r="X56" s="132" t="b">
        <f t="shared" si="12"/>
        <v>0</v>
      </c>
    </row>
    <row r="57" spans="1:24" s="2" customFormat="1" ht="12" x14ac:dyDescent="0.15">
      <c r="A57" s="125" t="s">
        <v>87</v>
      </c>
      <c r="B57" s="139">
        <v>890923691</v>
      </c>
      <c r="C57" s="137" t="s">
        <v>158</v>
      </c>
      <c r="D57" s="137" t="s">
        <v>531</v>
      </c>
      <c r="E57" s="138">
        <v>82504569</v>
      </c>
      <c r="F57" s="138">
        <v>121421779</v>
      </c>
      <c r="G57" s="138">
        <v>46758090</v>
      </c>
      <c r="H57" s="138">
        <v>93361568</v>
      </c>
      <c r="I57" s="138">
        <v>28060211</v>
      </c>
      <c r="J57" s="138">
        <v>12968034</v>
      </c>
      <c r="K57" s="138">
        <v>12679638</v>
      </c>
      <c r="L57" s="93">
        <f t="shared" si="6"/>
        <v>35746479</v>
      </c>
      <c r="M57" s="94">
        <f t="shared" si="7"/>
        <v>1.7644982718498552</v>
      </c>
      <c r="N57" s="94">
        <f t="shared" si="8"/>
        <v>0.76890298238835719</v>
      </c>
      <c r="O57" s="94">
        <f t="shared" si="14"/>
        <v>1.0227448133771642</v>
      </c>
      <c r="P57" s="94">
        <f t="shared" si="0"/>
        <v>0.4621502667959268</v>
      </c>
      <c r="Q57" s="94">
        <f t="shared" si="9"/>
        <v>0.10680154834496372</v>
      </c>
      <c r="R57" s="117" t="str">
        <f t="shared" si="10"/>
        <v>SI</v>
      </c>
      <c r="S57" s="117" t="str">
        <f t="shared" si="11"/>
        <v>NO</v>
      </c>
      <c r="T57" s="117" t="str">
        <f t="shared" si="1"/>
        <v>SI</v>
      </c>
      <c r="U57" s="117" t="str">
        <f t="shared" si="2"/>
        <v>NO</v>
      </c>
      <c r="V57" s="117" t="str">
        <f t="shared" si="3"/>
        <v>SI</v>
      </c>
      <c r="W57" s="117" t="str">
        <f t="shared" si="4"/>
        <v>SI</v>
      </c>
      <c r="X57" s="132" t="b">
        <f t="shared" si="12"/>
        <v>0</v>
      </c>
    </row>
    <row r="58" spans="1:24" s="2" customFormat="1" ht="12" x14ac:dyDescent="0.15">
      <c r="A58" s="125" t="s">
        <v>87</v>
      </c>
      <c r="B58" s="139">
        <v>890942914</v>
      </c>
      <c r="C58" s="137" t="s">
        <v>159</v>
      </c>
      <c r="D58" s="137" t="s">
        <v>531</v>
      </c>
      <c r="E58" s="138">
        <v>35947676</v>
      </c>
      <c r="F58" s="138">
        <v>38216060</v>
      </c>
      <c r="G58" s="138">
        <v>8379074</v>
      </c>
      <c r="H58" s="138">
        <v>13535139</v>
      </c>
      <c r="I58" s="138">
        <v>24680921</v>
      </c>
      <c r="J58" s="138">
        <v>1009901</v>
      </c>
      <c r="K58" s="138">
        <v>363243</v>
      </c>
      <c r="L58" s="93">
        <f t="shared" si="6"/>
        <v>27568602</v>
      </c>
      <c r="M58" s="94">
        <f t="shared" si="7"/>
        <v>4.2901728759049034</v>
      </c>
      <c r="N58" s="94">
        <f t="shared" si="8"/>
        <v>0.35417410900024754</v>
      </c>
      <c r="O58" s="94">
        <f t="shared" si="14"/>
        <v>2.7802352695027848</v>
      </c>
      <c r="P58" s="94">
        <f t="shared" si="0"/>
        <v>4.0918286639303289E-2</v>
      </c>
      <c r="Q58" s="94">
        <f t="shared" si="9"/>
        <v>2.6426088927011315E-2</v>
      </c>
      <c r="R58" s="117" t="str">
        <f t="shared" si="10"/>
        <v>SI</v>
      </c>
      <c r="S58" s="117" t="str">
        <f t="shared" si="11"/>
        <v>SI</v>
      </c>
      <c r="T58" s="117" t="str">
        <f t="shared" si="1"/>
        <v>SI</v>
      </c>
      <c r="U58" s="117" t="str">
        <f t="shared" si="2"/>
        <v>SI</v>
      </c>
      <c r="V58" s="117" t="str">
        <f t="shared" si="3"/>
        <v>NO</v>
      </c>
      <c r="W58" s="117" t="str">
        <f t="shared" si="4"/>
        <v>NO</v>
      </c>
      <c r="X58" s="132" t="b">
        <f t="shared" si="12"/>
        <v>0</v>
      </c>
    </row>
    <row r="59" spans="1:24" s="2" customFormat="1" ht="12" x14ac:dyDescent="0.15">
      <c r="A59" s="125" t="s">
        <v>87</v>
      </c>
      <c r="B59" s="139">
        <v>900042771</v>
      </c>
      <c r="C59" s="137" t="s">
        <v>160</v>
      </c>
      <c r="D59" s="137" t="s">
        <v>531</v>
      </c>
      <c r="E59" s="138">
        <v>64302281</v>
      </c>
      <c r="F59" s="138">
        <v>68323432</v>
      </c>
      <c r="G59" s="138">
        <v>52928868</v>
      </c>
      <c r="H59" s="138">
        <v>56879145</v>
      </c>
      <c r="I59" s="138">
        <v>11444287</v>
      </c>
      <c r="J59" s="138">
        <v>3922236</v>
      </c>
      <c r="K59" s="138">
        <v>3808687</v>
      </c>
      <c r="L59" s="93">
        <f t="shared" si="6"/>
        <v>11373413</v>
      </c>
      <c r="M59" s="94">
        <f t="shared" si="7"/>
        <v>1.2148810928659952</v>
      </c>
      <c r="N59" s="94">
        <f t="shared" si="8"/>
        <v>0.83249835868900735</v>
      </c>
      <c r="O59" s="94">
        <f t="shared" si="14"/>
        <v>1.0298131613335515</v>
      </c>
      <c r="P59" s="94">
        <f t="shared" si="0"/>
        <v>0.34272436544102747</v>
      </c>
      <c r="Q59" s="94">
        <f t="shared" si="9"/>
        <v>5.7406893728640565E-2</v>
      </c>
      <c r="R59" s="117" t="str">
        <f t="shared" si="10"/>
        <v>SI</v>
      </c>
      <c r="S59" s="117" t="str">
        <f t="shared" si="11"/>
        <v>NO</v>
      </c>
      <c r="T59" s="117" t="str">
        <f t="shared" si="1"/>
        <v>SI</v>
      </c>
      <c r="U59" s="117" t="str">
        <f t="shared" si="2"/>
        <v>NO</v>
      </c>
      <c r="V59" s="117" t="str">
        <f t="shared" si="3"/>
        <v>SI</v>
      </c>
      <c r="W59" s="117" t="str">
        <f t="shared" si="4"/>
        <v>NO</v>
      </c>
      <c r="X59" s="132" t="b">
        <f t="shared" si="12"/>
        <v>0</v>
      </c>
    </row>
    <row r="60" spans="1:24" s="2" customFormat="1" ht="12" x14ac:dyDescent="0.15">
      <c r="A60" s="125" t="s">
        <v>87</v>
      </c>
      <c r="B60" s="139">
        <v>900049818</v>
      </c>
      <c r="C60" s="137" t="s">
        <v>161</v>
      </c>
      <c r="D60" s="137" t="s">
        <v>531</v>
      </c>
      <c r="E60" s="138">
        <v>34207149</v>
      </c>
      <c r="F60" s="138">
        <v>40761491</v>
      </c>
      <c r="G60" s="138">
        <v>15500862</v>
      </c>
      <c r="H60" s="138">
        <v>15597080</v>
      </c>
      <c r="I60" s="138">
        <v>25164411</v>
      </c>
      <c r="J60" s="138">
        <v>10550456</v>
      </c>
      <c r="K60" s="138">
        <v>501316</v>
      </c>
      <c r="L60" s="93">
        <f t="shared" si="6"/>
        <v>18706287</v>
      </c>
      <c r="M60" s="94">
        <f t="shared" si="7"/>
        <v>2.2067901127047</v>
      </c>
      <c r="N60" s="94">
        <f t="shared" si="8"/>
        <v>0.38264252894968931</v>
      </c>
      <c r="O60" s="94"/>
      <c r="P60" s="94">
        <f t="shared" si="0"/>
        <v>0.41926099522059151</v>
      </c>
      <c r="Q60" s="94">
        <f t="shared" si="9"/>
        <v>0.25883390771942077</v>
      </c>
      <c r="R60" s="117" t="str">
        <f t="shared" si="10"/>
        <v>SI</v>
      </c>
      <c r="S60" s="117" t="str">
        <f t="shared" si="11"/>
        <v>SI</v>
      </c>
      <c r="T60" s="117" t="str">
        <f t="shared" si="1"/>
        <v>SI</v>
      </c>
      <c r="U60" s="117" t="str">
        <f t="shared" si="2"/>
        <v>NO</v>
      </c>
      <c r="V60" s="117" t="str">
        <f t="shared" si="3"/>
        <v>SI</v>
      </c>
      <c r="W60" s="117" t="str">
        <f t="shared" si="4"/>
        <v>SI</v>
      </c>
      <c r="X60" s="132" t="b">
        <f t="shared" si="12"/>
        <v>0</v>
      </c>
    </row>
    <row r="61" spans="1:24" s="2" customFormat="1" ht="12" x14ac:dyDescent="0.15">
      <c r="A61" s="125" t="s">
        <v>87</v>
      </c>
      <c r="B61" s="139">
        <v>900124455</v>
      </c>
      <c r="C61" s="137" t="s">
        <v>162</v>
      </c>
      <c r="D61" s="137" t="s">
        <v>531</v>
      </c>
      <c r="E61" s="138">
        <v>112157131</v>
      </c>
      <c r="F61" s="138">
        <v>154781921</v>
      </c>
      <c r="G61" s="138">
        <v>39616105</v>
      </c>
      <c r="H61" s="138">
        <v>42516097</v>
      </c>
      <c r="I61" s="138">
        <v>112265824</v>
      </c>
      <c r="J61" s="138">
        <v>10038404</v>
      </c>
      <c r="K61" s="138">
        <v>1313437</v>
      </c>
      <c r="L61" s="93">
        <f t="shared" si="6"/>
        <v>72541026</v>
      </c>
      <c r="M61" s="94">
        <f t="shared" si="7"/>
        <v>2.8310993975808576</v>
      </c>
      <c r="N61" s="94">
        <f t="shared" si="8"/>
        <v>0.27468386957156321</v>
      </c>
      <c r="O61" s="94"/>
      <c r="P61" s="94">
        <f t="shared" si="0"/>
        <v>8.941638374292786E-2</v>
      </c>
      <c r="Q61" s="94">
        <f t="shared" si="9"/>
        <v>6.4855145453324617E-2</v>
      </c>
      <c r="R61" s="117" t="str">
        <f t="shared" si="10"/>
        <v>SI</v>
      </c>
      <c r="S61" s="117" t="str">
        <f t="shared" si="11"/>
        <v>SI</v>
      </c>
      <c r="T61" s="117" t="str">
        <f t="shared" si="1"/>
        <v>SI</v>
      </c>
      <c r="U61" s="117" t="str">
        <f t="shared" si="2"/>
        <v>NO</v>
      </c>
      <c r="V61" s="117" t="str">
        <f t="shared" si="3"/>
        <v>NO</v>
      </c>
      <c r="W61" s="117" t="str">
        <f t="shared" si="4"/>
        <v>NO</v>
      </c>
      <c r="X61" s="132" t="b">
        <f t="shared" si="12"/>
        <v>0</v>
      </c>
    </row>
    <row r="62" spans="1:24" s="2" customFormat="1" ht="12" x14ac:dyDescent="0.15">
      <c r="A62" s="125" t="s">
        <v>87</v>
      </c>
      <c r="B62" s="139">
        <v>900157189</v>
      </c>
      <c r="C62" s="137" t="s">
        <v>163</v>
      </c>
      <c r="D62" s="137" t="s">
        <v>531</v>
      </c>
      <c r="E62" s="138">
        <v>20805889</v>
      </c>
      <c r="F62" s="138">
        <v>40196731</v>
      </c>
      <c r="G62" s="138">
        <v>4966961</v>
      </c>
      <c r="H62" s="138">
        <v>21104105</v>
      </c>
      <c r="I62" s="138">
        <v>19092626</v>
      </c>
      <c r="J62" s="138">
        <v>1554542</v>
      </c>
      <c r="K62" s="138">
        <v>2885905</v>
      </c>
      <c r="L62" s="93">
        <f t="shared" si="6"/>
        <v>15838928</v>
      </c>
      <c r="M62" s="94">
        <f t="shared" si="7"/>
        <v>4.1888569288142188</v>
      </c>
      <c r="N62" s="94">
        <f t="shared" si="8"/>
        <v>0.52502043014393385</v>
      </c>
      <c r="O62" s="94">
        <f t="shared" si="14"/>
        <v>0.5386670732404566</v>
      </c>
      <c r="P62" s="94">
        <f t="shared" si="0"/>
        <v>8.1421068008140945E-2</v>
      </c>
      <c r="Q62" s="94">
        <f t="shared" si="9"/>
        <v>3.8673343859728294E-2</v>
      </c>
      <c r="R62" s="117" t="str">
        <f t="shared" si="10"/>
        <v>SI</v>
      </c>
      <c r="S62" s="117" t="str">
        <f t="shared" si="11"/>
        <v>SI</v>
      </c>
      <c r="T62" s="117" t="str">
        <f t="shared" si="1"/>
        <v>SI</v>
      </c>
      <c r="U62" s="117" t="str">
        <f t="shared" si="2"/>
        <v>NO</v>
      </c>
      <c r="V62" s="117" t="str">
        <f t="shared" si="3"/>
        <v>NO</v>
      </c>
      <c r="W62" s="117" t="str">
        <f t="shared" si="4"/>
        <v>NO</v>
      </c>
      <c r="X62" s="132" t="b">
        <f t="shared" si="12"/>
        <v>0</v>
      </c>
    </row>
    <row r="63" spans="1:24" s="2" customFormat="1" ht="12" x14ac:dyDescent="0.15">
      <c r="A63" s="125" t="s">
        <v>87</v>
      </c>
      <c r="B63" s="139">
        <v>900158025</v>
      </c>
      <c r="C63" s="137" t="s">
        <v>164</v>
      </c>
      <c r="D63" s="137" t="s">
        <v>531</v>
      </c>
      <c r="E63" s="138">
        <v>145009308</v>
      </c>
      <c r="F63" s="138">
        <v>155504179</v>
      </c>
      <c r="G63" s="138">
        <v>109011981</v>
      </c>
      <c r="H63" s="138">
        <v>109439244</v>
      </c>
      <c r="I63" s="138">
        <v>46064935</v>
      </c>
      <c r="J63" s="138">
        <v>33111173</v>
      </c>
      <c r="K63" s="138">
        <v>914316</v>
      </c>
      <c r="L63" s="93">
        <f t="shared" si="6"/>
        <v>35997327</v>
      </c>
      <c r="M63" s="94">
        <f t="shared" si="7"/>
        <v>1.330214410102317</v>
      </c>
      <c r="N63" s="94">
        <f t="shared" si="8"/>
        <v>0.70377043693468844</v>
      </c>
      <c r="O63" s="94"/>
      <c r="P63" s="94">
        <f t="shared" si="0"/>
        <v>0.71879343800224615</v>
      </c>
      <c r="Q63" s="94">
        <f t="shared" si="9"/>
        <v>0.21292786607361852</v>
      </c>
      <c r="R63" s="117" t="str">
        <f t="shared" si="10"/>
        <v>SI</v>
      </c>
      <c r="S63" s="117" t="str">
        <f t="shared" si="11"/>
        <v>NO</v>
      </c>
      <c r="T63" s="117" t="str">
        <f t="shared" si="1"/>
        <v>SI</v>
      </c>
      <c r="U63" s="117" t="str">
        <f t="shared" si="2"/>
        <v>NO</v>
      </c>
      <c r="V63" s="117" t="str">
        <f t="shared" si="3"/>
        <v>SI</v>
      </c>
      <c r="W63" s="117" t="str">
        <f t="shared" si="4"/>
        <v>SI</v>
      </c>
      <c r="X63" s="132" t="b">
        <f t="shared" si="12"/>
        <v>0</v>
      </c>
    </row>
    <row r="64" spans="1:24" s="2" customFormat="1" ht="12" x14ac:dyDescent="0.15">
      <c r="A64" s="125" t="s">
        <v>87</v>
      </c>
      <c r="B64" s="139">
        <v>900184924</v>
      </c>
      <c r="C64" s="137" t="s">
        <v>165</v>
      </c>
      <c r="D64" s="137" t="s">
        <v>531</v>
      </c>
      <c r="E64" s="138">
        <v>148534425</v>
      </c>
      <c r="F64" s="138">
        <v>159975097</v>
      </c>
      <c r="G64" s="138">
        <v>132720313</v>
      </c>
      <c r="H64" s="138">
        <v>133065854</v>
      </c>
      <c r="I64" s="138">
        <v>26909243</v>
      </c>
      <c r="J64" s="138">
        <v>22619722</v>
      </c>
      <c r="K64" s="138">
        <v>10029232</v>
      </c>
      <c r="L64" s="93">
        <f t="shared" si="6"/>
        <v>15814112</v>
      </c>
      <c r="M64" s="94">
        <f t="shared" si="7"/>
        <v>1.1191536671556825</v>
      </c>
      <c r="N64" s="94">
        <f t="shared" si="8"/>
        <v>0.83179105057832847</v>
      </c>
      <c r="O64" s="94">
        <f t="shared" si="14"/>
        <v>2.255379275302436</v>
      </c>
      <c r="P64" s="94">
        <f t="shared" si="0"/>
        <v>0.8405930259725255</v>
      </c>
      <c r="Q64" s="94">
        <f t="shared" si="9"/>
        <v>0.14139526979002237</v>
      </c>
      <c r="R64" s="117" t="str">
        <f t="shared" si="10"/>
        <v>SI</v>
      </c>
      <c r="S64" s="117" t="str">
        <f t="shared" si="11"/>
        <v>NO</v>
      </c>
      <c r="T64" s="117" t="str">
        <f t="shared" si="1"/>
        <v>SI</v>
      </c>
      <c r="U64" s="117" t="str">
        <f t="shared" si="2"/>
        <v>SI</v>
      </c>
      <c r="V64" s="117" t="str">
        <f t="shared" si="3"/>
        <v>SI</v>
      </c>
      <c r="W64" s="117" t="str">
        <f t="shared" si="4"/>
        <v>SI</v>
      </c>
      <c r="X64" s="132" t="b">
        <f t="shared" si="12"/>
        <v>0</v>
      </c>
    </row>
    <row r="65" spans="1:24" s="2" customFormat="1" ht="12" x14ac:dyDescent="0.15">
      <c r="A65" s="125" t="s">
        <v>87</v>
      </c>
      <c r="B65" s="139">
        <v>900194910</v>
      </c>
      <c r="C65" s="137" t="s">
        <v>166</v>
      </c>
      <c r="D65" s="137" t="s">
        <v>531</v>
      </c>
      <c r="E65" s="138">
        <v>73204866</v>
      </c>
      <c r="F65" s="138">
        <v>77478371</v>
      </c>
      <c r="G65" s="138">
        <v>32349799</v>
      </c>
      <c r="H65" s="138">
        <v>33402373</v>
      </c>
      <c r="I65" s="138">
        <v>44075998</v>
      </c>
      <c r="J65" s="138">
        <v>10911594</v>
      </c>
      <c r="K65" s="138">
        <v>495664</v>
      </c>
      <c r="L65" s="93">
        <f t="shared" si="6"/>
        <v>40855067</v>
      </c>
      <c r="M65" s="94">
        <f t="shared" si="7"/>
        <v>2.2629156366628429</v>
      </c>
      <c r="N65" s="94">
        <f t="shared" si="8"/>
        <v>0.43111867956026079</v>
      </c>
      <c r="O65" s="94"/>
      <c r="P65" s="94">
        <f t="shared" si="0"/>
        <v>0.24756317485993171</v>
      </c>
      <c r="Q65" s="94">
        <f t="shared" si="9"/>
        <v>0.14083406580657201</v>
      </c>
      <c r="R65" s="117" t="str">
        <f t="shared" si="10"/>
        <v>SI</v>
      </c>
      <c r="S65" s="117" t="str">
        <f t="shared" si="11"/>
        <v>SI</v>
      </c>
      <c r="T65" s="117" t="str">
        <f t="shared" si="1"/>
        <v>SI</v>
      </c>
      <c r="U65" s="117" t="str">
        <f t="shared" si="2"/>
        <v>NO</v>
      </c>
      <c r="V65" s="117" t="str">
        <f t="shared" si="3"/>
        <v>SI</v>
      </c>
      <c r="W65" s="117" t="str">
        <f t="shared" si="4"/>
        <v>SI</v>
      </c>
      <c r="X65" s="132" t="b">
        <f t="shared" si="12"/>
        <v>0</v>
      </c>
    </row>
    <row r="66" spans="1:24" s="2" customFormat="1" ht="12" x14ac:dyDescent="0.15">
      <c r="A66" s="125" t="s">
        <v>87</v>
      </c>
      <c r="B66" s="139">
        <v>900223935</v>
      </c>
      <c r="C66" s="137" t="s">
        <v>167</v>
      </c>
      <c r="D66" s="137" t="s">
        <v>531</v>
      </c>
      <c r="E66" s="138">
        <v>42904372</v>
      </c>
      <c r="F66" s="138">
        <v>46412556</v>
      </c>
      <c r="G66" s="138">
        <v>26005111</v>
      </c>
      <c r="H66" s="138">
        <v>27457800</v>
      </c>
      <c r="I66" s="138">
        <v>18954756</v>
      </c>
      <c r="J66" s="138">
        <v>610586</v>
      </c>
      <c r="K66" s="138">
        <v>7348689</v>
      </c>
      <c r="L66" s="93">
        <f t="shared" si="6"/>
        <v>16899261</v>
      </c>
      <c r="M66" s="94">
        <f t="shared" si="7"/>
        <v>1.6498438326219795</v>
      </c>
      <c r="N66" s="94">
        <f t="shared" si="8"/>
        <v>0.59160284126562646</v>
      </c>
      <c r="O66" s="94">
        <f t="shared" si="14"/>
        <v>8.3087745310762226E-2</v>
      </c>
      <c r="P66" s="94">
        <f t="shared" si="0"/>
        <v>3.2212812446649274E-2</v>
      </c>
      <c r="Q66" s="94">
        <f t="shared" si="9"/>
        <v>1.3155621078054826E-2</v>
      </c>
      <c r="R66" s="117" t="str">
        <f t="shared" si="10"/>
        <v>SI</v>
      </c>
      <c r="S66" s="117" t="str">
        <f t="shared" si="11"/>
        <v>NO</v>
      </c>
      <c r="T66" s="117" t="str">
        <f t="shared" si="1"/>
        <v>SI</v>
      </c>
      <c r="U66" s="117" t="str">
        <f t="shared" si="2"/>
        <v>NO</v>
      </c>
      <c r="V66" s="117" t="str">
        <f t="shared" si="3"/>
        <v>NO</v>
      </c>
      <c r="W66" s="117" t="str">
        <f t="shared" si="4"/>
        <v>NO</v>
      </c>
      <c r="X66" s="132" t="b">
        <f t="shared" si="12"/>
        <v>0</v>
      </c>
    </row>
    <row r="67" spans="1:24" s="2" customFormat="1" ht="12" x14ac:dyDescent="0.15">
      <c r="A67" s="125" t="s">
        <v>87</v>
      </c>
      <c r="B67" s="139">
        <v>900261089</v>
      </c>
      <c r="C67" s="137" t="s">
        <v>168</v>
      </c>
      <c r="D67" s="137" t="s">
        <v>531</v>
      </c>
      <c r="E67" s="138">
        <v>34605065</v>
      </c>
      <c r="F67" s="138">
        <v>41278920</v>
      </c>
      <c r="G67" s="138">
        <v>27401230</v>
      </c>
      <c r="H67" s="138">
        <v>30760331</v>
      </c>
      <c r="I67" s="138">
        <v>10518589</v>
      </c>
      <c r="J67" s="138">
        <v>5167011</v>
      </c>
      <c r="K67" s="138">
        <v>2948670</v>
      </c>
      <c r="L67" s="93">
        <f t="shared" si="6"/>
        <v>7203835</v>
      </c>
      <c r="M67" s="94">
        <f t="shared" si="7"/>
        <v>1.2629018843314699</v>
      </c>
      <c r="N67" s="94">
        <f t="shared" si="8"/>
        <v>0.74518255322571425</v>
      </c>
      <c r="O67" s="94">
        <f t="shared" si="14"/>
        <v>1.7523191811901637</v>
      </c>
      <c r="P67" s="94">
        <f t="shared" si="0"/>
        <v>0.49122662744974632</v>
      </c>
      <c r="Q67" s="94">
        <f t="shared" si="9"/>
        <v>0.12517311499428765</v>
      </c>
      <c r="R67" s="117" t="str">
        <f t="shared" si="10"/>
        <v>SI</v>
      </c>
      <c r="S67" s="117" t="str">
        <f t="shared" si="11"/>
        <v>NO</v>
      </c>
      <c r="T67" s="117" t="str">
        <f t="shared" si="1"/>
        <v>SI</v>
      </c>
      <c r="U67" s="117" t="str">
        <f t="shared" si="2"/>
        <v>SI</v>
      </c>
      <c r="V67" s="117" t="str">
        <f t="shared" si="3"/>
        <v>SI</v>
      </c>
      <c r="W67" s="117" t="str">
        <f t="shared" si="4"/>
        <v>SI</v>
      </c>
      <c r="X67" s="132" t="b">
        <f t="shared" si="12"/>
        <v>0</v>
      </c>
    </row>
    <row r="68" spans="1:24" s="2" customFormat="1" ht="12" x14ac:dyDescent="0.15">
      <c r="A68" s="125" t="s">
        <v>87</v>
      </c>
      <c r="B68" s="139">
        <v>900308795</v>
      </c>
      <c r="C68" s="137" t="s">
        <v>169</v>
      </c>
      <c r="D68" s="137" t="s">
        <v>531</v>
      </c>
      <c r="E68" s="138">
        <v>5802428</v>
      </c>
      <c r="F68" s="138">
        <v>6372953</v>
      </c>
      <c r="G68" s="138">
        <v>6375600</v>
      </c>
      <c r="H68" s="138">
        <v>6375600</v>
      </c>
      <c r="I68" s="138">
        <v>-2647</v>
      </c>
      <c r="J68" s="138">
        <v>-1228978</v>
      </c>
      <c r="K68" s="138">
        <v>1062779</v>
      </c>
      <c r="L68" s="93">
        <f t="shared" si="6"/>
        <v>-573172</v>
      </c>
      <c r="M68" s="94">
        <f t="shared" si="7"/>
        <v>0.91009912792521486</v>
      </c>
      <c r="N68" s="94">
        <f t="shared" si="8"/>
        <v>1.0004153490540413</v>
      </c>
      <c r="O68" s="94"/>
      <c r="P68" s="94">
        <f t="shared" si="0"/>
        <v>464.2908953532301</v>
      </c>
      <c r="Q68" s="94">
        <f t="shared" si="9"/>
        <v>-0.19284278418497672</v>
      </c>
      <c r="R68" s="117" t="str">
        <f t="shared" si="10"/>
        <v>NO</v>
      </c>
      <c r="S68" s="117" t="str">
        <f t="shared" si="11"/>
        <v>NO</v>
      </c>
      <c r="T68" s="117" t="str">
        <f t="shared" si="1"/>
        <v>SI</v>
      </c>
      <c r="U68" s="117" t="str">
        <f t="shared" si="2"/>
        <v>NO</v>
      </c>
      <c r="V68" s="117" t="str">
        <f t="shared" si="3"/>
        <v>SI</v>
      </c>
      <c r="W68" s="117" t="str">
        <f t="shared" si="4"/>
        <v>NO</v>
      </c>
      <c r="X68" s="132" t="b">
        <f t="shared" si="12"/>
        <v>0</v>
      </c>
    </row>
    <row r="69" spans="1:24" s="2" customFormat="1" ht="12" x14ac:dyDescent="0.15">
      <c r="A69" s="125" t="s">
        <v>87</v>
      </c>
      <c r="B69" s="139">
        <v>900334095</v>
      </c>
      <c r="C69" s="137" t="s">
        <v>170</v>
      </c>
      <c r="D69" s="137" t="s">
        <v>531</v>
      </c>
      <c r="E69" s="138">
        <v>31916582</v>
      </c>
      <c r="F69" s="138">
        <v>32640147</v>
      </c>
      <c r="G69" s="138">
        <v>20793511</v>
      </c>
      <c r="H69" s="138">
        <v>21427854</v>
      </c>
      <c r="I69" s="138">
        <v>11212293</v>
      </c>
      <c r="J69" s="138">
        <v>1386233</v>
      </c>
      <c r="K69" s="138">
        <v>27768</v>
      </c>
      <c r="L69" s="93">
        <f t="shared" si="6"/>
        <v>11123071</v>
      </c>
      <c r="M69" s="94">
        <f t="shared" si="7"/>
        <v>1.5349299115478863</v>
      </c>
      <c r="N69" s="94">
        <f t="shared" si="8"/>
        <v>0.65648766839193462</v>
      </c>
      <c r="O69" s="94"/>
      <c r="P69" s="94">
        <f t="shared" si="0"/>
        <v>0.12363510300702987</v>
      </c>
      <c r="Q69" s="94">
        <f t="shared" si="9"/>
        <v>4.2470182502548165E-2</v>
      </c>
      <c r="R69" s="117" t="str">
        <f t="shared" si="10"/>
        <v>SI</v>
      </c>
      <c r="S69" s="117" t="str">
        <f t="shared" si="11"/>
        <v>NO</v>
      </c>
      <c r="T69" s="117" t="str">
        <f t="shared" si="1"/>
        <v>SI</v>
      </c>
      <c r="U69" s="117" t="str">
        <f t="shared" si="2"/>
        <v>NO</v>
      </c>
      <c r="V69" s="117" t="str">
        <f t="shared" si="3"/>
        <v>NO</v>
      </c>
      <c r="W69" s="117" t="str">
        <f t="shared" si="4"/>
        <v>NO</v>
      </c>
      <c r="X69" s="132" t="b">
        <f t="shared" si="12"/>
        <v>0</v>
      </c>
    </row>
    <row r="70" spans="1:24" s="2" customFormat="1" ht="12" x14ac:dyDescent="0.15">
      <c r="A70" s="125" t="s">
        <v>87</v>
      </c>
      <c r="B70" s="139">
        <v>900383361</v>
      </c>
      <c r="C70" s="137" t="s">
        <v>171</v>
      </c>
      <c r="D70" s="137" t="s">
        <v>531</v>
      </c>
      <c r="E70" s="138">
        <v>30496677</v>
      </c>
      <c r="F70" s="138">
        <v>36358859</v>
      </c>
      <c r="G70" s="138">
        <v>24945560</v>
      </c>
      <c r="H70" s="138">
        <v>28251830</v>
      </c>
      <c r="I70" s="138">
        <v>8107029</v>
      </c>
      <c r="J70" s="138">
        <v>-3807603</v>
      </c>
      <c r="K70" s="138">
        <v>109683</v>
      </c>
      <c r="L70" s="93">
        <f t="shared" si="6"/>
        <v>5551117</v>
      </c>
      <c r="M70" s="94">
        <f t="shared" si="7"/>
        <v>1.2225292597159574</v>
      </c>
      <c r="N70" s="94">
        <f t="shared" si="8"/>
        <v>0.77702740891841515</v>
      </c>
      <c r="O70" s="94"/>
      <c r="P70" s="94">
        <f t="shared" si="0"/>
        <v>-0.46966687796478834</v>
      </c>
      <c r="Q70" s="94">
        <f t="shared" si="9"/>
        <v>-0.10472284072500734</v>
      </c>
      <c r="R70" s="117" t="str">
        <f t="shared" si="10"/>
        <v>SI</v>
      </c>
      <c r="S70" s="117" t="str">
        <f t="shared" si="11"/>
        <v>NO</v>
      </c>
      <c r="T70" s="117" t="str">
        <f t="shared" si="1"/>
        <v>SI</v>
      </c>
      <c r="U70" s="117" t="str">
        <f t="shared" si="2"/>
        <v>NO</v>
      </c>
      <c r="V70" s="117" t="str">
        <f t="shared" si="3"/>
        <v>NO</v>
      </c>
      <c r="W70" s="117" t="str">
        <f t="shared" si="4"/>
        <v>NO</v>
      </c>
      <c r="X70" s="132" t="b">
        <f t="shared" si="12"/>
        <v>0</v>
      </c>
    </row>
    <row r="71" spans="1:24" s="2" customFormat="1" ht="12" x14ac:dyDescent="0.15">
      <c r="A71" s="125" t="s">
        <v>87</v>
      </c>
      <c r="B71" s="139">
        <v>900397663</v>
      </c>
      <c r="C71" s="137" t="s">
        <v>172</v>
      </c>
      <c r="D71" s="137" t="s">
        <v>531</v>
      </c>
      <c r="E71" s="138">
        <v>24325274</v>
      </c>
      <c r="F71" s="138">
        <v>25715107</v>
      </c>
      <c r="G71" s="138">
        <v>18701865</v>
      </c>
      <c r="H71" s="138">
        <v>18701865</v>
      </c>
      <c r="I71" s="138">
        <v>7013242</v>
      </c>
      <c r="J71" s="138">
        <v>726342</v>
      </c>
      <c r="K71" s="138"/>
      <c r="L71" s="93">
        <f t="shared" si="6"/>
        <v>5623409</v>
      </c>
      <c r="M71" s="94">
        <f t="shared" si="7"/>
        <v>1.3006870705140905</v>
      </c>
      <c r="N71" s="94">
        <f t="shared" si="8"/>
        <v>0.72727152175567455</v>
      </c>
      <c r="O71" s="94" t="s">
        <v>108</v>
      </c>
      <c r="P71" s="94">
        <f t="shared" si="0"/>
        <v>0.10356722326136757</v>
      </c>
      <c r="Q71" s="94">
        <f t="shared" si="9"/>
        <v>2.8245731196063079E-2</v>
      </c>
      <c r="R71" s="117" t="str">
        <f t="shared" si="10"/>
        <v>SI</v>
      </c>
      <c r="S71" s="117" t="str">
        <f t="shared" si="11"/>
        <v>NO</v>
      </c>
      <c r="T71" s="117" t="str">
        <f t="shared" si="1"/>
        <v>SI</v>
      </c>
      <c r="U71" s="117" t="str">
        <f t="shared" si="2"/>
        <v>SI</v>
      </c>
      <c r="V71" s="117" t="str">
        <f t="shared" si="3"/>
        <v>NO</v>
      </c>
      <c r="W71" s="117" t="str">
        <f t="shared" si="4"/>
        <v>NO</v>
      </c>
      <c r="X71" s="132" t="b">
        <f t="shared" si="12"/>
        <v>0</v>
      </c>
    </row>
    <row r="72" spans="1:24" s="2" customFormat="1" ht="12" x14ac:dyDescent="0.15">
      <c r="A72" s="125" t="s">
        <v>87</v>
      </c>
      <c r="B72" s="139">
        <v>900430151</v>
      </c>
      <c r="C72" s="137" t="s">
        <v>173</v>
      </c>
      <c r="D72" s="137" t="s">
        <v>531</v>
      </c>
      <c r="E72" s="138">
        <v>63797046</v>
      </c>
      <c r="F72" s="138">
        <v>112882796</v>
      </c>
      <c r="G72" s="138">
        <v>38433258</v>
      </c>
      <c r="H72" s="138">
        <v>38433258</v>
      </c>
      <c r="I72" s="138">
        <v>74449538</v>
      </c>
      <c r="J72" s="138">
        <v>30772404</v>
      </c>
      <c r="K72" s="138"/>
      <c r="L72" s="93">
        <f t="shared" si="6"/>
        <v>25363788</v>
      </c>
      <c r="M72" s="94">
        <f t="shared" si="7"/>
        <v>1.6599437393519956</v>
      </c>
      <c r="N72" s="94">
        <f t="shared" si="8"/>
        <v>0.34047046460472152</v>
      </c>
      <c r="O72" s="94" t="s">
        <v>108</v>
      </c>
      <c r="P72" s="94">
        <f t="shared" si="0"/>
        <v>0.41333237017535285</v>
      </c>
      <c r="Q72" s="94">
        <f t="shared" si="9"/>
        <v>0.27260490606557974</v>
      </c>
      <c r="R72" s="117" t="str">
        <f t="shared" si="10"/>
        <v>SI</v>
      </c>
      <c r="S72" s="117" t="str">
        <f t="shared" si="11"/>
        <v>NO</v>
      </c>
      <c r="T72" s="117" t="str">
        <f t="shared" si="1"/>
        <v>SI</v>
      </c>
      <c r="U72" s="117" t="str">
        <f t="shared" si="2"/>
        <v>SI</v>
      </c>
      <c r="V72" s="117" t="str">
        <f t="shared" si="3"/>
        <v>SI</v>
      </c>
      <c r="W72" s="117" t="str">
        <f t="shared" si="4"/>
        <v>SI</v>
      </c>
      <c r="X72" s="132" t="b">
        <f t="shared" si="12"/>
        <v>0</v>
      </c>
    </row>
    <row r="73" spans="1:24" s="2" customFormat="1" ht="12" x14ac:dyDescent="0.15">
      <c r="A73" s="125" t="s">
        <v>87</v>
      </c>
      <c r="B73" s="139">
        <v>900451379</v>
      </c>
      <c r="C73" s="137" t="s">
        <v>174</v>
      </c>
      <c r="D73" s="137" t="s">
        <v>531</v>
      </c>
      <c r="E73" s="138">
        <v>119153831</v>
      </c>
      <c r="F73" s="138">
        <v>134164538</v>
      </c>
      <c r="G73" s="138">
        <v>74694409</v>
      </c>
      <c r="H73" s="138">
        <v>75767658</v>
      </c>
      <c r="I73" s="138">
        <v>58396880</v>
      </c>
      <c r="J73" s="138">
        <v>-7013289</v>
      </c>
      <c r="K73" s="138">
        <v>1142788</v>
      </c>
      <c r="L73" s="93">
        <f t="shared" si="6"/>
        <v>44459422</v>
      </c>
      <c r="M73" s="94">
        <f t="shared" si="7"/>
        <v>1.5952175349563311</v>
      </c>
      <c r="N73" s="94">
        <f t="shared" si="8"/>
        <v>0.56473684573788041</v>
      </c>
      <c r="O73" s="94"/>
      <c r="P73" s="94">
        <f t="shared" si="0"/>
        <v>-0.12009698120858511</v>
      </c>
      <c r="Q73" s="94">
        <f t="shared" si="9"/>
        <v>-5.2273790858207256E-2</v>
      </c>
      <c r="R73" s="117" t="str">
        <f t="shared" si="10"/>
        <v>SI</v>
      </c>
      <c r="S73" s="117" t="str">
        <f t="shared" si="11"/>
        <v>NO</v>
      </c>
      <c r="T73" s="117" t="str">
        <f t="shared" si="1"/>
        <v>SI</v>
      </c>
      <c r="U73" s="117" t="str">
        <f t="shared" si="2"/>
        <v>NO</v>
      </c>
      <c r="V73" s="117" t="str">
        <f t="shared" si="3"/>
        <v>NO</v>
      </c>
      <c r="W73" s="117" t="str">
        <f t="shared" si="4"/>
        <v>NO</v>
      </c>
      <c r="X73" s="132" t="b">
        <f t="shared" si="12"/>
        <v>0</v>
      </c>
    </row>
    <row r="74" spans="1:24" s="2" customFormat="1" ht="12" x14ac:dyDescent="0.15">
      <c r="A74" s="125" t="s">
        <v>87</v>
      </c>
      <c r="B74" s="139">
        <v>900451549</v>
      </c>
      <c r="C74" s="137" t="s">
        <v>175</v>
      </c>
      <c r="D74" s="137" t="s">
        <v>531</v>
      </c>
      <c r="E74" s="138">
        <v>43723563</v>
      </c>
      <c r="F74" s="138">
        <v>46011154</v>
      </c>
      <c r="G74" s="138">
        <v>18057750</v>
      </c>
      <c r="H74" s="138">
        <v>18057750</v>
      </c>
      <c r="I74" s="138">
        <v>27953404</v>
      </c>
      <c r="J74" s="138">
        <v>5972824</v>
      </c>
      <c r="K74" s="138">
        <v>5151082</v>
      </c>
      <c r="L74" s="93">
        <f t="shared" si="6"/>
        <v>25665813</v>
      </c>
      <c r="M74" s="94">
        <f t="shared" si="7"/>
        <v>2.4213184366823111</v>
      </c>
      <c r="N74" s="94">
        <f t="shared" si="8"/>
        <v>0.39246461847055608</v>
      </c>
      <c r="O74" s="94">
        <f t="shared" si="14"/>
        <v>1.1595280370221246</v>
      </c>
      <c r="P74" s="94">
        <f t="shared" si="0"/>
        <v>0.21367072146204447</v>
      </c>
      <c r="Q74" s="94">
        <f t="shared" si="9"/>
        <v>0.12981252328511472</v>
      </c>
      <c r="R74" s="117" t="str">
        <f t="shared" si="10"/>
        <v>SI</v>
      </c>
      <c r="S74" s="117" t="str">
        <f t="shared" si="11"/>
        <v>SI</v>
      </c>
      <c r="T74" s="117" t="str">
        <f t="shared" si="1"/>
        <v>SI</v>
      </c>
      <c r="U74" s="117" t="str">
        <f t="shared" si="2"/>
        <v>SI</v>
      </c>
      <c r="V74" s="117" t="str">
        <f t="shared" si="3"/>
        <v>SI</v>
      </c>
      <c r="W74" s="117" t="str">
        <f t="shared" si="4"/>
        <v>SI</v>
      </c>
      <c r="X74" s="132" t="str">
        <f t="shared" si="12"/>
        <v>SI</v>
      </c>
    </row>
    <row r="75" spans="1:24" s="2" customFormat="1" ht="12" x14ac:dyDescent="0.15">
      <c r="A75" s="125" t="s">
        <v>87</v>
      </c>
      <c r="B75" s="139">
        <v>900454399</v>
      </c>
      <c r="C75" s="137" t="s">
        <v>176</v>
      </c>
      <c r="D75" s="137" t="s">
        <v>531</v>
      </c>
      <c r="E75" s="138">
        <v>103337337</v>
      </c>
      <c r="F75" s="138">
        <v>116948208</v>
      </c>
      <c r="G75" s="138">
        <v>76592610</v>
      </c>
      <c r="H75" s="138">
        <v>89596886</v>
      </c>
      <c r="I75" s="138">
        <v>27351322</v>
      </c>
      <c r="J75" s="138">
        <v>6189859</v>
      </c>
      <c r="K75" s="138">
        <v>10573455</v>
      </c>
      <c r="L75" s="93">
        <f t="shared" si="6"/>
        <v>26744727</v>
      </c>
      <c r="M75" s="94">
        <f t="shared" si="7"/>
        <v>1.349181559421986</v>
      </c>
      <c r="N75" s="94">
        <f t="shared" si="8"/>
        <v>0.76612448820079393</v>
      </c>
      <c r="O75" s="94">
        <f t="shared" si="14"/>
        <v>0.58541498497889288</v>
      </c>
      <c r="P75" s="94">
        <f t="shared" si="0"/>
        <v>0.22630931696829865</v>
      </c>
      <c r="Q75" s="94">
        <f t="shared" si="9"/>
        <v>5.2928207330889585E-2</v>
      </c>
      <c r="R75" s="117" t="str">
        <f t="shared" si="10"/>
        <v>SI</v>
      </c>
      <c r="S75" s="117" t="str">
        <f t="shared" si="11"/>
        <v>NO</v>
      </c>
      <c r="T75" s="117" t="str">
        <f t="shared" si="1"/>
        <v>SI</v>
      </c>
      <c r="U75" s="117" t="str">
        <f t="shared" si="2"/>
        <v>NO</v>
      </c>
      <c r="V75" s="117" t="str">
        <f t="shared" si="3"/>
        <v>SI</v>
      </c>
      <c r="W75" s="117" t="str">
        <f t="shared" si="4"/>
        <v>NO</v>
      </c>
      <c r="X75" s="132" t="b">
        <f t="shared" si="12"/>
        <v>0</v>
      </c>
    </row>
    <row r="76" spans="1:24" s="2" customFormat="1" ht="12" x14ac:dyDescent="0.15">
      <c r="A76" s="125" t="s">
        <v>87</v>
      </c>
      <c r="B76" s="139">
        <v>900456739</v>
      </c>
      <c r="C76" s="137" t="s">
        <v>177</v>
      </c>
      <c r="D76" s="137" t="s">
        <v>531</v>
      </c>
      <c r="E76" s="138">
        <v>35718590</v>
      </c>
      <c r="F76" s="138">
        <v>39836294</v>
      </c>
      <c r="G76" s="138">
        <v>31808223</v>
      </c>
      <c r="H76" s="138">
        <v>32801307</v>
      </c>
      <c r="I76" s="138">
        <v>7034987</v>
      </c>
      <c r="J76" s="138">
        <v>28643</v>
      </c>
      <c r="K76" s="138">
        <v>1216650</v>
      </c>
      <c r="L76" s="93">
        <f t="shared" si="6"/>
        <v>3910367</v>
      </c>
      <c r="M76" s="94">
        <f t="shared" si="7"/>
        <v>1.122935726400057</v>
      </c>
      <c r="N76" s="94">
        <f t="shared" si="8"/>
        <v>0.82340257354260915</v>
      </c>
      <c r="O76" s="94">
        <f t="shared" si="14"/>
        <v>2.3542514281017547E-2</v>
      </c>
      <c r="P76" s="94">
        <f t="shared" si="0"/>
        <v>4.0715071683856702E-3</v>
      </c>
      <c r="Q76" s="94">
        <f t="shared" si="9"/>
        <v>7.1901768773972798E-4</v>
      </c>
      <c r="R76" s="117" t="str">
        <f t="shared" si="10"/>
        <v>SI</v>
      </c>
      <c r="S76" s="117" t="str">
        <f t="shared" si="11"/>
        <v>NO</v>
      </c>
      <c r="T76" s="117" t="str">
        <f t="shared" si="1"/>
        <v>SI</v>
      </c>
      <c r="U76" s="117" t="str">
        <f t="shared" si="2"/>
        <v>NO</v>
      </c>
      <c r="V76" s="117" t="str">
        <f t="shared" si="3"/>
        <v>NO</v>
      </c>
      <c r="W76" s="117" t="str">
        <f t="shared" si="4"/>
        <v>NO</v>
      </c>
      <c r="X76" s="132" t="b">
        <f t="shared" si="12"/>
        <v>0</v>
      </c>
    </row>
    <row r="77" spans="1:24" s="2" customFormat="1" ht="12" x14ac:dyDescent="0.15">
      <c r="A77" s="125" t="s">
        <v>87</v>
      </c>
      <c r="B77" s="139">
        <v>900476067</v>
      </c>
      <c r="C77" s="137" t="s">
        <v>178</v>
      </c>
      <c r="D77" s="137" t="s">
        <v>531</v>
      </c>
      <c r="E77" s="138">
        <v>60089711</v>
      </c>
      <c r="F77" s="138">
        <v>65600505</v>
      </c>
      <c r="G77" s="138">
        <v>19485583</v>
      </c>
      <c r="H77" s="138">
        <v>21648105</v>
      </c>
      <c r="I77" s="138">
        <v>43952400</v>
      </c>
      <c r="J77" s="138">
        <v>12193739</v>
      </c>
      <c r="K77" s="138">
        <v>488274</v>
      </c>
      <c r="L77" s="93">
        <f t="shared" si="6"/>
        <v>40604128</v>
      </c>
      <c r="M77" s="94"/>
      <c r="N77" s="94">
        <f t="shared" si="8"/>
        <v>0.32999906022064923</v>
      </c>
      <c r="O77" s="94"/>
      <c r="P77" s="94">
        <f t="shared" si="0"/>
        <v>0.27743056124352711</v>
      </c>
      <c r="Q77" s="94">
        <f t="shared" si="9"/>
        <v>0.18587873675667588</v>
      </c>
      <c r="R77" s="117" t="str">
        <f t="shared" si="10"/>
        <v>SI</v>
      </c>
      <c r="S77" s="117" t="str">
        <f t="shared" si="11"/>
        <v>NO</v>
      </c>
      <c r="T77" s="117" t="str">
        <f t="shared" si="1"/>
        <v>SI</v>
      </c>
      <c r="U77" s="117" t="str">
        <f t="shared" si="2"/>
        <v>NO</v>
      </c>
      <c r="V77" s="117" t="str">
        <f t="shared" si="3"/>
        <v>SI</v>
      </c>
      <c r="W77" s="117" t="str">
        <f t="shared" si="4"/>
        <v>SI</v>
      </c>
      <c r="X77" s="132" t="b">
        <f t="shared" si="12"/>
        <v>0</v>
      </c>
    </row>
    <row r="78" spans="1:24" s="2" customFormat="1" ht="12" x14ac:dyDescent="0.15">
      <c r="A78" s="125" t="s">
        <v>87</v>
      </c>
      <c r="B78" s="139">
        <v>900481127</v>
      </c>
      <c r="C78" s="137" t="s">
        <v>179</v>
      </c>
      <c r="D78" s="137" t="s">
        <v>531</v>
      </c>
      <c r="E78" s="138">
        <v>84138901</v>
      </c>
      <c r="F78" s="138">
        <v>90978893</v>
      </c>
      <c r="G78" s="138">
        <v>40994957</v>
      </c>
      <c r="H78" s="138">
        <v>42830197</v>
      </c>
      <c r="I78" s="138">
        <v>48148696</v>
      </c>
      <c r="J78" s="138">
        <v>3546089</v>
      </c>
      <c r="K78" s="138"/>
      <c r="L78" s="93">
        <f t="shared" si="6"/>
        <v>43143944</v>
      </c>
      <c r="M78" s="94">
        <f t="shared" si="7"/>
        <v>2.0524207648272443</v>
      </c>
      <c r="N78" s="94">
        <f t="shared" si="8"/>
        <v>0.47077069843001934</v>
      </c>
      <c r="O78" s="94" t="s">
        <v>108</v>
      </c>
      <c r="P78" s="94">
        <f t="shared" si="0"/>
        <v>7.3648702760299056E-2</v>
      </c>
      <c r="Q78" s="94">
        <f t="shared" si="9"/>
        <v>3.8977051523368174E-2</v>
      </c>
      <c r="R78" s="117" t="str">
        <f t="shared" si="10"/>
        <v>SI</v>
      </c>
      <c r="S78" s="117" t="str">
        <f t="shared" si="11"/>
        <v>SI</v>
      </c>
      <c r="T78" s="117" t="str">
        <f t="shared" si="1"/>
        <v>SI</v>
      </c>
      <c r="U78" s="117" t="str">
        <f t="shared" si="2"/>
        <v>SI</v>
      </c>
      <c r="V78" s="117" t="str">
        <f t="shared" si="3"/>
        <v>NO</v>
      </c>
      <c r="W78" s="117" t="str">
        <f t="shared" si="4"/>
        <v>NO</v>
      </c>
      <c r="X78" s="132" t="b">
        <f t="shared" si="12"/>
        <v>0</v>
      </c>
    </row>
    <row r="79" spans="1:24" s="2" customFormat="1" ht="12" x14ac:dyDescent="0.15">
      <c r="A79" s="125" t="s">
        <v>87</v>
      </c>
      <c r="B79" s="139">
        <v>900498582</v>
      </c>
      <c r="C79" s="137" t="s">
        <v>180</v>
      </c>
      <c r="D79" s="137" t="s">
        <v>531</v>
      </c>
      <c r="E79" s="138">
        <v>23270886</v>
      </c>
      <c r="F79" s="138">
        <v>26767751</v>
      </c>
      <c r="G79" s="138">
        <v>10912720</v>
      </c>
      <c r="H79" s="138">
        <v>18797599</v>
      </c>
      <c r="I79" s="138">
        <v>7970152</v>
      </c>
      <c r="J79" s="138">
        <v>4950208</v>
      </c>
      <c r="K79" s="138">
        <v>1874522</v>
      </c>
      <c r="L79" s="93">
        <f t="shared" si="6"/>
        <v>12358166</v>
      </c>
      <c r="M79" s="94">
        <f t="shared" si="7"/>
        <v>2.1324551532523515</v>
      </c>
      <c r="N79" s="94">
        <f t="shared" si="8"/>
        <v>0.70224797742626943</v>
      </c>
      <c r="O79" s="94">
        <f t="shared" si="14"/>
        <v>2.6407841572411526</v>
      </c>
      <c r="P79" s="94">
        <f t="shared" si="0"/>
        <v>0.62109329909893818</v>
      </c>
      <c r="Q79" s="94">
        <f t="shared" si="9"/>
        <v>0.18493178601369983</v>
      </c>
      <c r="R79" s="117" t="str">
        <f t="shared" si="10"/>
        <v>SI</v>
      </c>
      <c r="S79" s="117" t="str">
        <f t="shared" si="11"/>
        <v>SI</v>
      </c>
      <c r="T79" s="117" t="str">
        <f t="shared" si="1"/>
        <v>SI</v>
      </c>
      <c r="U79" s="117" t="str">
        <f t="shared" si="2"/>
        <v>SI</v>
      </c>
      <c r="V79" s="117" t="str">
        <f t="shared" si="3"/>
        <v>SI</v>
      </c>
      <c r="W79" s="117" t="str">
        <f t="shared" si="4"/>
        <v>SI</v>
      </c>
      <c r="X79" s="132" t="str">
        <f t="shared" si="12"/>
        <v>SI</v>
      </c>
    </row>
    <row r="80" spans="1:24" s="2" customFormat="1" ht="12" x14ac:dyDescent="0.15">
      <c r="A80" s="125" t="s">
        <v>87</v>
      </c>
      <c r="B80" s="139">
        <v>900532903</v>
      </c>
      <c r="C80" s="137" t="s">
        <v>181</v>
      </c>
      <c r="D80" s="137" t="s">
        <v>531</v>
      </c>
      <c r="E80" s="138">
        <v>40181438</v>
      </c>
      <c r="F80" s="138">
        <v>41148807</v>
      </c>
      <c r="G80" s="138">
        <v>23290246</v>
      </c>
      <c r="H80" s="138">
        <v>23290246</v>
      </c>
      <c r="I80" s="138">
        <v>17858561</v>
      </c>
      <c r="J80" s="138">
        <v>3393155</v>
      </c>
      <c r="K80" s="138"/>
      <c r="L80" s="93">
        <f t="shared" si="6"/>
        <v>16891192</v>
      </c>
      <c r="M80" s="94">
        <f t="shared" si="7"/>
        <v>1.7252474705505472</v>
      </c>
      <c r="N80" s="94">
        <f t="shared" si="8"/>
        <v>0.5660005161267494</v>
      </c>
      <c r="O80" s="94" t="s">
        <v>108</v>
      </c>
      <c r="P80" s="94">
        <f t="shared" ref="P80:P143" si="15">J80/I80</f>
        <v>0.19000159083366236</v>
      </c>
      <c r="Q80" s="94">
        <f t="shared" si="9"/>
        <v>8.2460592356906004E-2</v>
      </c>
      <c r="R80" s="117" t="str">
        <f t="shared" si="10"/>
        <v>SI</v>
      </c>
      <c r="S80" s="117" t="str">
        <f t="shared" si="11"/>
        <v>NO</v>
      </c>
      <c r="T80" s="117" t="str">
        <f t="shared" ref="T80:T143" si="16">+IF(N80&lt;=$G$542,"SI","NO")</f>
        <v>SI</v>
      </c>
      <c r="U80" s="117" t="str">
        <f t="shared" ref="U80:U143" si="17">+IF(O80&gt;=$H$542,"SI","NO")</f>
        <v>SI</v>
      </c>
      <c r="V80" s="117" t="str">
        <f t="shared" ref="V80:V143" si="18">+IF(P80&gt;=$I$542,"SI","NO")</f>
        <v>SI</v>
      </c>
      <c r="W80" s="117" t="str">
        <f t="shared" ref="W80:W143" si="19">+IF(Q80&gt;=$J$542,"SI","NO")</f>
        <v>NO</v>
      </c>
      <c r="X80" s="132" t="b">
        <f t="shared" si="12"/>
        <v>0</v>
      </c>
    </row>
    <row r="81" spans="1:24" s="2" customFormat="1" ht="12" x14ac:dyDescent="0.15">
      <c r="A81" s="125" t="s">
        <v>87</v>
      </c>
      <c r="B81" s="139">
        <v>900551847</v>
      </c>
      <c r="C81" s="137" t="s">
        <v>182</v>
      </c>
      <c r="D81" s="137" t="s">
        <v>531</v>
      </c>
      <c r="E81" s="138">
        <v>39815199</v>
      </c>
      <c r="F81" s="138">
        <v>44660281</v>
      </c>
      <c r="G81" s="138">
        <v>6197175</v>
      </c>
      <c r="H81" s="138">
        <v>6277015</v>
      </c>
      <c r="I81" s="138">
        <v>38383266</v>
      </c>
      <c r="J81" s="138">
        <v>2734503</v>
      </c>
      <c r="K81" s="138">
        <v>2177070</v>
      </c>
      <c r="L81" s="93">
        <f t="shared" ref="L81:L144" si="20">E81-G81</f>
        <v>33618024</v>
      </c>
      <c r="M81" s="94"/>
      <c r="N81" s="94">
        <f t="shared" ref="N81:N144" si="21">H81/F81</f>
        <v>0.14055028001279257</v>
      </c>
      <c r="O81" s="94">
        <f t="shared" ref="O81:O142" si="22">J81/K81</f>
        <v>1.2560473480411747</v>
      </c>
      <c r="P81" s="94">
        <f t="shared" si="15"/>
        <v>7.1242061579647756E-2</v>
      </c>
      <c r="Q81" s="94">
        <f t="shared" ref="Q81:Q144" si="23">J81/F81</f>
        <v>6.1228969875939655E-2</v>
      </c>
      <c r="R81" s="117" t="str">
        <f t="shared" ref="R81:R144" si="24">+IF(L81&gt;=$R$14,"SI","NO")</f>
        <v>SI</v>
      </c>
      <c r="S81" s="117" t="str">
        <f t="shared" ref="S81:S144" si="25">+IF(M81&gt;=$F$542,"SI","NO")</f>
        <v>NO</v>
      </c>
      <c r="T81" s="117" t="str">
        <f t="shared" si="16"/>
        <v>SI</v>
      </c>
      <c r="U81" s="117" t="str">
        <f t="shared" si="17"/>
        <v>SI</v>
      </c>
      <c r="V81" s="117" t="str">
        <f t="shared" si="18"/>
        <v>NO</v>
      </c>
      <c r="W81" s="117" t="str">
        <f t="shared" si="19"/>
        <v>NO</v>
      </c>
      <c r="X81" s="132" t="b">
        <f t="shared" ref="X81:X144" si="26">+IF(R81="SI",IF(S81="SI",IF(T81="SI",IF(U81="SI",IF(V81="SI",IF(W81="SI","SI","NO"))))))</f>
        <v>0</v>
      </c>
    </row>
    <row r="82" spans="1:24" s="2" customFormat="1" ht="12" x14ac:dyDescent="0.15">
      <c r="A82" s="125" t="s">
        <v>87</v>
      </c>
      <c r="B82" s="139">
        <v>900561151</v>
      </c>
      <c r="C82" s="137" t="s">
        <v>183</v>
      </c>
      <c r="D82" s="137" t="s">
        <v>531</v>
      </c>
      <c r="E82" s="138">
        <v>15891329</v>
      </c>
      <c r="F82" s="138">
        <v>20034164</v>
      </c>
      <c r="G82" s="138">
        <v>4872080</v>
      </c>
      <c r="H82" s="138">
        <v>13506544</v>
      </c>
      <c r="I82" s="138">
        <v>6527620</v>
      </c>
      <c r="J82" s="138">
        <v>3261643</v>
      </c>
      <c r="K82" s="138">
        <v>1607138</v>
      </c>
      <c r="L82" s="93">
        <f t="shared" si="20"/>
        <v>11019249</v>
      </c>
      <c r="M82" s="94"/>
      <c r="N82" s="94">
        <f t="shared" si="21"/>
        <v>0.67417557328571331</v>
      </c>
      <c r="O82" s="94">
        <f t="shared" si="22"/>
        <v>2.0294728890736202</v>
      </c>
      <c r="P82" s="94">
        <f t="shared" si="15"/>
        <v>0.49966802601867144</v>
      </c>
      <c r="Q82" s="94">
        <f t="shared" si="23"/>
        <v>0.16280404812499288</v>
      </c>
      <c r="R82" s="117" t="str">
        <f t="shared" si="24"/>
        <v>SI</v>
      </c>
      <c r="S82" s="117" t="str">
        <f t="shared" si="25"/>
        <v>NO</v>
      </c>
      <c r="T82" s="117" t="str">
        <f t="shared" si="16"/>
        <v>SI</v>
      </c>
      <c r="U82" s="117" t="str">
        <f t="shared" si="17"/>
        <v>SI</v>
      </c>
      <c r="V82" s="117" t="str">
        <f t="shared" si="18"/>
        <v>SI</v>
      </c>
      <c r="W82" s="117" t="str">
        <f t="shared" si="19"/>
        <v>SI</v>
      </c>
      <c r="X82" s="132" t="b">
        <f t="shared" si="26"/>
        <v>0</v>
      </c>
    </row>
    <row r="83" spans="1:24" s="2" customFormat="1" ht="12" x14ac:dyDescent="0.15">
      <c r="A83" s="125" t="s">
        <v>87</v>
      </c>
      <c r="B83" s="139">
        <v>900743695</v>
      </c>
      <c r="C83" s="137" t="s">
        <v>184</v>
      </c>
      <c r="D83" s="137" t="s">
        <v>531</v>
      </c>
      <c r="E83" s="138">
        <v>14254262</v>
      </c>
      <c r="F83" s="138">
        <v>18483140</v>
      </c>
      <c r="G83" s="138">
        <v>5334264</v>
      </c>
      <c r="H83" s="138">
        <v>13980852</v>
      </c>
      <c r="I83" s="138">
        <v>4502288</v>
      </c>
      <c r="J83" s="138">
        <v>2226587</v>
      </c>
      <c r="K83" s="138">
        <v>1741801</v>
      </c>
      <c r="L83" s="93">
        <f t="shared" si="20"/>
        <v>8919998</v>
      </c>
      <c r="M83" s="94">
        <f t="shared" ref="M83:M143" si="27">E83/G83</f>
        <v>2.672207824734584</v>
      </c>
      <c r="N83" s="94">
        <f t="shared" si="21"/>
        <v>0.75641108599512852</v>
      </c>
      <c r="O83" s="94">
        <f t="shared" si="22"/>
        <v>1.2783245617610737</v>
      </c>
      <c r="P83" s="94">
        <f t="shared" si="15"/>
        <v>0.49454566211668377</v>
      </c>
      <c r="Q83" s="94">
        <f t="shared" si="23"/>
        <v>0.1204658407608231</v>
      </c>
      <c r="R83" s="117" t="str">
        <f t="shared" si="24"/>
        <v>SI</v>
      </c>
      <c r="S83" s="117" t="str">
        <f t="shared" si="25"/>
        <v>SI</v>
      </c>
      <c r="T83" s="117" t="str">
        <f t="shared" si="16"/>
        <v>SI</v>
      </c>
      <c r="U83" s="117" t="str">
        <f t="shared" si="17"/>
        <v>SI</v>
      </c>
      <c r="V83" s="117" t="str">
        <f t="shared" si="18"/>
        <v>SI</v>
      </c>
      <c r="W83" s="117" t="str">
        <f t="shared" si="19"/>
        <v>SI</v>
      </c>
      <c r="X83" s="132" t="str">
        <f t="shared" si="26"/>
        <v>SI</v>
      </c>
    </row>
    <row r="84" spans="1:24" s="2" customFormat="1" ht="12" x14ac:dyDescent="0.15">
      <c r="A84" s="125" t="s">
        <v>87</v>
      </c>
      <c r="B84" s="139">
        <v>900757947</v>
      </c>
      <c r="C84" s="137" t="s">
        <v>185</v>
      </c>
      <c r="D84" s="137" t="s">
        <v>531</v>
      </c>
      <c r="E84" s="138">
        <v>267811732</v>
      </c>
      <c r="F84" s="138">
        <v>300587182</v>
      </c>
      <c r="G84" s="138">
        <v>156275263</v>
      </c>
      <c r="H84" s="138">
        <v>169372473</v>
      </c>
      <c r="I84" s="138">
        <v>131214709</v>
      </c>
      <c r="J84" s="138">
        <v>7182799</v>
      </c>
      <c r="K84" s="138">
        <v>1479251</v>
      </c>
      <c r="L84" s="93">
        <f t="shared" si="20"/>
        <v>111536469</v>
      </c>
      <c r="M84" s="94">
        <f t="shared" si="27"/>
        <v>1.7137180053889911</v>
      </c>
      <c r="N84" s="94">
        <f t="shared" si="21"/>
        <v>0.56347204119968097</v>
      </c>
      <c r="O84" s="94"/>
      <c r="P84" s="94">
        <f t="shared" si="15"/>
        <v>5.474080653564533E-2</v>
      </c>
      <c r="Q84" s="94">
        <f t="shared" si="23"/>
        <v>2.389589254008842E-2</v>
      </c>
      <c r="R84" s="117" t="str">
        <f t="shared" si="24"/>
        <v>SI</v>
      </c>
      <c r="S84" s="117" t="str">
        <f t="shared" si="25"/>
        <v>NO</v>
      </c>
      <c r="T84" s="117" t="str">
        <f t="shared" si="16"/>
        <v>SI</v>
      </c>
      <c r="U84" s="117" t="str">
        <f t="shared" si="17"/>
        <v>NO</v>
      </c>
      <c r="V84" s="117" t="str">
        <f t="shared" si="18"/>
        <v>NO</v>
      </c>
      <c r="W84" s="117" t="str">
        <f t="shared" si="19"/>
        <v>NO</v>
      </c>
      <c r="X84" s="132" t="b">
        <f t="shared" si="26"/>
        <v>0</v>
      </c>
    </row>
    <row r="85" spans="1:24" s="2" customFormat="1" ht="12" x14ac:dyDescent="0.15">
      <c r="A85" s="125" t="s">
        <v>87</v>
      </c>
      <c r="B85" s="139">
        <v>900779576</v>
      </c>
      <c r="C85" s="137" t="s">
        <v>186</v>
      </c>
      <c r="D85" s="137" t="s">
        <v>531</v>
      </c>
      <c r="E85" s="138">
        <v>46121228</v>
      </c>
      <c r="F85" s="138">
        <v>53100416</v>
      </c>
      <c r="G85" s="138">
        <v>31171454</v>
      </c>
      <c r="H85" s="138">
        <v>36789355</v>
      </c>
      <c r="I85" s="138">
        <v>16311061</v>
      </c>
      <c r="J85" s="138">
        <v>8060248</v>
      </c>
      <c r="K85" s="138">
        <v>2528255</v>
      </c>
      <c r="L85" s="93">
        <f t="shared" si="20"/>
        <v>14949774</v>
      </c>
      <c r="M85" s="94">
        <f t="shared" si="27"/>
        <v>1.479598224709056</v>
      </c>
      <c r="N85" s="94">
        <f t="shared" si="21"/>
        <v>0.69282611646582959</v>
      </c>
      <c r="O85" s="94">
        <f t="shared" si="22"/>
        <v>3.1880676593144281</v>
      </c>
      <c r="P85" s="94">
        <f t="shared" si="15"/>
        <v>0.49415841188994386</v>
      </c>
      <c r="Q85" s="94">
        <f t="shared" si="23"/>
        <v>0.15179255846131223</v>
      </c>
      <c r="R85" s="117" t="str">
        <f t="shared" si="24"/>
        <v>SI</v>
      </c>
      <c r="S85" s="117" t="str">
        <f t="shared" si="25"/>
        <v>NO</v>
      </c>
      <c r="T85" s="117" t="str">
        <f t="shared" si="16"/>
        <v>SI</v>
      </c>
      <c r="U85" s="117" t="str">
        <f t="shared" si="17"/>
        <v>SI</v>
      </c>
      <c r="V85" s="117" t="str">
        <f t="shared" si="18"/>
        <v>SI</v>
      </c>
      <c r="W85" s="117" t="str">
        <f t="shared" si="19"/>
        <v>SI</v>
      </c>
      <c r="X85" s="132" t="b">
        <f t="shared" si="26"/>
        <v>0</v>
      </c>
    </row>
    <row r="86" spans="1:24" s="2" customFormat="1" ht="12" x14ac:dyDescent="0.15">
      <c r="A86" s="125" t="s">
        <v>87</v>
      </c>
      <c r="B86" s="139">
        <v>900824185</v>
      </c>
      <c r="C86" s="137" t="s">
        <v>187</v>
      </c>
      <c r="D86" s="137" t="s">
        <v>531</v>
      </c>
      <c r="E86" s="138">
        <v>790004152</v>
      </c>
      <c r="F86" s="138">
        <v>895489952</v>
      </c>
      <c r="G86" s="138">
        <v>472145334</v>
      </c>
      <c r="H86" s="138">
        <v>505844289</v>
      </c>
      <c r="I86" s="138">
        <v>389645663</v>
      </c>
      <c r="J86" s="138">
        <v>49164800</v>
      </c>
      <c r="K86" s="138">
        <v>12307482</v>
      </c>
      <c r="L86" s="93">
        <f t="shared" si="20"/>
        <v>317858818</v>
      </c>
      <c r="M86" s="94">
        <f t="shared" si="27"/>
        <v>1.6732224065567065</v>
      </c>
      <c r="N86" s="94">
        <f t="shared" si="21"/>
        <v>0.56487991615119759</v>
      </c>
      <c r="O86" s="94"/>
      <c r="P86" s="94">
        <f t="shared" si="15"/>
        <v>0.12617822978309398</v>
      </c>
      <c r="Q86" s="94">
        <f t="shared" si="23"/>
        <v>5.4902681923113303E-2</v>
      </c>
      <c r="R86" s="117" t="str">
        <f t="shared" si="24"/>
        <v>SI</v>
      </c>
      <c r="S86" s="117" t="str">
        <f t="shared" si="25"/>
        <v>NO</v>
      </c>
      <c r="T86" s="117" t="str">
        <f t="shared" si="16"/>
        <v>SI</v>
      </c>
      <c r="U86" s="117" t="str">
        <f t="shared" si="17"/>
        <v>NO</v>
      </c>
      <c r="V86" s="117" t="str">
        <f t="shared" si="18"/>
        <v>NO</v>
      </c>
      <c r="W86" s="117" t="str">
        <f t="shared" si="19"/>
        <v>NO</v>
      </c>
      <c r="X86" s="132" t="b">
        <f t="shared" si="26"/>
        <v>0</v>
      </c>
    </row>
    <row r="87" spans="1:24" s="2" customFormat="1" ht="12" x14ac:dyDescent="0.15">
      <c r="A87" s="125" t="s">
        <v>87</v>
      </c>
      <c r="B87" s="139">
        <v>900836437</v>
      </c>
      <c r="C87" s="137" t="s">
        <v>188</v>
      </c>
      <c r="D87" s="137" t="s">
        <v>531</v>
      </c>
      <c r="E87" s="138">
        <v>71190797</v>
      </c>
      <c r="F87" s="138">
        <v>79594208</v>
      </c>
      <c r="G87" s="138">
        <v>3131066</v>
      </c>
      <c r="H87" s="138">
        <v>75693474</v>
      </c>
      <c r="I87" s="138">
        <v>3900734</v>
      </c>
      <c r="J87" s="138">
        <v>-2960390</v>
      </c>
      <c r="K87" s="138">
        <v>13272413</v>
      </c>
      <c r="L87" s="93">
        <f t="shared" si="20"/>
        <v>68059731</v>
      </c>
      <c r="M87" s="94"/>
      <c r="N87" s="94">
        <f t="shared" si="21"/>
        <v>0.95099223802817412</v>
      </c>
      <c r="O87" s="94"/>
      <c r="P87" s="94">
        <f t="shared" si="15"/>
        <v>-0.75893152416955378</v>
      </c>
      <c r="Q87" s="94">
        <f t="shared" si="23"/>
        <v>-3.7193535489416514E-2</v>
      </c>
      <c r="R87" s="117" t="str">
        <f t="shared" si="24"/>
        <v>SI</v>
      </c>
      <c r="S87" s="117" t="str">
        <f t="shared" si="25"/>
        <v>NO</v>
      </c>
      <c r="T87" s="117" t="str">
        <f t="shared" si="16"/>
        <v>SI</v>
      </c>
      <c r="U87" s="117" t="str">
        <f t="shared" si="17"/>
        <v>NO</v>
      </c>
      <c r="V87" s="117" t="str">
        <f t="shared" si="18"/>
        <v>NO</v>
      </c>
      <c r="W87" s="117" t="str">
        <f t="shared" si="19"/>
        <v>NO</v>
      </c>
      <c r="X87" s="132" t="b">
        <f t="shared" si="26"/>
        <v>0</v>
      </c>
    </row>
    <row r="88" spans="1:24" s="2" customFormat="1" ht="12" x14ac:dyDescent="0.15">
      <c r="A88" s="125" t="s">
        <v>87</v>
      </c>
      <c r="B88" s="139">
        <v>900839128</v>
      </c>
      <c r="C88" s="137" t="s">
        <v>189</v>
      </c>
      <c r="D88" s="137" t="s">
        <v>531</v>
      </c>
      <c r="E88" s="138">
        <v>41181167</v>
      </c>
      <c r="F88" s="138">
        <v>50713028</v>
      </c>
      <c r="G88" s="138">
        <v>28060239</v>
      </c>
      <c r="H88" s="138">
        <v>35291533</v>
      </c>
      <c r="I88" s="138">
        <v>15421495</v>
      </c>
      <c r="J88" s="138">
        <v>424763</v>
      </c>
      <c r="K88" s="138">
        <v>1725141</v>
      </c>
      <c r="L88" s="93">
        <f t="shared" si="20"/>
        <v>13120928</v>
      </c>
      <c r="M88" s="94">
        <f t="shared" si="27"/>
        <v>1.4675985831767149</v>
      </c>
      <c r="N88" s="94">
        <f t="shared" si="21"/>
        <v>0.69590664158330284</v>
      </c>
      <c r="O88" s="94">
        <f t="shared" si="22"/>
        <v>0.24621929453882321</v>
      </c>
      <c r="P88" s="94">
        <f t="shared" si="15"/>
        <v>2.7543568246788008E-2</v>
      </c>
      <c r="Q88" s="94">
        <f t="shared" si="23"/>
        <v>8.3758161709452644E-3</v>
      </c>
      <c r="R88" s="117" t="str">
        <f t="shared" si="24"/>
        <v>SI</v>
      </c>
      <c r="S88" s="117" t="str">
        <f t="shared" si="25"/>
        <v>NO</v>
      </c>
      <c r="T88" s="117" t="str">
        <f t="shared" si="16"/>
        <v>SI</v>
      </c>
      <c r="U88" s="117" t="str">
        <f t="shared" si="17"/>
        <v>NO</v>
      </c>
      <c r="V88" s="117" t="str">
        <f t="shared" si="18"/>
        <v>NO</v>
      </c>
      <c r="W88" s="117" t="str">
        <f t="shared" si="19"/>
        <v>NO</v>
      </c>
      <c r="X88" s="132" t="b">
        <f t="shared" si="26"/>
        <v>0</v>
      </c>
    </row>
    <row r="89" spans="1:24" s="2" customFormat="1" ht="12" x14ac:dyDescent="0.15">
      <c r="A89" s="125" t="s">
        <v>87</v>
      </c>
      <c r="B89" s="139">
        <v>900896981</v>
      </c>
      <c r="C89" s="137" t="s">
        <v>190</v>
      </c>
      <c r="D89" s="137" t="s">
        <v>531</v>
      </c>
      <c r="E89" s="138">
        <v>60110279</v>
      </c>
      <c r="F89" s="138">
        <v>71157564</v>
      </c>
      <c r="G89" s="138">
        <v>17473260</v>
      </c>
      <c r="H89" s="138">
        <v>41919586</v>
      </c>
      <c r="I89" s="138">
        <v>29237978</v>
      </c>
      <c r="J89" s="138">
        <v>4150079</v>
      </c>
      <c r="K89" s="138">
        <v>466475</v>
      </c>
      <c r="L89" s="93">
        <f t="shared" si="20"/>
        <v>42637019</v>
      </c>
      <c r="M89" s="94">
        <f t="shared" si="27"/>
        <v>3.4401296037488138</v>
      </c>
      <c r="N89" s="94">
        <f t="shared" si="21"/>
        <v>0.58910934612657617</v>
      </c>
      <c r="O89" s="94"/>
      <c r="P89" s="94">
        <f t="shared" si="15"/>
        <v>0.14194138185615982</v>
      </c>
      <c r="Q89" s="94">
        <f t="shared" si="23"/>
        <v>5.8322387202574835E-2</v>
      </c>
      <c r="R89" s="117" t="str">
        <f t="shared" si="24"/>
        <v>SI</v>
      </c>
      <c r="S89" s="117" t="str">
        <f t="shared" si="25"/>
        <v>SI</v>
      </c>
      <c r="T89" s="117" t="str">
        <f t="shared" si="16"/>
        <v>SI</v>
      </c>
      <c r="U89" s="117" t="str">
        <f t="shared" si="17"/>
        <v>NO</v>
      </c>
      <c r="V89" s="117" t="str">
        <f t="shared" si="18"/>
        <v>NO</v>
      </c>
      <c r="W89" s="117" t="str">
        <f t="shared" si="19"/>
        <v>NO</v>
      </c>
      <c r="X89" s="132" t="b">
        <f t="shared" si="26"/>
        <v>0</v>
      </c>
    </row>
    <row r="90" spans="1:24" s="2" customFormat="1" ht="12" x14ac:dyDescent="0.15">
      <c r="A90" s="125" t="s">
        <v>87</v>
      </c>
      <c r="B90" s="139">
        <v>900958202</v>
      </c>
      <c r="C90" s="137" t="s">
        <v>191</v>
      </c>
      <c r="D90" s="137" t="s">
        <v>531</v>
      </c>
      <c r="E90" s="138">
        <v>57746577</v>
      </c>
      <c r="F90" s="138">
        <v>60444676</v>
      </c>
      <c r="G90" s="138">
        <v>17754049</v>
      </c>
      <c r="H90" s="138">
        <v>36108183</v>
      </c>
      <c r="I90" s="138">
        <v>24336493</v>
      </c>
      <c r="J90" s="138">
        <v>6815080</v>
      </c>
      <c r="K90" s="138">
        <v>3977750</v>
      </c>
      <c r="L90" s="93">
        <f t="shared" si="20"/>
        <v>39992528</v>
      </c>
      <c r="M90" s="94">
        <f t="shared" si="27"/>
        <v>3.2525863255193226</v>
      </c>
      <c r="N90" s="94">
        <f t="shared" si="21"/>
        <v>0.59737573909735242</v>
      </c>
      <c r="O90" s="94">
        <f t="shared" si="22"/>
        <v>1.7133002325435234</v>
      </c>
      <c r="P90" s="94">
        <f t="shared" si="15"/>
        <v>0.28003541841464175</v>
      </c>
      <c r="Q90" s="94">
        <f t="shared" si="23"/>
        <v>0.1127490533657588</v>
      </c>
      <c r="R90" s="117" t="str">
        <f t="shared" si="24"/>
        <v>SI</v>
      </c>
      <c r="S90" s="117" t="str">
        <f t="shared" si="25"/>
        <v>SI</v>
      </c>
      <c r="T90" s="117" t="str">
        <f t="shared" si="16"/>
        <v>SI</v>
      </c>
      <c r="U90" s="117" t="str">
        <f t="shared" si="17"/>
        <v>SI</v>
      </c>
      <c r="V90" s="117" t="str">
        <f t="shared" si="18"/>
        <v>SI</v>
      </c>
      <c r="W90" s="117" t="str">
        <f t="shared" si="19"/>
        <v>SI</v>
      </c>
      <c r="X90" s="132" t="str">
        <f t="shared" si="26"/>
        <v>SI</v>
      </c>
    </row>
    <row r="91" spans="1:24" s="2" customFormat="1" ht="12" x14ac:dyDescent="0.15">
      <c r="A91" s="125" t="s">
        <v>87</v>
      </c>
      <c r="B91" s="139">
        <v>900961620</v>
      </c>
      <c r="C91" s="137" t="s">
        <v>192</v>
      </c>
      <c r="D91" s="137" t="s">
        <v>531</v>
      </c>
      <c r="E91" s="138">
        <v>45467330</v>
      </c>
      <c r="F91" s="138">
        <v>48062622</v>
      </c>
      <c r="G91" s="138">
        <v>32851216</v>
      </c>
      <c r="H91" s="138">
        <v>32982601</v>
      </c>
      <c r="I91" s="138">
        <v>15080021</v>
      </c>
      <c r="J91" s="138">
        <v>2081116</v>
      </c>
      <c r="K91" s="138">
        <v>77050</v>
      </c>
      <c r="L91" s="93">
        <f t="shared" si="20"/>
        <v>12616114</v>
      </c>
      <c r="M91" s="94">
        <f t="shared" si="27"/>
        <v>1.3840379607257156</v>
      </c>
      <c r="N91" s="94">
        <f t="shared" si="21"/>
        <v>0.68624223206133028</v>
      </c>
      <c r="O91" s="94"/>
      <c r="P91" s="94">
        <f t="shared" si="15"/>
        <v>0.13800484760598145</v>
      </c>
      <c r="Q91" s="94">
        <f t="shared" si="23"/>
        <v>4.3300092949569005E-2</v>
      </c>
      <c r="R91" s="117" t="str">
        <f t="shared" si="24"/>
        <v>SI</v>
      </c>
      <c r="S91" s="117" t="str">
        <f t="shared" si="25"/>
        <v>NO</v>
      </c>
      <c r="T91" s="117" t="str">
        <f t="shared" si="16"/>
        <v>SI</v>
      </c>
      <c r="U91" s="117" t="str">
        <f t="shared" si="17"/>
        <v>NO</v>
      </c>
      <c r="V91" s="117" t="str">
        <f t="shared" si="18"/>
        <v>NO</v>
      </c>
      <c r="W91" s="117" t="str">
        <f t="shared" si="19"/>
        <v>NO</v>
      </c>
      <c r="X91" s="132" t="b">
        <f t="shared" si="26"/>
        <v>0</v>
      </c>
    </row>
    <row r="92" spans="1:24" s="2" customFormat="1" ht="12" x14ac:dyDescent="0.15">
      <c r="A92" s="125" t="s">
        <v>87</v>
      </c>
      <c r="B92" s="139">
        <v>901117560</v>
      </c>
      <c r="C92" s="137" t="s">
        <v>193</v>
      </c>
      <c r="D92" s="137" t="s">
        <v>531</v>
      </c>
      <c r="E92" s="138">
        <v>24261354</v>
      </c>
      <c r="F92" s="138">
        <v>27779740</v>
      </c>
      <c r="G92" s="138">
        <v>7718797</v>
      </c>
      <c r="H92" s="138">
        <v>8915942</v>
      </c>
      <c r="I92" s="138">
        <v>18863798</v>
      </c>
      <c r="J92" s="138">
        <v>-3563950</v>
      </c>
      <c r="K92" s="138">
        <v>542137</v>
      </c>
      <c r="L92" s="93">
        <f t="shared" si="20"/>
        <v>16542557</v>
      </c>
      <c r="M92" s="94">
        <f t="shared" si="27"/>
        <v>3.1431522295507968</v>
      </c>
      <c r="N92" s="94">
        <f t="shared" si="21"/>
        <v>0.32095124000440611</v>
      </c>
      <c r="O92" s="94"/>
      <c r="P92" s="94">
        <f t="shared" si="15"/>
        <v>-0.18893067027117233</v>
      </c>
      <c r="Q92" s="94">
        <f t="shared" si="23"/>
        <v>-0.12829313737277598</v>
      </c>
      <c r="R92" s="117" t="str">
        <f t="shared" si="24"/>
        <v>SI</v>
      </c>
      <c r="S92" s="117" t="str">
        <f t="shared" si="25"/>
        <v>SI</v>
      </c>
      <c r="T92" s="117" t="str">
        <f t="shared" si="16"/>
        <v>SI</v>
      </c>
      <c r="U92" s="117" t="str">
        <f t="shared" si="17"/>
        <v>NO</v>
      </c>
      <c r="V92" s="117" t="str">
        <f t="shared" si="18"/>
        <v>NO</v>
      </c>
      <c r="W92" s="117" t="str">
        <f t="shared" si="19"/>
        <v>NO</v>
      </c>
      <c r="X92" s="132" t="b">
        <f t="shared" si="26"/>
        <v>0</v>
      </c>
    </row>
    <row r="93" spans="1:24" s="2" customFormat="1" ht="12" x14ac:dyDescent="0.15">
      <c r="A93" s="125" t="s">
        <v>87</v>
      </c>
      <c r="B93" s="139">
        <v>901123428</v>
      </c>
      <c r="C93" s="137" t="s">
        <v>194</v>
      </c>
      <c r="D93" s="137" t="s">
        <v>531</v>
      </c>
      <c r="E93" s="138">
        <v>92703186</v>
      </c>
      <c r="F93" s="138">
        <v>121997786</v>
      </c>
      <c r="G93" s="138">
        <v>117996964</v>
      </c>
      <c r="H93" s="138">
        <v>117996964</v>
      </c>
      <c r="I93" s="138">
        <v>4000822</v>
      </c>
      <c r="J93" s="138">
        <v>-5161103</v>
      </c>
      <c r="K93" s="138">
        <v>13417</v>
      </c>
      <c r="L93" s="93">
        <f t="shared" si="20"/>
        <v>-25293778</v>
      </c>
      <c r="M93" s="94">
        <f t="shared" si="27"/>
        <v>0.78564043393523242</v>
      </c>
      <c r="N93" s="94">
        <f t="shared" si="21"/>
        <v>0.96720578191476358</v>
      </c>
      <c r="O93" s="94"/>
      <c r="P93" s="94">
        <f t="shared" si="15"/>
        <v>-1.2900106528108475</v>
      </c>
      <c r="Q93" s="94">
        <f t="shared" si="23"/>
        <v>-4.2304890680557102E-2</v>
      </c>
      <c r="R93" s="117" t="str">
        <f t="shared" si="24"/>
        <v>NO</v>
      </c>
      <c r="S93" s="117" t="str">
        <f t="shared" si="25"/>
        <v>NO</v>
      </c>
      <c r="T93" s="117" t="str">
        <f t="shared" si="16"/>
        <v>SI</v>
      </c>
      <c r="U93" s="117" t="str">
        <f t="shared" si="17"/>
        <v>NO</v>
      </c>
      <c r="V93" s="117" t="str">
        <f t="shared" si="18"/>
        <v>NO</v>
      </c>
      <c r="W93" s="117" t="str">
        <f t="shared" si="19"/>
        <v>NO</v>
      </c>
      <c r="X93" s="132" t="b">
        <f t="shared" si="26"/>
        <v>0</v>
      </c>
    </row>
    <row r="94" spans="1:24" s="2" customFormat="1" ht="12" x14ac:dyDescent="0.15">
      <c r="A94" s="125" t="s">
        <v>87</v>
      </c>
      <c r="B94" s="139">
        <v>901239290</v>
      </c>
      <c r="C94" s="137" t="s">
        <v>195</v>
      </c>
      <c r="D94" s="137" t="s">
        <v>531</v>
      </c>
      <c r="E94" s="138">
        <v>50750750</v>
      </c>
      <c r="F94" s="138">
        <v>69296262</v>
      </c>
      <c r="G94" s="138">
        <v>18334201</v>
      </c>
      <c r="H94" s="138">
        <v>18451282</v>
      </c>
      <c r="I94" s="138">
        <v>50844980</v>
      </c>
      <c r="J94" s="138">
        <v>1620524</v>
      </c>
      <c r="K94" s="138"/>
      <c r="L94" s="93">
        <f t="shared" si="20"/>
        <v>32416549</v>
      </c>
      <c r="M94" s="94">
        <f t="shared" si="27"/>
        <v>2.7680917210409115</v>
      </c>
      <c r="N94" s="94">
        <f t="shared" si="21"/>
        <v>0.26626662777279386</v>
      </c>
      <c r="O94" s="94" t="s">
        <v>108</v>
      </c>
      <c r="P94" s="94">
        <f t="shared" si="15"/>
        <v>3.1871858342750845E-2</v>
      </c>
      <c r="Q94" s="94">
        <f t="shared" si="23"/>
        <v>2.3385446100974393E-2</v>
      </c>
      <c r="R94" s="117" t="str">
        <f t="shared" si="24"/>
        <v>SI</v>
      </c>
      <c r="S94" s="117" t="str">
        <f t="shared" si="25"/>
        <v>SI</v>
      </c>
      <c r="T94" s="117" t="str">
        <f t="shared" si="16"/>
        <v>SI</v>
      </c>
      <c r="U94" s="117" t="str">
        <f t="shared" si="17"/>
        <v>SI</v>
      </c>
      <c r="V94" s="117" t="str">
        <f t="shared" si="18"/>
        <v>NO</v>
      </c>
      <c r="W94" s="117" t="str">
        <f t="shared" si="19"/>
        <v>NO</v>
      </c>
      <c r="X94" s="132" t="b">
        <f t="shared" si="26"/>
        <v>0</v>
      </c>
    </row>
    <row r="95" spans="1:24" s="2" customFormat="1" ht="12" x14ac:dyDescent="0.15">
      <c r="A95" s="125" t="s">
        <v>87</v>
      </c>
      <c r="B95" s="139">
        <v>901274344</v>
      </c>
      <c r="C95" s="137" t="s">
        <v>196</v>
      </c>
      <c r="D95" s="137" t="s">
        <v>531</v>
      </c>
      <c r="E95" s="138">
        <v>8654865</v>
      </c>
      <c r="F95" s="138">
        <v>9569265</v>
      </c>
      <c r="G95" s="138">
        <v>6884858</v>
      </c>
      <c r="H95" s="138">
        <v>6884858</v>
      </c>
      <c r="I95" s="138">
        <v>2684407</v>
      </c>
      <c r="J95" s="138">
        <v>879699</v>
      </c>
      <c r="K95" s="138"/>
      <c r="L95" s="93">
        <f t="shared" si="20"/>
        <v>1770007</v>
      </c>
      <c r="M95" s="94">
        <f t="shared" si="27"/>
        <v>1.2570869290259872</v>
      </c>
      <c r="N95" s="94">
        <f t="shared" si="21"/>
        <v>0.7194761562147145</v>
      </c>
      <c r="O95" s="94" t="s">
        <v>108</v>
      </c>
      <c r="P95" s="94">
        <f t="shared" si="15"/>
        <v>0.32770701313176431</v>
      </c>
      <c r="Q95" s="94">
        <f t="shared" si="23"/>
        <v>9.1929630959117548E-2</v>
      </c>
      <c r="R95" s="117" t="str">
        <f t="shared" si="24"/>
        <v>SI</v>
      </c>
      <c r="S95" s="117" t="str">
        <f t="shared" si="25"/>
        <v>NO</v>
      </c>
      <c r="T95" s="117" t="str">
        <f t="shared" si="16"/>
        <v>SI</v>
      </c>
      <c r="U95" s="117" t="str">
        <f t="shared" si="17"/>
        <v>SI</v>
      </c>
      <c r="V95" s="117" t="str">
        <f t="shared" si="18"/>
        <v>SI</v>
      </c>
      <c r="W95" s="117" t="str">
        <f t="shared" si="19"/>
        <v>SI</v>
      </c>
      <c r="X95" s="132" t="b">
        <f t="shared" si="26"/>
        <v>0</v>
      </c>
    </row>
    <row r="96" spans="1:24" s="2" customFormat="1" ht="12" x14ac:dyDescent="0.15">
      <c r="A96" s="125" t="s">
        <v>87</v>
      </c>
      <c r="B96" s="139">
        <v>901318588</v>
      </c>
      <c r="C96" s="137" t="s">
        <v>197</v>
      </c>
      <c r="D96" s="137" t="s">
        <v>531</v>
      </c>
      <c r="E96" s="138">
        <v>25216206</v>
      </c>
      <c r="F96" s="138">
        <v>25572417</v>
      </c>
      <c r="G96" s="138">
        <v>16527693</v>
      </c>
      <c r="H96" s="138">
        <v>16690682</v>
      </c>
      <c r="I96" s="138">
        <v>8881735</v>
      </c>
      <c r="J96" s="138">
        <v>2330958</v>
      </c>
      <c r="K96" s="138">
        <v>505715</v>
      </c>
      <c r="L96" s="93">
        <f t="shared" si="20"/>
        <v>8688513</v>
      </c>
      <c r="M96" s="94">
        <f t="shared" si="27"/>
        <v>1.5256942393593589</v>
      </c>
      <c r="N96" s="94">
        <f t="shared" si="21"/>
        <v>0.65268300606860896</v>
      </c>
      <c r="O96" s="94"/>
      <c r="P96" s="94">
        <f t="shared" si="15"/>
        <v>0.26244399320628231</v>
      </c>
      <c r="Q96" s="94">
        <f t="shared" si="23"/>
        <v>9.1151258795756376E-2</v>
      </c>
      <c r="R96" s="117" t="str">
        <f t="shared" si="24"/>
        <v>SI</v>
      </c>
      <c r="S96" s="117" t="str">
        <f t="shared" si="25"/>
        <v>NO</v>
      </c>
      <c r="T96" s="117" t="str">
        <f t="shared" si="16"/>
        <v>SI</v>
      </c>
      <c r="U96" s="117" t="str">
        <f t="shared" si="17"/>
        <v>NO</v>
      </c>
      <c r="V96" s="117" t="str">
        <f t="shared" si="18"/>
        <v>SI</v>
      </c>
      <c r="W96" s="117" t="str">
        <f t="shared" si="19"/>
        <v>SI</v>
      </c>
      <c r="X96" s="132" t="b">
        <f t="shared" si="26"/>
        <v>0</v>
      </c>
    </row>
    <row r="97" spans="1:24" s="2" customFormat="1" ht="12" x14ac:dyDescent="0.15">
      <c r="A97" s="125" t="s">
        <v>87</v>
      </c>
      <c r="B97" s="139">
        <v>901341011</v>
      </c>
      <c r="C97" s="137" t="s">
        <v>198</v>
      </c>
      <c r="D97" s="137" t="s">
        <v>531</v>
      </c>
      <c r="E97" s="138">
        <v>17060684</v>
      </c>
      <c r="F97" s="138">
        <v>18866202</v>
      </c>
      <c r="G97" s="138">
        <v>10416544</v>
      </c>
      <c r="H97" s="138">
        <v>11293833</v>
      </c>
      <c r="I97" s="138">
        <v>7572369</v>
      </c>
      <c r="J97" s="138">
        <v>782949</v>
      </c>
      <c r="K97" s="138"/>
      <c r="L97" s="93">
        <f t="shared" si="20"/>
        <v>6644140</v>
      </c>
      <c r="M97" s="94">
        <f t="shared" si="27"/>
        <v>1.637844951262146</v>
      </c>
      <c r="N97" s="94">
        <f t="shared" si="21"/>
        <v>0.59862780012638472</v>
      </c>
      <c r="O97" s="94" t="s">
        <v>108</v>
      </c>
      <c r="P97" s="94">
        <f t="shared" si="15"/>
        <v>0.10339551598713692</v>
      </c>
      <c r="Q97" s="94">
        <f t="shared" si="23"/>
        <v>4.1500085708824699E-2</v>
      </c>
      <c r="R97" s="117" t="str">
        <f t="shared" si="24"/>
        <v>SI</v>
      </c>
      <c r="S97" s="117" t="str">
        <f t="shared" si="25"/>
        <v>NO</v>
      </c>
      <c r="T97" s="117" t="str">
        <f t="shared" si="16"/>
        <v>SI</v>
      </c>
      <c r="U97" s="117" t="str">
        <f t="shared" si="17"/>
        <v>SI</v>
      </c>
      <c r="V97" s="117" t="str">
        <f t="shared" si="18"/>
        <v>NO</v>
      </c>
      <c r="W97" s="117" t="str">
        <f t="shared" si="19"/>
        <v>NO</v>
      </c>
      <c r="X97" s="132" t="b">
        <f t="shared" si="26"/>
        <v>0</v>
      </c>
    </row>
    <row r="98" spans="1:24" s="2" customFormat="1" ht="12" x14ac:dyDescent="0.15">
      <c r="A98" s="125" t="s">
        <v>87</v>
      </c>
      <c r="B98" s="139">
        <v>800002030</v>
      </c>
      <c r="C98" s="137" t="s">
        <v>199</v>
      </c>
      <c r="D98" s="137" t="s">
        <v>531</v>
      </c>
      <c r="E98" s="138">
        <v>21979451</v>
      </c>
      <c r="F98" s="138">
        <v>22930028</v>
      </c>
      <c r="G98" s="138">
        <v>7236571</v>
      </c>
      <c r="H98" s="138">
        <v>7439173</v>
      </c>
      <c r="I98" s="138">
        <v>15490855</v>
      </c>
      <c r="J98" s="138">
        <v>1421549</v>
      </c>
      <c r="K98" s="138">
        <v>329843</v>
      </c>
      <c r="L98" s="93">
        <f t="shared" si="20"/>
        <v>14742880</v>
      </c>
      <c r="M98" s="94"/>
      <c r="N98" s="94">
        <f t="shared" si="21"/>
        <v>0.32442930292104311</v>
      </c>
      <c r="O98" s="94"/>
      <c r="P98" s="94">
        <f t="shared" si="15"/>
        <v>9.1766981228602301E-2</v>
      </c>
      <c r="Q98" s="94">
        <f t="shared" si="23"/>
        <v>6.1995083477438408E-2</v>
      </c>
      <c r="R98" s="117" t="str">
        <f t="shared" si="24"/>
        <v>SI</v>
      </c>
      <c r="S98" s="117" t="str">
        <f t="shared" si="25"/>
        <v>NO</v>
      </c>
      <c r="T98" s="117" t="str">
        <f t="shared" si="16"/>
        <v>SI</v>
      </c>
      <c r="U98" s="117" t="str">
        <f t="shared" si="17"/>
        <v>NO</v>
      </c>
      <c r="V98" s="117" t="str">
        <f t="shared" si="18"/>
        <v>NO</v>
      </c>
      <c r="W98" s="117" t="str">
        <f t="shared" si="19"/>
        <v>NO</v>
      </c>
      <c r="X98" s="132" t="b">
        <f t="shared" si="26"/>
        <v>0</v>
      </c>
    </row>
    <row r="99" spans="1:24" s="2" customFormat="1" ht="12" x14ac:dyDescent="0.15">
      <c r="A99" s="125" t="s">
        <v>87</v>
      </c>
      <c r="B99" s="139">
        <v>800002482</v>
      </c>
      <c r="C99" s="137" t="s">
        <v>200</v>
      </c>
      <c r="D99" s="137" t="s">
        <v>531</v>
      </c>
      <c r="E99" s="138">
        <v>66355841</v>
      </c>
      <c r="F99" s="138">
        <v>74694737</v>
      </c>
      <c r="G99" s="138">
        <v>39456658</v>
      </c>
      <c r="H99" s="138">
        <v>43214271</v>
      </c>
      <c r="I99" s="138">
        <v>31480466</v>
      </c>
      <c r="J99" s="138">
        <v>14217289</v>
      </c>
      <c r="K99" s="138">
        <v>3738230</v>
      </c>
      <c r="L99" s="93">
        <f t="shared" si="20"/>
        <v>26899183</v>
      </c>
      <c r="M99" s="94">
        <f t="shared" si="27"/>
        <v>1.6817400247126859</v>
      </c>
      <c r="N99" s="94">
        <f t="shared" si="21"/>
        <v>0.57854505866993011</v>
      </c>
      <c r="O99" s="94"/>
      <c r="P99" s="94">
        <f t="shared" si="15"/>
        <v>0.45162257127959921</v>
      </c>
      <c r="Q99" s="94">
        <f t="shared" si="23"/>
        <v>0.19033856428197879</v>
      </c>
      <c r="R99" s="117" t="str">
        <f t="shared" si="24"/>
        <v>SI</v>
      </c>
      <c r="S99" s="117" t="str">
        <f t="shared" si="25"/>
        <v>NO</v>
      </c>
      <c r="T99" s="117" t="str">
        <f t="shared" si="16"/>
        <v>SI</v>
      </c>
      <c r="U99" s="117" t="str">
        <f t="shared" si="17"/>
        <v>NO</v>
      </c>
      <c r="V99" s="117" t="str">
        <f t="shared" si="18"/>
        <v>SI</v>
      </c>
      <c r="W99" s="117" t="str">
        <f t="shared" si="19"/>
        <v>SI</v>
      </c>
      <c r="X99" s="132" t="b">
        <f t="shared" si="26"/>
        <v>0</v>
      </c>
    </row>
    <row r="100" spans="1:24" s="2" customFormat="1" ht="12" x14ac:dyDescent="0.15">
      <c r="A100" s="125" t="s">
        <v>87</v>
      </c>
      <c r="B100" s="139">
        <v>800127132</v>
      </c>
      <c r="C100" s="137" t="s">
        <v>201</v>
      </c>
      <c r="D100" s="137" t="s">
        <v>531</v>
      </c>
      <c r="E100" s="138">
        <v>98685365</v>
      </c>
      <c r="F100" s="138">
        <v>112510023</v>
      </c>
      <c r="G100" s="138">
        <v>21332363</v>
      </c>
      <c r="H100" s="138">
        <v>21942988</v>
      </c>
      <c r="I100" s="138">
        <v>90567035</v>
      </c>
      <c r="J100" s="138">
        <v>25910177</v>
      </c>
      <c r="K100" s="138">
        <v>390143</v>
      </c>
      <c r="L100" s="93">
        <f t="shared" si="20"/>
        <v>77353002</v>
      </c>
      <c r="M100" s="94"/>
      <c r="N100" s="94">
        <f t="shared" si="21"/>
        <v>0.19503140622413703</v>
      </c>
      <c r="O100" s="94"/>
      <c r="P100" s="94">
        <f t="shared" si="15"/>
        <v>0.28608838745797521</v>
      </c>
      <c r="Q100" s="94">
        <f t="shared" si="23"/>
        <v>0.23029216694765053</v>
      </c>
      <c r="R100" s="117" t="str">
        <f t="shared" si="24"/>
        <v>SI</v>
      </c>
      <c r="S100" s="117" t="str">
        <f t="shared" si="25"/>
        <v>NO</v>
      </c>
      <c r="T100" s="117" t="str">
        <f t="shared" si="16"/>
        <v>SI</v>
      </c>
      <c r="U100" s="117" t="str">
        <f t="shared" si="17"/>
        <v>NO</v>
      </c>
      <c r="V100" s="117" t="str">
        <f t="shared" si="18"/>
        <v>SI</v>
      </c>
      <c r="W100" s="117" t="str">
        <f t="shared" si="19"/>
        <v>SI</v>
      </c>
      <c r="X100" s="132" t="b">
        <f t="shared" si="26"/>
        <v>0</v>
      </c>
    </row>
    <row r="101" spans="1:24" s="2" customFormat="1" ht="12" x14ac:dyDescent="0.15">
      <c r="A101" s="125" t="s">
        <v>87</v>
      </c>
      <c r="B101" s="139">
        <v>805017133</v>
      </c>
      <c r="C101" s="137" t="s">
        <v>202</v>
      </c>
      <c r="D101" s="137" t="s">
        <v>531</v>
      </c>
      <c r="E101" s="138">
        <v>53551037</v>
      </c>
      <c r="F101" s="138">
        <v>60926516</v>
      </c>
      <c r="G101" s="138">
        <v>37876755</v>
      </c>
      <c r="H101" s="138">
        <v>52133350</v>
      </c>
      <c r="I101" s="138">
        <v>8793166</v>
      </c>
      <c r="J101" s="138">
        <v>9993112</v>
      </c>
      <c r="K101" s="138">
        <v>15338075</v>
      </c>
      <c r="L101" s="93">
        <f t="shared" si="20"/>
        <v>15674282</v>
      </c>
      <c r="M101" s="94">
        <f t="shared" si="27"/>
        <v>1.4138232538663884</v>
      </c>
      <c r="N101" s="94">
        <f t="shared" si="21"/>
        <v>0.85567587682184221</v>
      </c>
      <c r="O101" s="94">
        <f t="shared" si="22"/>
        <v>0.65152321917841716</v>
      </c>
      <c r="P101" s="94">
        <f t="shared" si="15"/>
        <v>1.1364634762951138</v>
      </c>
      <c r="Q101" s="94">
        <f t="shared" si="23"/>
        <v>0.16401909474029336</v>
      </c>
      <c r="R101" s="117" t="str">
        <f t="shared" si="24"/>
        <v>SI</v>
      </c>
      <c r="S101" s="117" t="str">
        <f t="shared" si="25"/>
        <v>NO</v>
      </c>
      <c r="T101" s="117" t="str">
        <f t="shared" si="16"/>
        <v>SI</v>
      </c>
      <c r="U101" s="117" t="str">
        <f t="shared" si="17"/>
        <v>NO</v>
      </c>
      <c r="V101" s="117" t="str">
        <f t="shared" si="18"/>
        <v>SI</v>
      </c>
      <c r="W101" s="117" t="str">
        <f t="shared" si="19"/>
        <v>SI</v>
      </c>
      <c r="X101" s="132" t="b">
        <f t="shared" si="26"/>
        <v>0</v>
      </c>
    </row>
    <row r="102" spans="1:24" s="2" customFormat="1" ht="12" x14ac:dyDescent="0.15">
      <c r="A102" s="125" t="s">
        <v>87</v>
      </c>
      <c r="B102" s="139">
        <v>805031746</v>
      </c>
      <c r="C102" s="137" t="s">
        <v>203</v>
      </c>
      <c r="D102" s="137" t="s">
        <v>531</v>
      </c>
      <c r="E102" s="138">
        <v>5126</v>
      </c>
      <c r="F102" s="138">
        <v>20769009</v>
      </c>
      <c r="G102" s="138">
        <v>12754</v>
      </c>
      <c r="H102" s="138">
        <v>27132</v>
      </c>
      <c r="I102" s="138">
        <v>20741877</v>
      </c>
      <c r="J102" s="138">
        <v>-11609</v>
      </c>
      <c r="K102" s="138"/>
      <c r="L102" s="93">
        <f t="shared" si="20"/>
        <v>-7628</v>
      </c>
      <c r="M102" s="94">
        <f t="shared" si="27"/>
        <v>0.4019131252940254</v>
      </c>
      <c r="N102" s="94">
        <f t="shared" si="21"/>
        <v>1.3063695046788221E-3</v>
      </c>
      <c r="O102" s="94" t="s">
        <v>108</v>
      </c>
      <c r="P102" s="94">
        <f t="shared" si="15"/>
        <v>-5.5968898089599119E-4</v>
      </c>
      <c r="Q102" s="94">
        <f t="shared" si="23"/>
        <v>-5.5895782027924395E-4</v>
      </c>
      <c r="R102" s="117" t="str">
        <f t="shared" si="24"/>
        <v>NO</v>
      </c>
      <c r="S102" s="117" t="str">
        <f t="shared" si="25"/>
        <v>NO</v>
      </c>
      <c r="T102" s="117" t="str">
        <f t="shared" si="16"/>
        <v>SI</v>
      </c>
      <c r="U102" s="117" t="str">
        <f t="shared" si="17"/>
        <v>SI</v>
      </c>
      <c r="V102" s="117" t="str">
        <f t="shared" si="18"/>
        <v>NO</v>
      </c>
      <c r="W102" s="117" t="str">
        <f t="shared" si="19"/>
        <v>NO</v>
      </c>
      <c r="X102" s="132" t="b">
        <f t="shared" si="26"/>
        <v>0</v>
      </c>
    </row>
    <row r="103" spans="1:24" s="2" customFormat="1" ht="12" x14ac:dyDescent="0.15">
      <c r="A103" s="125" t="s">
        <v>87</v>
      </c>
      <c r="B103" s="139">
        <v>811035407</v>
      </c>
      <c r="C103" s="137" t="s">
        <v>204</v>
      </c>
      <c r="D103" s="137" t="s">
        <v>531</v>
      </c>
      <c r="E103" s="138">
        <v>64319598</v>
      </c>
      <c r="F103" s="138">
        <v>79706047</v>
      </c>
      <c r="G103" s="138">
        <v>29559470</v>
      </c>
      <c r="H103" s="138">
        <v>33501596</v>
      </c>
      <c r="I103" s="138">
        <v>46204451</v>
      </c>
      <c r="J103" s="138">
        <v>5897210</v>
      </c>
      <c r="K103" s="138">
        <v>3162866</v>
      </c>
      <c r="L103" s="93">
        <f t="shared" si="20"/>
        <v>34760128</v>
      </c>
      <c r="M103" s="94">
        <f t="shared" si="27"/>
        <v>2.1759388108108841</v>
      </c>
      <c r="N103" s="94">
        <f t="shared" si="21"/>
        <v>0.42031435833218528</v>
      </c>
      <c r="O103" s="94">
        <f t="shared" si="22"/>
        <v>1.8645146522173244</v>
      </c>
      <c r="P103" s="94">
        <f t="shared" si="15"/>
        <v>0.12763294168347547</v>
      </c>
      <c r="Q103" s="94">
        <f t="shared" si="23"/>
        <v>7.3986983697736264E-2</v>
      </c>
      <c r="R103" s="117" t="str">
        <f t="shared" si="24"/>
        <v>SI</v>
      </c>
      <c r="S103" s="117" t="str">
        <f t="shared" si="25"/>
        <v>SI</v>
      </c>
      <c r="T103" s="117" t="str">
        <f t="shared" si="16"/>
        <v>SI</v>
      </c>
      <c r="U103" s="117" t="str">
        <f t="shared" si="17"/>
        <v>SI</v>
      </c>
      <c r="V103" s="117" t="str">
        <f t="shared" si="18"/>
        <v>NO</v>
      </c>
      <c r="W103" s="117" t="str">
        <f t="shared" si="19"/>
        <v>NO</v>
      </c>
      <c r="X103" s="132" t="b">
        <f t="shared" si="26"/>
        <v>0</v>
      </c>
    </row>
    <row r="104" spans="1:24" s="2" customFormat="1" ht="12" x14ac:dyDescent="0.15">
      <c r="A104" s="125" t="s">
        <v>87</v>
      </c>
      <c r="B104" s="139">
        <v>811041784</v>
      </c>
      <c r="C104" s="137" t="s">
        <v>205</v>
      </c>
      <c r="D104" s="137" t="s">
        <v>531</v>
      </c>
      <c r="E104" s="138">
        <v>68469191</v>
      </c>
      <c r="F104" s="138">
        <v>75909595</v>
      </c>
      <c r="G104" s="138">
        <v>29185257</v>
      </c>
      <c r="H104" s="138">
        <v>29401676</v>
      </c>
      <c r="I104" s="138">
        <v>46507919</v>
      </c>
      <c r="J104" s="138">
        <v>27129975</v>
      </c>
      <c r="K104" s="138">
        <v>15079831</v>
      </c>
      <c r="L104" s="93">
        <f t="shared" si="20"/>
        <v>39283934</v>
      </c>
      <c r="M104" s="94">
        <f t="shared" si="27"/>
        <v>2.3460198071923779</v>
      </c>
      <c r="N104" s="94">
        <f t="shared" si="21"/>
        <v>0.38732489614784532</v>
      </c>
      <c r="O104" s="94">
        <f t="shared" si="22"/>
        <v>1.7990901224290909</v>
      </c>
      <c r="P104" s="94">
        <f t="shared" si="15"/>
        <v>0.58334097898467574</v>
      </c>
      <c r="Q104" s="94">
        <f t="shared" si="23"/>
        <v>0.35739849488065378</v>
      </c>
      <c r="R104" s="117" t="str">
        <f t="shared" si="24"/>
        <v>SI</v>
      </c>
      <c r="S104" s="117" t="str">
        <f t="shared" si="25"/>
        <v>SI</v>
      </c>
      <c r="T104" s="117" t="str">
        <f t="shared" si="16"/>
        <v>SI</v>
      </c>
      <c r="U104" s="117" t="str">
        <f t="shared" si="17"/>
        <v>SI</v>
      </c>
      <c r="V104" s="117" t="str">
        <f t="shared" si="18"/>
        <v>SI</v>
      </c>
      <c r="W104" s="117" t="str">
        <f t="shared" si="19"/>
        <v>SI</v>
      </c>
      <c r="X104" s="132" t="str">
        <f t="shared" si="26"/>
        <v>SI</v>
      </c>
    </row>
    <row r="105" spans="1:24" s="2" customFormat="1" ht="12" x14ac:dyDescent="0.15">
      <c r="A105" s="125" t="s">
        <v>87</v>
      </c>
      <c r="B105" s="139">
        <v>830116807</v>
      </c>
      <c r="C105" s="137" t="s">
        <v>206</v>
      </c>
      <c r="D105" s="137" t="s">
        <v>531</v>
      </c>
      <c r="E105" s="138">
        <v>116337420</v>
      </c>
      <c r="F105" s="138">
        <v>153515880</v>
      </c>
      <c r="G105" s="138">
        <v>17936791</v>
      </c>
      <c r="H105" s="138">
        <v>85868592</v>
      </c>
      <c r="I105" s="138">
        <v>67647288</v>
      </c>
      <c r="J105" s="138">
        <v>14450891</v>
      </c>
      <c r="K105" s="138">
        <v>4514201</v>
      </c>
      <c r="L105" s="93">
        <f t="shared" si="20"/>
        <v>98400629</v>
      </c>
      <c r="M105" s="94"/>
      <c r="N105" s="94">
        <f t="shared" si="21"/>
        <v>0.55934664218450891</v>
      </c>
      <c r="O105" s="94">
        <f t="shared" si="22"/>
        <v>3.2012068137860941</v>
      </c>
      <c r="P105" s="94">
        <f t="shared" si="15"/>
        <v>0.21362114324523993</v>
      </c>
      <c r="Q105" s="94">
        <f t="shared" si="23"/>
        <v>9.4132874071399003E-2</v>
      </c>
      <c r="R105" s="117" t="str">
        <f t="shared" si="24"/>
        <v>SI</v>
      </c>
      <c r="S105" s="117" t="str">
        <f t="shared" si="25"/>
        <v>NO</v>
      </c>
      <c r="T105" s="117" t="str">
        <f t="shared" si="16"/>
        <v>SI</v>
      </c>
      <c r="U105" s="117" t="str">
        <f t="shared" si="17"/>
        <v>SI</v>
      </c>
      <c r="V105" s="117" t="str">
        <f t="shared" si="18"/>
        <v>SI</v>
      </c>
      <c r="W105" s="117" t="str">
        <f t="shared" si="19"/>
        <v>SI</v>
      </c>
      <c r="X105" s="132" t="b">
        <f t="shared" si="26"/>
        <v>0</v>
      </c>
    </row>
    <row r="106" spans="1:24" s="2" customFormat="1" ht="12" x14ac:dyDescent="0.15">
      <c r="A106" s="125" t="s">
        <v>87</v>
      </c>
      <c r="B106" s="139">
        <v>860350543</v>
      </c>
      <c r="C106" s="137" t="s">
        <v>207</v>
      </c>
      <c r="D106" s="137" t="s">
        <v>531</v>
      </c>
      <c r="E106" s="138">
        <v>97302848</v>
      </c>
      <c r="F106" s="138">
        <v>124235761</v>
      </c>
      <c r="G106" s="138">
        <v>22903136</v>
      </c>
      <c r="H106" s="138">
        <v>32455932</v>
      </c>
      <c r="I106" s="138">
        <v>91779829</v>
      </c>
      <c r="J106" s="138">
        <v>24810281</v>
      </c>
      <c r="K106" s="138">
        <v>565489</v>
      </c>
      <c r="L106" s="93">
        <f t="shared" si="20"/>
        <v>74399712</v>
      </c>
      <c r="M106" s="94"/>
      <c r="N106" s="94">
        <f t="shared" si="21"/>
        <v>0.26124468300234421</v>
      </c>
      <c r="O106" s="94"/>
      <c r="P106" s="94">
        <f t="shared" si="15"/>
        <v>0.27032389655029754</v>
      </c>
      <c r="Q106" s="94">
        <f t="shared" si="23"/>
        <v>0.19970321588805659</v>
      </c>
      <c r="R106" s="117" t="str">
        <f t="shared" si="24"/>
        <v>SI</v>
      </c>
      <c r="S106" s="117" t="str">
        <f t="shared" si="25"/>
        <v>NO</v>
      </c>
      <c r="T106" s="117" t="str">
        <f t="shared" si="16"/>
        <v>SI</v>
      </c>
      <c r="U106" s="117" t="str">
        <f t="shared" si="17"/>
        <v>NO</v>
      </c>
      <c r="V106" s="117" t="str">
        <f t="shared" si="18"/>
        <v>SI</v>
      </c>
      <c r="W106" s="117" t="str">
        <f t="shared" si="19"/>
        <v>SI</v>
      </c>
      <c r="X106" s="132" t="b">
        <f t="shared" si="26"/>
        <v>0</v>
      </c>
    </row>
    <row r="107" spans="1:24" s="2" customFormat="1" ht="12" x14ac:dyDescent="0.15">
      <c r="A107" s="125" t="s">
        <v>87</v>
      </c>
      <c r="B107" s="139">
        <v>890940259</v>
      </c>
      <c r="C107" s="137" t="s">
        <v>208</v>
      </c>
      <c r="D107" s="137" t="s">
        <v>531</v>
      </c>
      <c r="E107" s="138">
        <v>33047600</v>
      </c>
      <c r="F107" s="138">
        <v>36892738</v>
      </c>
      <c r="G107" s="138">
        <v>8825090</v>
      </c>
      <c r="H107" s="138">
        <v>8915931</v>
      </c>
      <c r="I107" s="138">
        <v>27976807</v>
      </c>
      <c r="J107" s="138">
        <v>10025046</v>
      </c>
      <c r="K107" s="138">
        <v>651177</v>
      </c>
      <c r="L107" s="93">
        <f t="shared" si="20"/>
        <v>24222510</v>
      </c>
      <c r="M107" s="94"/>
      <c r="N107" s="94">
        <f t="shared" si="21"/>
        <v>0.24167170785751926</v>
      </c>
      <c r="O107" s="94"/>
      <c r="P107" s="94">
        <f t="shared" si="15"/>
        <v>0.35833417301695653</v>
      </c>
      <c r="Q107" s="94">
        <f t="shared" si="23"/>
        <v>0.27173494144023685</v>
      </c>
      <c r="R107" s="117" t="str">
        <f t="shared" si="24"/>
        <v>SI</v>
      </c>
      <c r="S107" s="117" t="str">
        <f t="shared" si="25"/>
        <v>NO</v>
      </c>
      <c r="T107" s="117" t="str">
        <f t="shared" si="16"/>
        <v>SI</v>
      </c>
      <c r="U107" s="117" t="str">
        <f t="shared" si="17"/>
        <v>NO</v>
      </c>
      <c r="V107" s="117" t="str">
        <f t="shared" si="18"/>
        <v>SI</v>
      </c>
      <c r="W107" s="117" t="str">
        <f t="shared" si="19"/>
        <v>SI</v>
      </c>
      <c r="X107" s="132" t="b">
        <f t="shared" si="26"/>
        <v>0</v>
      </c>
    </row>
    <row r="108" spans="1:24" s="2" customFormat="1" ht="12" x14ac:dyDescent="0.15">
      <c r="A108" s="125" t="s">
        <v>87</v>
      </c>
      <c r="B108" s="139">
        <v>900612501</v>
      </c>
      <c r="C108" s="137" t="s">
        <v>209</v>
      </c>
      <c r="D108" s="137" t="s">
        <v>531</v>
      </c>
      <c r="E108" s="138">
        <v>270609960</v>
      </c>
      <c r="F108" s="138">
        <v>336950050</v>
      </c>
      <c r="G108" s="138">
        <v>205041347</v>
      </c>
      <c r="H108" s="138">
        <v>233135729</v>
      </c>
      <c r="I108" s="138">
        <v>103814321</v>
      </c>
      <c r="J108" s="138">
        <v>90546409</v>
      </c>
      <c r="K108" s="138">
        <v>13917923</v>
      </c>
      <c r="L108" s="93">
        <f t="shared" si="20"/>
        <v>65568613</v>
      </c>
      <c r="M108" s="94"/>
      <c r="N108" s="94">
        <f t="shared" si="21"/>
        <v>0.69189996855617031</v>
      </c>
      <c r="O108" s="94"/>
      <c r="P108" s="94">
        <f t="shared" si="15"/>
        <v>0.87219574455435678</v>
      </c>
      <c r="Q108" s="94">
        <f t="shared" si="23"/>
        <v>0.26872353632237184</v>
      </c>
      <c r="R108" s="117" t="str">
        <f t="shared" si="24"/>
        <v>SI</v>
      </c>
      <c r="S108" s="117" t="str">
        <f t="shared" si="25"/>
        <v>NO</v>
      </c>
      <c r="T108" s="117" t="str">
        <f t="shared" si="16"/>
        <v>SI</v>
      </c>
      <c r="U108" s="117" t="str">
        <f t="shared" si="17"/>
        <v>NO</v>
      </c>
      <c r="V108" s="117" t="str">
        <f t="shared" si="18"/>
        <v>SI</v>
      </c>
      <c r="W108" s="117" t="str">
        <f t="shared" si="19"/>
        <v>SI</v>
      </c>
      <c r="X108" s="132" t="b">
        <f t="shared" si="26"/>
        <v>0</v>
      </c>
    </row>
    <row r="109" spans="1:24" s="2" customFormat="1" ht="12" x14ac:dyDescent="0.15">
      <c r="A109" s="125" t="s">
        <v>87</v>
      </c>
      <c r="B109" s="139">
        <v>900818280</v>
      </c>
      <c r="C109" s="137" t="s">
        <v>210</v>
      </c>
      <c r="D109" s="137" t="s">
        <v>531</v>
      </c>
      <c r="E109" s="138">
        <v>28330</v>
      </c>
      <c r="F109" s="138">
        <v>141303649</v>
      </c>
      <c r="G109" s="138">
        <v>258112</v>
      </c>
      <c r="H109" s="138">
        <v>666535</v>
      </c>
      <c r="I109" s="138">
        <v>140637114</v>
      </c>
      <c r="J109" s="138">
        <v>4723793</v>
      </c>
      <c r="K109" s="138"/>
      <c r="L109" s="93">
        <f t="shared" si="20"/>
        <v>-229782</v>
      </c>
      <c r="M109" s="94">
        <f t="shared" si="27"/>
        <v>0.10975855442598562</v>
      </c>
      <c r="N109" s="94">
        <f t="shared" si="21"/>
        <v>4.7170402513809105E-3</v>
      </c>
      <c r="O109" s="94" t="s">
        <v>108</v>
      </c>
      <c r="P109" s="94">
        <f t="shared" si="15"/>
        <v>3.3588523439125752E-2</v>
      </c>
      <c r="Q109" s="94">
        <f t="shared" si="23"/>
        <v>3.3430085022078941E-2</v>
      </c>
      <c r="R109" s="117" t="str">
        <f t="shared" si="24"/>
        <v>NO</v>
      </c>
      <c r="S109" s="117" t="str">
        <f t="shared" si="25"/>
        <v>NO</v>
      </c>
      <c r="T109" s="117" t="str">
        <f t="shared" si="16"/>
        <v>SI</v>
      </c>
      <c r="U109" s="117" t="str">
        <f t="shared" si="17"/>
        <v>SI</v>
      </c>
      <c r="V109" s="117" t="str">
        <f t="shared" si="18"/>
        <v>NO</v>
      </c>
      <c r="W109" s="117" t="str">
        <f t="shared" si="19"/>
        <v>NO</v>
      </c>
      <c r="X109" s="132" t="b">
        <f t="shared" si="26"/>
        <v>0</v>
      </c>
    </row>
    <row r="110" spans="1:24" s="2" customFormat="1" ht="12" x14ac:dyDescent="0.15">
      <c r="A110" s="125" t="s">
        <v>87</v>
      </c>
      <c r="B110" s="139">
        <v>800002609</v>
      </c>
      <c r="C110" s="137" t="s">
        <v>211</v>
      </c>
      <c r="D110" s="137" t="s">
        <v>531</v>
      </c>
      <c r="E110" s="138">
        <v>10767754</v>
      </c>
      <c r="F110" s="138">
        <v>12484740</v>
      </c>
      <c r="G110" s="138">
        <v>10179374</v>
      </c>
      <c r="H110" s="138">
        <v>10196055</v>
      </c>
      <c r="I110" s="138">
        <v>2288685</v>
      </c>
      <c r="J110" s="138">
        <v>917110</v>
      </c>
      <c r="K110" s="138">
        <v>2081977</v>
      </c>
      <c r="L110" s="93">
        <f t="shared" si="20"/>
        <v>588380</v>
      </c>
      <c r="M110" s="94">
        <f t="shared" si="27"/>
        <v>1.0578011968122991</v>
      </c>
      <c r="N110" s="94">
        <f t="shared" si="21"/>
        <v>0.81668140465880745</v>
      </c>
      <c r="O110" s="94">
        <f t="shared" si="22"/>
        <v>0.44049958284841761</v>
      </c>
      <c r="P110" s="94">
        <f t="shared" si="15"/>
        <v>0.40071482095613858</v>
      </c>
      <c r="Q110" s="94">
        <f t="shared" si="23"/>
        <v>7.3458478110076789E-2</v>
      </c>
      <c r="R110" s="117" t="str">
        <f t="shared" si="24"/>
        <v>SI</v>
      </c>
      <c r="S110" s="117" t="str">
        <f t="shared" si="25"/>
        <v>NO</v>
      </c>
      <c r="T110" s="117" t="str">
        <f t="shared" si="16"/>
        <v>SI</v>
      </c>
      <c r="U110" s="117" t="str">
        <f t="shared" si="17"/>
        <v>NO</v>
      </c>
      <c r="V110" s="117" t="str">
        <f t="shared" si="18"/>
        <v>SI</v>
      </c>
      <c r="W110" s="117" t="str">
        <f t="shared" si="19"/>
        <v>NO</v>
      </c>
      <c r="X110" s="132" t="b">
        <f t="shared" si="26"/>
        <v>0</v>
      </c>
    </row>
    <row r="111" spans="1:24" s="2" customFormat="1" ht="12" x14ac:dyDescent="0.15">
      <c r="A111" s="125" t="s">
        <v>87</v>
      </c>
      <c r="B111" s="139">
        <v>800009973</v>
      </c>
      <c r="C111" s="137" t="s">
        <v>212</v>
      </c>
      <c r="D111" s="137" t="s">
        <v>531</v>
      </c>
      <c r="E111" s="138">
        <v>10005049</v>
      </c>
      <c r="F111" s="138">
        <v>12858888</v>
      </c>
      <c r="G111" s="138">
        <v>7267435</v>
      </c>
      <c r="H111" s="138">
        <v>7605068</v>
      </c>
      <c r="I111" s="138">
        <v>5253820</v>
      </c>
      <c r="J111" s="138">
        <v>2002732</v>
      </c>
      <c r="K111" s="138">
        <v>326323</v>
      </c>
      <c r="L111" s="93">
        <f t="shared" si="20"/>
        <v>2737614</v>
      </c>
      <c r="M111" s="94">
        <f t="shared" si="27"/>
        <v>1.3766960420010637</v>
      </c>
      <c r="N111" s="94">
        <f t="shared" si="21"/>
        <v>0.59142501280048476</v>
      </c>
      <c r="O111" s="94"/>
      <c r="P111" s="94">
        <f t="shared" si="15"/>
        <v>0.38119539687313231</v>
      </c>
      <c r="Q111" s="94">
        <f t="shared" si="23"/>
        <v>0.15574690439795416</v>
      </c>
      <c r="R111" s="117" t="str">
        <f t="shared" si="24"/>
        <v>SI</v>
      </c>
      <c r="S111" s="117" t="str">
        <f t="shared" si="25"/>
        <v>NO</v>
      </c>
      <c r="T111" s="117" t="str">
        <f t="shared" si="16"/>
        <v>SI</v>
      </c>
      <c r="U111" s="117" t="str">
        <f t="shared" si="17"/>
        <v>NO</v>
      </c>
      <c r="V111" s="117" t="str">
        <f t="shared" si="18"/>
        <v>SI</v>
      </c>
      <c r="W111" s="117" t="str">
        <f t="shared" si="19"/>
        <v>SI</v>
      </c>
      <c r="X111" s="132" t="b">
        <f t="shared" si="26"/>
        <v>0</v>
      </c>
    </row>
    <row r="112" spans="1:24" s="2" customFormat="1" ht="12" x14ac:dyDescent="0.15">
      <c r="A112" s="125" t="s">
        <v>87</v>
      </c>
      <c r="B112" s="139">
        <v>800014620</v>
      </c>
      <c r="C112" s="137" t="s">
        <v>213</v>
      </c>
      <c r="D112" s="137" t="s">
        <v>531</v>
      </c>
      <c r="E112" s="138">
        <v>4732617</v>
      </c>
      <c r="F112" s="138">
        <v>5689017</v>
      </c>
      <c r="G112" s="138">
        <v>1920668</v>
      </c>
      <c r="H112" s="138">
        <v>1973050</v>
      </c>
      <c r="I112" s="138">
        <v>3715967</v>
      </c>
      <c r="J112" s="138">
        <v>261764</v>
      </c>
      <c r="K112" s="138">
        <v>0</v>
      </c>
      <c r="L112" s="93">
        <f t="shared" si="20"/>
        <v>2811949</v>
      </c>
      <c r="M112" s="94">
        <f t="shared" si="27"/>
        <v>2.4640474043405733</v>
      </c>
      <c r="N112" s="94">
        <f t="shared" si="21"/>
        <v>0.34681738514755711</v>
      </c>
      <c r="O112" s="94" t="s">
        <v>108</v>
      </c>
      <c r="P112" s="94">
        <f t="shared" si="15"/>
        <v>7.0443036765396469E-2</v>
      </c>
      <c r="Q112" s="94">
        <f t="shared" si="23"/>
        <v>4.6012166952568434E-2</v>
      </c>
      <c r="R112" s="117" t="str">
        <f t="shared" si="24"/>
        <v>SI</v>
      </c>
      <c r="S112" s="117" t="str">
        <f t="shared" si="25"/>
        <v>SI</v>
      </c>
      <c r="T112" s="117" t="str">
        <f t="shared" si="16"/>
        <v>SI</v>
      </c>
      <c r="U112" s="117" t="str">
        <f t="shared" si="17"/>
        <v>SI</v>
      </c>
      <c r="V112" s="117" t="str">
        <f t="shared" si="18"/>
        <v>NO</v>
      </c>
      <c r="W112" s="117" t="str">
        <f t="shared" si="19"/>
        <v>NO</v>
      </c>
      <c r="X112" s="132" t="b">
        <f t="shared" si="26"/>
        <v>0</v>
      </c>
    </row>
    <row r="113" spans="1:24" s="2" customFormat="1" ht="12" x14ac:dyDescent="0.15">
      <c r="A113" s="125" t="s">
        <v>87</v>
      </c>
      <c r="B113" s="139">
        <v>800019856</v>
      </c>
      <c r="C113" s="137" t="s">
        <v>214</v>
      </c>
      <c r="D113" s="137" t="s">
        <v>531</v>
      </c>
      <c r="E113" s="138">
        <v>34684345</v>
      </c>
      <c r="F113" s="138">
        <v>36941243</v>
      </c>
      <c r="G113" s="138">
        <v>5552446</v>
      </c>
      <c r="H113" s="138">
        <v>14405432</v>
      </c>
      <c r="I113" s="138">
        <v>22535811</v>
      </c>
      <c r="J113" s="138">
        <v>3572577</v>
      </c>
      <c r="K113" s="138">
        <v>618910</v>
      </c>
      <c r="L113" s="93">
        <f t="shared" si="20"/>
        <v>29131899</v>
      </c>
      <c r="M113" s="94"/>
      <c r="N113" s="94">
        <f t="shared" si="21"/>
        <v>0.38995525949140369</v>
      </c>
      <c r="O113" s="94"/>
      <c r="P113" s="94">
        <f t="shared" si="15"/>
        <v>0.15852888542595606</v>
      </c>
      <c r="Q113" s="94">
        <f t="shared" si="23"/>
        <v>9.670971277279436E-2</v>
      </c>
      <c r="R113" s="117" t="str">
        <f t="shared" si="24"/>
        <v>SI</v>
      </c>
      <c r="S113" s="117" t="str">
        <f t="shared" si="25"/>
        <v>NO</v>
      </c>
      <c r="T113" s="117" t="str">
        <f t="shared" si="16"/>
        <v>SI</v>
      </c>
      <c r="U113" s="117" t="str">
        <f t="shared" si="17"/>
        <v>NO</v>
      </c>
      <c r="V113" s="117" t="str">
        <f t="shared" si="18"/>
        <v>NO</v>
      </c>
      <c r="W113" s="117" t="str">
        <f t="shared" si="19"/>
        <v>SI</v>
      </c>
      <c r="X113" s="132" t="b">
        <f t="shared" si="26"/>
        <v>0</v>
      </c>
    </row>
    <row r="114" spans="1:24" s="2" customFormat="1" ht="12" x14ac:dyDescent="0.15">
      <c r="A114" s="125" t="s">
        <v>87</v>
      </c>
      <c r="B114" s="139">
        <v>800024238</v>
      </c>
      <c r="C114" s="137" t="s">
        <v>215</v>
      </c>
      <c r="D114" s="137" t="s">
        <v>531</v>
      </c>
      <c r="E114" s="138">
        <v>3760955</v>
      </c>
      <c r="F114" s="138">
        <v>4777155</v>
      </c>
      <c r="G114" s="138">
        <v>2615723</v>
      </c>
      <c r="H114" s="138">
        <v>2615723</v>
      </c>
      <c r="I114" s="138">
        <v>2161432</v>
      </c>
      <c r="J114" s="138">
        <v>4389</v>
      </c>
      <c r="K114" s="138">
        <v>28351</v>
      </c>
      <c r="L114" s="93">
        <f t="shared" si="20"/>
        <v>1145232</v>
      </c>
      <c r="M114" s="94">
        <f t="shared" si="27"/>
        <v>1.4378261765485107</v>
      </c>
      <c r="N114" s="94">
        <f t="shared" si="21"/>
        <v>0.54754827925826144</v>
      </c>
      <c r="O114" s="94">
        <f t="shared" si="22"/>
        <v>0.15480935416740149</v>
      </c>
      <c r="P114" s="94">
        <f t="shared" si="15"/>
        <v>2.0305982330232918E-3</v>
      </c>
      <c r="Q114" s="94">
        <f t="shared" si="23"/>
        <v>9.1874766466652226E-4</v>
      </c>
      <c r="R114" s="117" t="str">
        <f t="shared" si="24"/>
        <v>SI</v>
      </c>
      <c r="S114" s="117" t="str">
        <f t="shared" si="25"/>
        <v>NO</v>
      </c>
      <c r="T114" s="117" t="str">
        <f t="shared" si="16"/>
        <v>SI</v>
      </c>
      <c r="U114" s="117" t="str">
        <f t="shared" si="17"/>
        <v>NO</v>
      </c>
      <c r="V114" s="117" t="str">
        <f t="shared" si="18"/>
        <v>NO</v>
      </c>
      <c r="W114" s="117" t="str">
        <f t="shared" si="19"/>
        <v>NO</v>
      </c>
      <c r="X114" s="132" t="b">
        <f t="shared" si="26"/>
        <v>0</v>
      </c>
    </row>
    <row r="115" spans="1:24" s="2" customFormat="1" ht="12" x14ac:dyDescent="0.15">
      <c r="A115" s="125" t="s">
        <v>87</v>
      </c>
      <c r="B115" s="139">
        <v>800030667</v>
      </c>
      <c r="C115" s="137" t="s">
        <v>216</v>
      </c>
      <c r="D115" s="137" t="s">
        <v>531</v>
      </c>
      <c r="E115" s="138">
        <v>7122384</v>
      </c>
      <c r="F115" s="138">
        <v>9951447</v>
      </c>
      <c r="G115" s="138">
        <v>4145237</v>
      </c>
      <c r="H115" s="138">
        <v>4329513</v>
      </c>
      <c r="I115" s="138">
        <v>5621934</v>
      </c>
      <c r="J115" s="138">
        <v>184012</v>
      </c>
      <c r="K115" s="138"/>
      <c r="L115" s="93">
        <f t="shared" si="20"/>
        <v>2977147</v>
      </c>
      <c r="M115" s="94">
        <f t="shared" si="27"/>
        <v>1.7182091156669692</v>
      </c>
      <c r="N115" s="94">
        <f t="shared" si="21"/>
        <v>0.43506366461078472</v>
      </c>
      <c r="O115" s="94" t="s">
        <v>108</v>
      </c>
      <c r="P115" s="94">
        <f t="shared" si="15"/>
        <v>3.2731085067878779E-2</v>
      </c>
      <c r="Q115" s="94">
        <f t="shared" si="23"/>
        <v>1.84909792515601E-2</v>
      </c>
      <c r="R115" s="117" t="str">
        <f t="shared" si="24"/>
        <v>SI</v>
      </c>
      <c r="S115" s="117" t="str">
        <f t="shared" si="25"/>
        <v>NO</v>
      </c>
      <c r="T115" s="117" t="str">
        <f t="shared" si="16"/>
        <v>SI</v>
      </c>
      <c r="U115" s="117" t="str">
        <f t="shared" si="17"/>
        <v>SI</v>
      </c>
      <c r="V115" s="117" t="str">
        <f t="shared" si="18"/>
        <v>NO</v>
      </c>
      <c r="W115" s="117" t="str">
        <f t="shared" si="19"/>
        <v>NO</v>
      </c>
      <c r="X115" s="132" t="b">
        <f t="shared" si="26"/>
        <v>0</v>
      </c>
    </row>
    <row r="116" spans="1:24" s="2" customFormat="1" ht="12" x14ac:dyDescent="0.15">
      <c r="A116" s="125" t="s">
        <v>87</v>
      </c>
      <c r="B116" s="139">
        <v>800036354</v>
      </c>
      <c r="C116" s="137" t="s">
        <v>217</v>
      </c>
      <c r="D116" s="137" t="s">
        <v>531</v>
      </c>
      <c r="E116" s="138">
        <v>3352861</v>
      </c>
      <c r="F116" s="138">
        <v>5623349</v>
      </c>
      <c r="G116" s="138">
        <v>1354715</v>
      </c>
      <c r="H116" s="138">
        <v>2337509</v>
      </c>
      <c r="I116" s="138">
        <v>3285840</v>
      </c>
      <c r="J116" s="138">
        <v>485603</v>
      </c>
      <c r="K116" s="138">
        <v>225035</v>
      </c>
      <c r="L116" s="93">
        <f t="shared" si="20"/>
        <v>1998146</v>
      </c>
      <c r="M116" s="94">
        <f t="shared" si="27"/>
        <v>2.4749567252152667</v>
      </c>
      <c r="N116" s="94">
        <f t="shared" si="21"/>
        <v>0.41567916200826233</v>
      </c>
      <c r="O116" s="94">
        <f t="shared" si="22"/>
        <v>2.1578998822405402</v>
      </c>
      <c r="P116" s="94">
        <f t="shared" si="15"/>
        <v>0.14778656294889586</v>
      </c>
      <c r="Q116" s="94">
        <f t="shared" si="23"/>
        <v>8.6354768306217522E-2</v>
      </c>
      <c r="R116" s="117" t="str">
        <f t="shared" si="24"/>
        <v>SI</v>
      </c>
      <c r="S116" s="117" t="str">
        <f t="shared" si="25"/>
        <v>SI</v>
      </c>
      <c r="T116" s="117" t="str">
        <f t="shared" si="16"/>
        <v>SI</v>
      </c>
      <c r="U116" s="117" t="str">
        <f t="shared" si="17"/>
        <v>SI</v>
      </c>
      <c r="V116" s="117" t="str">
        <f t="shared" si="18"/>
        <v>NO</v>
      </c>
      <c r="W116" s="117" t="str">
        <f t="shared" si="19"/>
        <v>NO</v>
      </c>
      <c r="X116" s="132" t="b">
        <f t="shared" si="26"/>
        <v>0</v>
      </c>
    </row>
    <row r="117" spans="1:24" s="2" customFormat="1" ht="12" x14ac:dyDescent="0.15">
      <c r="A117" s="125" t="s">
        <v>87</v>
      </c>
      <c r="B117" s="139">
        <v>800036678</v>
      </c>
      <c r="C117" s="137" t="s">
        <v>218</v>
      </c>
      <c r="D117" s="137" t="s">
        <v>531</v>
      </c>
      <c r="E117" s="138">
        <v>11647310</v>
      </c>
      <c r="F117" s="138">
        <v>11680288</v>
      </c>
      <c r="G117" s="138">
        <v>1913922</v>
      </c>
      <c r="H117" s="138">
        <v>1913922</v>
      </c>
      <c r="I117" s="138">
        <v>9766366</v>
      </c>
      <c r="J117" s="138">
        <v>1378723</v>
      </c>
      <c r="K117" s="138"/>
      <c r="L117" s="93">
        <f t="shared" si="20"/>
        <v>9733388</v>
      </c>
      <c r="M117" s="94"/>
      <c r="N117" s="94">
        <f t="shared" si="21"/>
        <v>0.16385914456903802</v>
      </c>
      <c r="O117" s="94" t="s">
        <v>108</v>
      </c>
      <c r="P117" s="94">
        <f t="shared" si="15"/>
        <v>0.14117052340655675</v>
      </c>
      <c r="Q117" s="94">
        <f t="shared" si="23"/>
        <v>0.118038442202795</v>
      </c>
      <c r="R117" s="117" t="str">
        <f t="shared" si="24"/>
        <v>SI</v>
      </c>
      <c r="S117" s="117" t="str">
        <f t="shared" si="25"/>
        <v>NO</v>
      </c>
      <c r="T117" s="117" t="str">
        <f t="shared" si="16"/>
        <v>SI</v>
      </c>
      <c r="U117" s="117" t="str">
        <f t="shared" si="17"/>
        <v>SI</v>
      </c>
      <c r="V117" s="117" t="str">
        <f t="shared" si="18"/>
        <v>NO</v>
      </c>
      <c r="W117" s="117" t="str">
        <f t="shared" si="19"/>
        <v>SI</v>
      </c>
      <c r="X117" s="132" t="b">
        <f t="shared" si="26"/>
        <v>0</v>
      </c>
    </row>
    <row r="118" spans="1:24" s="2" customFormat="1" ht="12" x14ac:dyDescent="0.15">
      <c r="A118" s="125" t="s">
        <v>87</v>
      </c>
      <c r="B118" s="139">
        <v>800042641</v>
      </c>
      <c r="C118" s="137" t="s">
        <v>219</v>
      </c>
      <c r="D118" s="137" t="s">
        <v>531</v>
      </c>
      <c r="E118" s="138">
        <v>34984681</v>
      </c>
      <c r="F118" s="138">
        <v>50493352</v>
      </c>
      <c r="G118" s="138">
        <v>6380118</v>
      </c>
      <c r="H118" s="138">
        <v>20027564</v>
      </c>
      <c r="I118" s="138">
        <v>30465788</v>
      </c>
      <c r="J118" s="138">
        <v>1318959</v>
      </c>
      <c r="K118" s="138"/>
      <c r="L118" s="93">
        <f t="shared" si="20"/>
        <v>28604563</v>
      </c>
      <c r="M118" s="94"/>
      <c r="N118" s="94">
        <f t="shared" si="21"/>
        <v>0.39663764053533224</v>
      </c>
      <c r="O118" s="94" t="s">
        <v>108</v>
      </c>
      <c r="P118" s="94">
        <f t="shared" si="15"/>
        <v>4.3293119482089221E-2</v>
      </c>
      <c r="Q118" s="94">
        <f t="shared" si="23"/>
        <v>2.6121438719299128E-2</v>
      </c>
      <c r="R118" s="117" t="str">
        <f t="shared" si="24"/>
        <v>SI</v>
      </c>
      <c r="S118" s="117" t="str">
        <f t="shared" si="25"/>
        <v>NO</v>
      </c>
      <c r="T118" s="117" t="str">
        <f t="shared" si="16"/>
        <v>SI</v>
      </c>
      <c r="U118" s="117" t="str">
        <f t="shared" si="17"/>
        <v>SI</v>
      </c>
      <c r="V118" s="117" t="str">
        <f t="shared" si="18"/>
        <v>NO</v>
      </c>
      <c r="W118" s="117" t="str">
        <f t="shared" si="19"/>
        <v>NO</v>
      </c>
      <c r="X118" s="132" t="b">
        <f t="shared" si="26"/>
        <v>0</v>
      </c>
    </row>
    <row r="119" spans="1:24" s="2" customFormat="1" ht="12" x14ac:dyDescent="0.15">
      <c r="A119" s="125" t="s">
        <v>87</v>
      </c>
      <c r="B119" s="139">
        <v>800062591</v>
      </c>
      <c r="C119" s="137" t="s">
        <v>220</v>
      </c>
      <c r="D119" s="137" t="s">
        <v>531</v>
      </c>
      <c r="E119" s="138">
        <v>47664580</v>
      </c>
      <c r="F119" s="138">
        <v>67531316</v>
      </c>
      <c r="G119" s="138">
        <v>12120361</v>
      </c>
      <c r="H119" s="138">
        <v>36749529</v>
      </c>
      <c r="I119" s="138">
        <v>30781787</v>
      </c>
      <c r="J119" s="138">
        <v>3924210</v>
      </c>
      <c r="K119" s="138">
        <v>1735878</v>
      </c>
      <c r="L119" s="93">
        <f t="shared" si="20"/>
        <v>35544219</v>
      </c>
      <c r="M119" s="94"/>
      <c r="N119" s="94">
        <f t="shared" si="21"/>
        <v>0.54418499707602319</v>
      </c>
      <c r="O119" s="94">
        <f t="shared" si="22"/>
        <v>2.2606485017956333</v>
      </c>
      <c r="P119" s="94">
        <f t="shared" si="15"/>
        <v>0.12748480132098894</v>
      </c>
      <c r="Q119" s="94">
        <f t="shared" si="23"/>
        <v>5.8109485086889172E-2</v>
      </c>
      <c r="R119" s="117" t="str">
        <f t="shared" si="24"/>
        <v>SI</v>
      </c>
      <c r="S119" s="117" t="str">
        <f t="shared" si="25"/>
        <v>NO</v>
      </c>
      <c r="T119" s="117" t="str">
        <f t="shared" si="16"/>
        <v>SI</v>
      </c>
      <c r="U119" s="117" t="str">
        <f t="shared" si="17"/>
        <v>SI</v>
      </c>
      <c r="V119" s="117" t="str">
        <f t="shared" si="18"/>
        <v>NO</v>
      </c>
      <c r="W119" s="117" t="str">
        <f t="shared" si="19"/>
        <v>NO</v>
      </c>
      <c r="X119" s="132" t="b">
        <f t="shared" si="26"/>
        <v>0</v>
      </c>
    </row>
    <row r="120" spans="1:24" s="2" customFormat="1" ht="12" x14ac:dyDescent="0.15">
      <c r="A120" s="125" t="s">
        <v>87</v>
      </c>
      <c r="B120" s="139">
        <v>800074063</v>
      </c>
      <c r="C120" s="137" t="s">
        <v>221</v>
      </c>
      <c r="D120" s="137" t="s">
        <v>531</v>
      </c>
      <c r="E120" s="138">
        <v>231738</v>
      </c>
      <c r="F120" s="138">
        <v>1079845</v>
      </c>
      <c r="G120" s="138">
        <v>131452</v>
      </c>
      <c r="H120" s="138">
        <v>357482</v>
      </c>
      <c r="I120" s="138">
        <v>722363</v>
      </c>
      <c r="J120" s="138">
        <v>80711</v>
      </c>
      <c r="K120" s="138">
        <v>24157</v>
      </c>
      <c r="L120" s="93">
        <f t="shared" si="20"/>
        <v>100286</v>
      </c>
      <c r="M120" s="94">
        <f t="shared" si="27"/>
        <v>1.7629096552353711</v>
      </c>
      <c r="N120" s="94">
        <f t="shared" si="21"/>
        <v>0.33104936356606735</v>
      </c>
      <c r="O120" s="94"/>
      <c r="P120" s="94">
        <f t="shared" si="15"/>
        <v>0.11173191317938488</v>
      </c>
      <c r="Q120" s="94">
        <f t="shared" si="23"/>
        <v>7.4743134431330419E-2</v>
      </c>
      <c r="R120" s="117" t="str">
        <f t="shared" si="24"/>
        <v>SI</v>
      </c>
      <c r="S120" s="117" t="str">
        <f t="shared" si="25"/>
        <v>NO</v>
      </c>
      <c r="T120" s="117" t="str">
        <f t="shared" si="16"/>
        <v>SI</v>
      </c>
      <c r="U120" s="117" t="str">
        <f t="shared" si="17"/>
        <v>NO</v>
      </c>
      <c r="V120" s="117" t="str">
        <f t="shared" si="18"/>
        <v>NO</v>
      </c>
      <c r="W120" s="117" t="str">
        <f t="shared" si="19"/>
        <v>NO</v>
      </c>
      <c r="X120" s="132" t="b">
        <f t="shared" si="26"/>
        <v>0</v>
      </c>
    </row>
    <row r="121" spans="1:24" s="2" customFormat="1" ht="12" x14ac:dyDescent="0.15">
      <c r="A121" s="125" t="s">
        <v>87</v>
      </c>
      <c r="B121" s="139">
        <v>800078935</v>
      </c>
      <c r="C121" s="137" t="s">
        <v>222</v>
      </c>
      <c r="D121" s="137" t="s">
        <v>531</v>
      </c>
      <c r="E121" s="138">
        <v>9710152</v>
      </c>
      <c r="F121" s="138">
        <v>12216549</v>
      </c>
      <c r="G121" s="138">
        <v>4654014</v>
      </c>
      <c r="H121" s="138">
        <v>5648801</v>
      </c>
      <c r="I121" s="138">
        <v>6567748</v>
      </c>
      <c r="J121" s="138">
        <v>221000</v>
      </c>
      <c r="K121" s="138">
        <v>171002</v>
      </c>
      <c r="L121" s="93">
        <f t="shared" si="20"/>
        <v>5056138</v>
      </c>
      <c r="M121" s="94">
        <f t="shared" si="27"/>
        <v>2.0864036936717425</v>
      </c>
      <c r="N121" s="94">
        <f t="shared" si="21"/>
        <v>0.46238925575463252</v>
      </c>
      <c r="O121" s="94">
        <f t="shared" si="22"/>
        <v>1.292382545233389</v>
      </c>
      <c r="P121" s="94">
        <f t="shared" si="15"/>
        <v>3.3649281306164611E-2</v>
      </c>
      <c r="Q121" s="94">
        <f t="shared" si="23"/>
        <v>1.8090215166328888E-2</v>
      </c>
      <c r="R121" s="117" t="str">
        <f t="shared" si="24"/>
        <v>SI</v>
      </c>
      <c r="S121" s="117" t="str">
        <f t="shared" si="25"/>
        <v>SI</v>
      </c>
      <c r="T121" s="117" t="str">
        <f t="shared" si="16"/>
        <v>SI</v>
      </c>
      <c r="U121" s="117" t="str">
        <f t="shared" si="17"/>
        <v>SI</v>
      </c>
      <c r="V121" s="117" t="str">
        <f t="shared" si="18"/>
        <v>NO</v>
      </c>
      <c r="W121" s="117" t="str">
        <f t="shared" si="19"/>
        <v>NO</v>
      </c>
      <c r="X121" s="132" t="b">
        <f t="shared" si="26"/>
        <v>0</v>
      </c>
    </row>
    <row r="122" spans="1:24" s="2" customFormat="1" ht="12" x14ac:dyDescent="0.15">
      <c r="A122" s="125" t="s">
        <v>87</v>
      </c>
      <c r="B122" s="139">
        <v>800082225</v>
      </c>
      <c r="C122" s="137" t="s">
        <v>223</v>
      </c>
      <c r="D122" s="137" t="s">
        <v>531</v>
      </c>
      <c r="E122" s="138">
        <v>4062444</v>
      </c>
      <c r="F122" s="138">
        <v>4167763</v>
      </c>
      <c r="G122" s="138">
        <v>2424552</v>
      </c>
      <c r="H122" s="138">
        <v>2653907</v>
      </c>
      <c r="I122" s="138">
        <v>1513856</v>
      </c>
      <c r="J122" s="138">
        <v>293737</v>
      </c>
      <c r="K122" s="138">
        <v>416664</v>
      </c>
      <c r="L122" s="93">
        <f t="shared" si="20"/>
        <v>1637892</v>
      </c>
      <c r="M122" s="94">
        <f t="shared" si="27"/>
        <v>1.6755441830078299</v>
      </c>
      <c r="N122" s="94">
        <f t="shared" si="21"/>
        <v>0.63677013304259378</v>
      </c>
      <c r="O122" s="94">
        <f t="shared" si="22"/>
        <v>0.70497331182919576</v>
      </c>
      <c r="P122" s="94">
        <f t="shared" si="15"/>
        <v>0.1940323253995096</v>
      </c>
      <c r="Q122" s="94">
        <f t="shared" si="23"/>
        <v>7.0478335740300019E-2</v>
      </c>
      <c r="R122" s="117" t="str">
        <f t="shared" si="24"/>
        <v>SI</v>
      </c>
      <c r="S122" s="117" t="str">
        <f t="shared" si="25"/>
        <v>NO</v>
      </c>
      <c r="T122" s="117" t="str">
        <f t="shared" si="16"/>
        <v>SI</v>
      </c>
      <c r="U122" s="117" t="str">
        <f t="shared" si="17"/>
        <v>NO</v>
      </c>
      <c r="V122" s="117" t="str">
        <f t="shared" si="18"/>
        <v>SI</v>
      </c>
      <c r="W122" s="117" t="str">
        <f t="shared" si="19"/>
        <v>NO</v>
      </c>
      <c r="X122" s="132" t="b">
        <f t="shared" si="26"/>
        <v>0</v>
      </c>
    </row>
    <row r="123" spans="1:24" s="2" customFormat="1" ht="12" x14ac:dyDescent="0.15">
      <c r="A123" s="125" t="s">
        <v>87</v>
      </c>
      <c r="B123" s="139">
        <v>800085606</v>
      </c>
      <c r="C123" s="137" t="s">
        <v>224</v>
      </c>
      <c r="D123" s="137" t="s">
        <v>531</v>
      </c>
      <c r="E123" s="138">
        <v>12528330</v>
      </c>
      <c r="F123" s="138">
        <v>15444952</v>
      </c>
      <c r="G123" s="138">
        <v>1209719</v>
      </c>
      <c r="H123" s="138">
        <v>1328898</v>
      </c>
      <c r="I123" s="138">
        <v>14116054</v>
      </c>
      <c r="J123" s="138">
        <v>2499183</v>
      </c>
      <c r="K123" s="138"/>
      <c r="L123" s="93">
        <f t="shared" si="20"/>
        <v>11318611</v>
      </c>
      <c r="M123" s="94"/>
      <c r="N123" s="94">
        <f t="shared" si="21"/>
        <v>8.6040927806055989E-2</v>
      </c>
      <c r="O123" s="94" t="s">
        <v>108</v>
      </c>
      <c r="P123" s="94">
        <f t="shared" si="15"/>
        <v>0.17704544060259333</v>
      </c>
      <c r="Q123" s="94">
        <f t="shared" si="23"/>
        <v>0.16181228662931421</v>
      </c>
      <c r="R123" s="117" t="str">
        <f t="shared" si="24"/>
        <v>SI</v>
      </c>
      <c r="S123" s="117" t="str">
        <f t="shared" si="25"/>
        <v>NO</v>
      </c>
      <c r="T123" s="117" t="str">
        <f t="shared" si="16"/>
        <v>SI</v>
      </c>
      <c r="U123" s="117" t="str">
        <f t="shared" si="17"/>
        <v>SI</v>
      </c>
      <c r="V123" s="117" t="str">
        <f t="shared" si="18"/>
        <v>SI</v>
      </c>
      <c r="W123" s="117" t="str">
        <f t="shared" si="19"/>
        <v>SI</v>
      </c>
      <c r="X123" s="132" t="b">
        <f t="shared" si="26"/>
        <v>0</v>
      </c>
    </row>
    <row r="124" spans="1:24" s="2" customFormat="1" ht="12" x14ac:dyDescent="0.15">
      <c r="A124" s="125" t="s">
        <v>87</v>
      </c>
      <c r="B124" s="139">
        <v>800088568</v>
      </c>
      <c r="C124" s="137" t="s">
        <v>225</v>
      </c>
      <c r="D124" s="137" t="s">
        <v>531</v>
      </c>
      <c r="E124" s="138">
        <v>10923845</v>
      </c>
      <c r="F124" s="138">
        <v>12441033</v>
      </c>
      <c r="G124" s="138">
        <v>5776928</v>
      </c>
      <c r="H124" s="138">
        <v>5776928</v>
      </c>
      <c r="I124" s="138">
        <v>6664105</v>
      </c>
      <c r="J124" s="138">
        <v>1904627</v>
      </c>
      <c r="K124" s="138">
        <v>318568</v>
      </c>
      <c r="L124" s="93">
        <f t="shared" si="20"/>
        <v>5146917</v>
      </c>
      <c r="M124" s="94">
        <f t="shared" si="27"/>
        <v>1.8909435949348858</v>
      </c>
      <c r="N124" s="94">
        <f t="shared" si="21"/>
        <v>0.46434472121406639</v>
      </c>
      <c r="O124" s="94"/>
      <c r="P124" s="94">
        <f t="shared" si="15"/>
        <v>0.28580387013710018</v>
      </c>
      <c r="Q124" s="94">
        <f t="shared" si="23"/>
        <v>0.15309235173638716</v>
      </c>
      <c r="R124" s="117" t="str">
        <f t="shared" si="24"/>
        <v>SI</v>
      </c>
      <c r="S124" s="117" t="str">
        <f t="shared" si="25"/>
        <v>SI</v>
      </c>
      <c r="T124" s="117" t="str">
        <f t="shared" si="16"/>
        <v>SI</v>
      </c>
      <c r="U124" s="117" t="str">
        <f t="shared" si="17"/>
        <v>NO</v>
      </c>
      <c r="V124" s="117" t="str">
        <f t="shared" si="18"/>
        <v>SI</v>
      </c>
      <c r="W124" s="117" t="str">
        <f t="shared" si="19"/>
        <v>SI</v>
      </c>
      <c r="X124" s="132" t="b">
        <f t="shared" si="26"/>
        <v>0</v>
      </c>
    </row>
    <row r="125" spans="1:24" s="2" customFormat="1" ht="12" x14ac:dyDescent="0.15">
      <c r="A125" s="125" t="s">
        <v>87</v>
      </c>
      <c r="B125" s="139">
        <v>800106087</v>
      </c>
      <c r="C125" s="137" t="s">
        <v>226</v>
      </c>
      <c r="D125" s="137" t="s">
        <v>531</v>
      </c>
      <c r="E125" s="138">
        <v>2212311</v>
      </c>
      <c r="F125" s="138">
        <v>3622816</v>
      </c>
      <c r="G125" s="138">
        <v>1542846</v>
      </c>
      <c r="H125" s="138">
        <v>1950222</v>
      </c>
      <c r="I125" s="138">
        <v>1672594</v>
      </c>
      <c r="J125" s="138">
        <v>233693</v>
      </c>
      <c r="K125" s="138"/>
      <c r="L125" s="93">
        <f t="shared" si="20"/>
        <v>669465</v>
      </c>
      <c r="M125" s="94">
        <f t="shared" si="27"/>
        <v>1.4339156338351333</v>
      </c>
      <c r="N125" s="94">
        <f t="shared" si="21"/>
        <v>0.5383166023336543</v>
      </c>
      <c r="O125" s="94" t="s">
        <v>108</v>
      </c>
      <c r="P125" s="94">
        <f t="shared" si="15"/>
        <v>0.13971890369091364</v>
      </c>
      <c r="Q125" s="94">
        <f t="shared" si="23"/>
        <v>6.4505898174237936E-2</v>
      </c>
      <c r="R125" s="117" t="str">
        <f t="shared" si="24"/>
        <v>SI</v>
      </c>
      <c r="S125" s="117" t="str">
        <f t="shared" si="25"/>
        <v>NO</v>
      </c>
      <c r="T125" s="117" t="str">
        <f t="shared" si="16"/>
        <v>SI</v>
      </c>
      <c r="U125" s="117" t="str">
        <f t="shared" si="17"/>
        <v>SI</v>
      </c>
      <c r="V125" s="117" t="str">
        <f t="shared" si="18"/>
        <v>NO</v>
      </c>
      <c r="W125" s="117" t="str">
        <f t="shared" si="19"/>
        <v>NO</v>
      </c>
      <c r="X125" s="132" t="b">
        <f t="shared" si="26"/>
        <v>0</v>
      </c>
    </row>
    <row r="126" spans="1:24" s="2" customFormat="1" ht="12" x14ac:dyDescent="0.15">
      <c r="A126" s="125" t="s">
        <v>87</v>
      </c>
      <c r="B126" s="139">
        <v>800106621</v>
      </c>
      <c r="C126" s="137" t="s">
        <v>227</v>
      </c>
      <c r="D126" s="137" t="s">
        <v>531</v>
      </c>
      <c r="E126" s="138">
        <v>6021221</v>
      </c>
      <c r="F126" s="138">
        <v>6756213</v>
      </c>
      <c r="G126" s="138">
        <v>2179532</v>
      </c>
      <c r="H126" s="138">
        <v>5018479</v>
      </c>
      <c r="I126" s="138">
        <v>1737734</v>
      </c>
      <c r="J126" s="138">
        <v>-282774</v>
      </c>
      <c r="K126" s="138">
        <v>579696</v>
      </c>
      <c r="L126" s="93">
        <f t="shared" si="20"/>
        <v>3841689</v>
      </c>
      <c r="M126" s="94"/>
      <c r="N126" s="94">
        <f t="shared" si="21"/>
        <v>0.742794669143794</v>
      </c>
      <c r="O126" s="94"/>
      <c r="P126" s="94">
        <f t="shared" si="15"/>
        <v>-0.16272571060933377</v>
      </c>
      <c r="Q126" s="94">
        <f t="shared" si="23"/>
        <v>-4.1853920236084918E-2</v>
      </c>
      <c r="R126" s="117" t="str">
        <f t="shared" si="24"/>
        <v>SI</v>
      </c>
      <c r="S126" s="117" t="str">
        <f t="shared" si="25"/>
        <v>NO</v>
      </c>
      <c r="T126" s="117" t="str">
        <f t="shared" si="16"/>
        <v>SI</v>
      </c>
      <c r="U126" s="117" t="str">
        <f t="shared" si="17"/>
        <v>NO</v>
      </c>
      <c r="V126" s="117" t="str">
        <f t="shared" si="18"/>
        <v>NO</v>
      </c>
      <c r="W126" s="117" t="str">
        <f t="shared" si="19"/>
        <v>NO</v>
      </c>
      <c r="X126" s="132" t="b">
        <f t="shared" si="26"/>
        <v>0</v>
      </c>
    </row>
    <row r="127" spans="1:24" s="2" customFormat="1" ht="12" x14ac:dyDescent="0.15">
      <c r="A127" s="125" t="s">
        <v>87</v>
      </c>
      <c r="B127" s="139">
        <v>800107853</v>
      </c>
      <c r="C127" s="137" t="s">
        <v>228</v>
      </c>
      <c r="D127" s="137" t="s">
        <v>531</v>
      </c>
      <c r="E127" s="138">
        <v>4498570</v>
      </c>
      <c r="F127" s="138">
        <v>6433495</v>
      </c>
      <c r="G127" s="138">
        <v>2566560</v>
      </c>
      <c r="H127" s="138">
        <v>3095318</v>
      </c>
      <c r="I127" s="138">
        <v>3338177</v>
      </c>
      <c r="J127" s="138">
        <v>425144</v>
      </c>
      <c r="K127" s="138"/>
      <c r="L127" s="93">
        <f t="shared" si="20"/>
        <v>1932010</v>
      </c>
      <c r="M127" s="94">
        <f t="shared" si="27"/>
        <v>1.752762452465557</v>
      </c>
      <c r="N127" s="94">
        <f t="shared" si="21"/>
        <v>0.48112542249585954</v>
      </c>
      <c r="O127" s="94" t="s">
        <v>108</v>
      </c>
      <c r="P127" s="94">
        <f t="shared" si="15"/>
        <v>0.12735813589273426</v>
      </c>
      <c r="Q127" s="94">
        <f t="shared" si="23"/>
        <v>6.6082898953057398E-2</v>
      </c>
      <c r="R127" s="117" t="str">
        <f t="shared" si="24"/>
        <v>SI</v>
      </c>
      <c r="S127" s="117" t="str">
        <f t="shared" si="25"/>
        <v>NO</v>
      </c>
      <c r="T127" s="117" t="str">
        <f t="shared" si="16"/>
        <v>SI</v>
      </c>
      <c r="U127" s="117" t="str">
        <f t="shared" si="17"/>
        <v>SI</v>
      </c>
      <c r="V127" s="117" t="str">
        <f t="shared" si="18"/>
        <v>NO</v>
      </c>
      <c r="W127" s="117" t="str">
        <f t="shared" si="19"/>
        <v>NO</v>
      </c>
      <c r="X127" s="132" t="b">
        <f t="shared" si="26"/>
        <v>0</v>
      </c>
    </row>
    <row r="128" spans="1:24" s="2" customFormat="1" ht="12" x14ac:dyDescent="0.15">
      <c r="A128" s="125" t="s">
        <v>87</v>
      </c>
      <c r="B128" s="139">
        <v>800111618</v>
      </c>
      <c r="C128" s="137" t="s">
        <v>229</v>
      </c>
      <c r="D128" s="137" t="s">
        <v>531</v>
      </c>
      <c r="E128" s="138">
        <v>4388577</v>
      </c>
      <c r="F128" s="138">
        <v>5686629</v>
      </c>
      <c r="G128" s="138">
        <v>2059955</v>
      </c>
      <c r="H128" s="138">
        <v>2104399</v>
      </c>
      <c r="I128" s="138">
        <v>3582230</v>
      </c>
      <c r="J128" s="138">
        <v>1040000</v>
      </c>
      <c r="K128" s="138"/>
      <c r="L128" s="93">
        <f t="shared" si="20"/>
        <v>2328622</v>
      </c>
      <c r="M128" s="94">
        <f t="shared" si="27"/>
        <v>2.1304237228483145</v>
      </c>
      <c r="N128" s="94">
        <f t="shared" si="21"/>
        <v>0.37006089196253178</v>
      </c>
      <c r="O128" s="94" t="s">
        <v>108</v>
      </c>
      <c r="P128" s="94">
        <f t="shared" si="15"/>
        <v>0.29032195029353225</v>
      </c>
      <c r="Q128" s="94">
        <f t="shared" si="23"/>
        <v>0.18288515041160588</v>
      </c>
      <c r="R128" s="117" t="str">
        <f t="shared" si="24"/>
        <v>SI</v>
      </c>
      <c r="S128" s="117" t="str">
        <f t="shared" si="25"/>
        <v>SI</v>
      </c>
      <c r="T128" s="117" t="str">
        <f t="shared" si="16"/>
        <v>SI</v>
      </c>
      <c r="U128" s="117" t="str">
        <f t="shared" si="17"/>
        <v>SI</v>
      </c>
      <c r="V128" s="117" t="str">
        <f t="shared" si="18"/>
        <v>SI</v>
      </c>
      <c r="W128" s="117" t="str">
        <f t="shared" si="19"/>
        <v>SI</v>
      </c>
      <c r="X128" s="132" t="str">
        <f t="shared" si="26"/>
        <v>SI</v>
      </c>
    </row>
    <row r="129" spans="1:24" s="2" customFormat="1" ht="12" x14ac:dyDescent="0.15">
      <c r="A129" s="125" t="s">
        <v>87</v>
      </c>
      <c r="B129" s="139">
        <v>800115389</v>
      </c>
      <c r="C129" s="137" t="s">
        <v>230</v>
      </c>
      <c r="D129" s="137" t="s">
        <v>531</v>
      </c>
      <c r="E129" s="138">
        <v>3562512</v>
      </c>
      <c r="F129" s="138">
        <v>4549967</v>
      </c>
      <c r="G129" s="138">
        <v>1001177</v>
      </c>
      <c r="H129" s="138">
        <v>1391732</v>
      </c>
      <c r="I129" s="138">
        <v>3158235</v>
      </c>
      <c r="J129" s="138">
        <v>467296</v>
      </c>
      <c r="K129" s="138"/>
      <c r="L129" s="93">
        <f t="shared" si="20"/>
        <v>2561335</v>
      </c>
      <c r="M129" s="94"/>
      <c r="N129" s="94">
        <f t="shared" si="21"/>
        <v>0.30587738328651615</v>
      </c>
      <c r="O129" s="94" t="s">
        <v>108</v>
      </c>
      <c r="P129" s="94">
        <f t="shared" si="15"/>
        <v>0.14796112385557122</v>
      </c>
      <c r="Q129" s="94">
        <f t="shared" si="23"/>
        <v>0.10270316246249699</v>
      </c>
      <c r="R129" s="117" t="str">
        <f t="shared" si="24"/>
        <v>SI</v>
      </c>
      <c r="S129" s="117" t="str">
        <f t="shared" si="25"/>
        <v>NO</v>
      </c>
      <c r="T129" s="117" t="str">
        <f t="shared" si="16"/>
        <v>SI</v>
      </c>
      <c r="U129" s="117" t="str">
        <f t="shared" si="17"/>
        <v>SI</v>
      </c>
      <c r="V129" s="117" t="str">
        <f t="shared" si="18"/>
        <v>NO</v>
      </c>
      <c r="W129" s="117" t="str">
        <f t="shared" si="19"/>
        <v>SI</v>
      </c>
      <c r="X129" s="132" t="b">
        <f t="shared" si="26"/>
        <v>0</v>
      </c>
    </row>
    <row r="130" spans="1:24" s="2" customFormat="1" ht="12" x14ac:dyDescent="0.15">
      <c r="A130" s="125" t="s">
        <v>87</v>
      </c>
      <c r="B130" s="139">
        <v>800117139</v>
      </c>
      <c r="C130" s="137" t="s">
        <v>231</v>
      </c>
      <c r="D130" s="137" t="s">
        <v>531</v>
      </c>
      <c r="E130" s="138">
        <v>16490475</v>
      </c>
      <c r="F130" s="138">
        <v>17698371</v>
      </c>
      <c r="G130" s="138">
        <v>4440729</v>
      </c>
      <c r="H130" s="138">
        <v>9946003</v>
      </c>
      <c r="I130" s="138">
        <v>7752368</v>
      </c>
      <c r="J130" s="138">
        <v>735744</v>
      </c>
      <c r="K130" s="138">
        <v>801237</v>
      </c>
      <c r="L130" s="93">
        <f t="shared" si="20"/>
        <v>12049746</v>
      </c>
      <c r="M130" s="94"/>
      <c r="N130" s="94">
        <f t="shared" si="21"/>
        <v>0.56197279399330025</v>
      </c>
      <c r="O130" s="94">
        <f t="shared" si="22"/>
        <v>0.91826014025812586</v>
      </c>
      <c r="P130" s="94">
        <f t="shared" si="15"/>
        <v>9.4905711390377748E-2</v>
      </c>
      <c r="Q130" s="94">
        <f t="shared" si="23"/>
        <v>4.1571283594405387E-2</v>
      </c>
      <c r="R130" s="117" t="str">
        <f t="shared" si="24"/>
        <v>SI</v>
      </c>
      <c r="S130" s="117" t="str">
        <f t="shared" si="25"/>
        <v>NO</v>
      </c>
      <c r="T130" s="117" t="str">
        <f t="shared" si="16"/>
        <v>SI</v>
      </c>
      <c r="U130" s="117" t="str">
        <f t="shared" si="17"/>
        <v>NO</v>
      </c>
      <c r="V130" s="117" t="str">
        <f t="shared" si="18"/>
        <v>NO</v>
      </c>
      <c r="W130" s="117" t="str">
        <f t="shared" si="19"/>
        <v>NO</v>
      </c>
      <c r="X130" s="132" t="b">
        <f t="shared" si="26"/>
        <v>0</v>
      </c>
    </row>
    <row r="131" spans="1:24" s="2" customFormat="1" ht="12" x14ac:dyDescent="0.15">
      <c r="A131" s="125" t="s">
        <v>87</v>
      </c>
      <c r="B131" s="139">
        <v>800121606</v>
      </c>
      <c r="C131" s="137" t="s">
        <v>232</v>
      </c>
      <c r="D131" s="137" t="s">
        <v>531</v>
      </c>
      <c r="E131" s="138">
        <v>16367963</v>
      </c>
      <c r="F131" s="138">
        <v>17394096</v>
      </c>
      <c r="G131" s="138">
        <v>8046852</v>
      </c>
      <c r="H131" s="138">
        <v>9258016</v>
      </c>
      <c r="I131" s="138">
        <v>8136080</v>
      </c>
      <c r="J131" s="138">
        <v>1264363</v>
      </c>
      <c r="K131" s="138">
        <v>487571</v>
      </c>
      <c r="L131" s="93">
        <f t="shared" si="20"/>
        <v>8321111</v>
      </c>
      <c r="M131" s="94">
        <f t="shared" si="27"/>
        <v>2.034082769261818</v>
      </c>
      <c r="N131" s="94">
        <f t="shared" si="21"/>
        <v>0.53225048315244439</v>
      </c>
      <c r="O131" s="94">
        <f t="shared" si="22"/>
        <v>2.5931874537246884</v>
      </c>
      <c r="P131" s="94">
        <f t="shared" si="15"/>
        <v>0.15540198719776599</v>
      </c>
      <c r="Q131" s="94">
        <f t="shared" si="23"/>
        <v>7.2689204428905071E-2</v>
      </c>
      <c r="R131" s="117" t="str">
        <f t="shared" si="24"/>
        <v>SI</v>
      </c>
      <c r="S131" s="117" t="str">
        <f t="shared" si="25"/>
        <v>SI</v>
      </c>
      <c r="T131" s="117" t="str">
        <f t="shared" si="16"/>
        <v>SI</v>
      </c>
      <c r="U131" s="117" t="str">
        <f t="shared" si="17"/>
        <v>SI</v>
      </c>
      <c r="V131" s="117" t="str">
        <f t="shared" si="18"/>
        <v>NO</v>
      </c>
      <c r="W131" s="117" t="str">
        <f t="shared" si="19"/>
        <v>NO</v>
      </c>
      <c r="X131" s="132" t="b">
        <f t="shared" si="26"/>
        <v>0</v>
      </c>
    </row>
    <row r="132" spans="1:24" s="2" customFormat="1" ht="12" x14ac:dyDescent="0.15">
      <c r="A132" s="125" t="s">
        <v>87</v>
      </c>
      <c r="B132" s="139">
        <v>800126506</v>
      </c>
      <c r="C132" s="137" t="s">
        <v>233</v>
      </c>
      <c r="D132" s="137" t="s">
        <v>531</v>
      </c>
      <c r="E132" s="138">
        <v>19892758</v>
      </c>
      <c r="F132" s="138">
        <v>27097692</v>
      </c>
      <c r="G132" s="138">
        <v>4761130</v>
      </c>
      <c r="H132" s="138">
        <v>13494855</v>
      </c>
      <c r="I132" s="138">
        <v>13602837</v>
      </c>
      <c r="J132" s="138">
        <v>5285408</v>
      </c>
      <c r="K132" s="138">
        <v>1515205</v>
      </c>
      <c r="L132" s="93">
        <f t="shared" si="20"/>
        <v>15131628</v>
      </c>
      <c r="M132" s="94"/>
      <c r="N132" s="94">
        <f t="shared" si="21"/>
        <v>0.49800754248738233</v>
      </c>
      <c r="O132" s="94"/>
      <c r="P132" s="94">
        <f t="shared" si="15"/>
        <v>0.38855188810981123</v>
      </c>
      <c r="Q132" s="94">
        <f t="shared" si="23"/>
        <v>0.19505011718341178</v>
      </c>
      <c r="R132" s="117" t="str">
        <f t="shared" si="24"/>
        <v>SI</v>
      </c>
      <c r="S132" s="117" t="str">
        <f t="shared" si="25"/>
        <v>NO</v>
      </c>
      <c r="T132" s="117" t="str">
        <f t="shared" si="16"/>
        <v>SI</v>
      </c>
      <c r="U132" s="117" t="str">
        <f t="shared" si="17"/>
        <v>NO</v>
      </c>
      <c r="V132" s="117" t="str">
        <f t="shared" si="18"/>
        <v>SI</v>
      </c>
      <c r="W132" s="117" t="str">
        <f t="shared" si="19"/>
        <v>SI</v>
      </c>
      <c r="X132" s="132" t="b">
        <f t="shared" si="26"/>
        <v>0</v>
      </c>
    </row>
    <row r="133" spans="1:24" s="2" customFormat="1" ht="12" x14ac:dyDescent="0.15">
      <c r="A133" s="125" t="s">
        <v>87</v>
      </c>
      <c r="B133" s="139">
        <v>800136972</v>
      </c>
      <c r="C133" s="137" t="s">
        <v>234</v>
      </c>
      <c r="D133" s="137" t="s">
        <v>531</v>
      </c>
      <c r="E133" s="138">
        <v>9056802</v>
      </c>
      <c r="F133" s="138">
        <v>11262507</v>
      </c>
      <c r="G133" s="138">
        <v>1685843</v>
      </c>
      <c r="H133" s="138">
        <v>3836585</v>
      </c>
      <c r="I133" s="138">
        <v>7425922</v>
      </c>
      <c r="J133" s="138">
        <v>4593426</v>
      </c>
      <c r="K133" s="138">
        <v>1655942</v>
      </c>
      <c r="L133" s="93">
        <f t="shared" si="20"/>
        <v>7370959</v>
      </c>
      <c r="M133" s="94"/>
      <c r="N133" s="94">
        <f t="shared" si="21"/>
        <v>0.34065106463418848</v>
      </c>
      <c r="O133" s="94">
        <f t="shared" si="22"/>
        <v>2.7739051246963964</v>
      </c>
      <c r="P133" s="94">
        <f t="shared" si="15"/>
        <v>0.61856642178573917</v>
      </c>
      <c r="Q133" s="94">
        <f t="shared" si="23"/>
        <v>0.40785111165746668</v>
      </c>
      <c r="R133" s="117" t="str">
        <f t="shared" si="24"/>
        <v>SI</v>
      </c>
      <c r="S133" s="117" t="str">
        <f t="shared" si="25"/>
        <v>NO</v>
      </c>
      <c r="T133" s="117" t="str">
        <f t="shared" si="16"/>
        <v>SI</v>
      </c>
      <c r="U133" s="117" t="str">
        <f t="shared" si="17"/>
        <v>SI</v>
      </c>
      <c r="V133" s="117" t="str">
        <f t="shared" si="18"/>
        <v>SI</v>
      </c>
      <c r="W133" s="117" t="str">
        <f t="shared" si="19"/>
        <v>SI</v>
      </c>
      <c r="X133" s="132" t="b">
        <f t="shared" si="26"/>
        <v>0</v>
      </c>
    </row>
    <row r="134" spans="1:24" s="2" customFormat="1" ht="12" x14ac:dyDescent="0.15">
      <c r="A134" s="125" t="s">
        <v>87</v>
      </c>
      <c r="B134" s="139">
        <v>800152665</v>
      </c>
      <c r="C134" s="137" t="s">
        <v>235</v>
      </c>
      <c r="D134" s="137" t="s">
        <v>531</v>
      </c>
      <c r="E134" s="138">
        <v>7214071</v>
      </c>
      <c r="F134" s="138">
        <v>8027332</v>
      </c>
      <c r="G134" s="138">
        <v>541899</v>
      </c>
      <c r="H134" s="138">
        <v>1228372</v>
      </c>
      <c r="I134" s="138">
        <v>6798960</v>
      </c>
      <c r="J134" s="138">
        <v>1416734</v>
      </c>
      <c r="K134" s="138">
        <v>695688</v>
      </c>
      <c r="L134" s="93">
        <f t="shared" si="20"/>
        <v>6672172</v>
      </c>
      <c r="M134" s="94"/>
      <c r="N134" s="94">
        <f t="shared" si="21"/>
        <v>0.15302369454757819</v>
      </c>
      <c r="O134" s="94">
        <f t="shared" si="22"/>
        <v>2.0364502478122377</v>
      </c>
      <c r="P134" s="94">
        <f t="shared" si="15"/>
        <v>0.20837510442773602</v>
      </c>
      <c r="Q134" s="94">
        <f t="shared" si="23"/>
        <v>0.17648877609646643</v>
      </c>
      <c r="R134" s="117" t="str">
        <f t="shared" si="24"/>
        <v>SI</v>
      </c>
      <c r="S134" s="117" t="str">
        <f t="shared" si="25"/>
        <v>NO</v>
      </c>
      <c r="T134" s="117" t="str">
        <f t="shared" si="16"/>
        <v>SI</v>
      </c>
      <c r="U134" s="117" t="str">
        <f t="shared" si="17"/>
        <v>SI</v>
      </c>
      <c r="V134" s="117" t="str">
        <f t="shared" si="18"/>
        <v>SI</v>
      </c>
      <c r="W134" s="117" t="str">
        <f t="shared" si="19"/>
        <v>SI</v>
      </c>
      <c r="X134" s="132" t="b">
        <f t="shared" si="26"/>
        <v>0</v>
      </c>
    </row>
    <row r="135" spans="1:24" s="2" customFormat="1" ht="12" x14ac:dyDescent="0.15">
      <c r="A135" s="125" t="s">
        <v>87</v>
      </c>
      <c r="B135" s="139">
        <v>800164421</v>
      </c>
      <c r="C135" s="137" t="s">
        <v>236</v>
      </c>
      <c r="D135" s="137" t="s">
        <v>531</v>
      </c>
      <c r="E135" s="138">
        <v>4587205</v>
      </c>
      <c r="F135" s="138">
        <v>5172625</v>
      </c>
      <c r="G135" s="138">
        <v>1350514</v>
      </c>
      <c r="H135" s="138">
        <v>3795493</v>
      </c>
      <c r="I135" s="138">
        <v>1377132</v>
      </c>
      <c r="J135" s="138">
        <v>523022</v>
      </c>
      <c r="K135" s="138">
        <v>125878</v>
      </c>
      <c r="L135" s="93">
        <f t="shared" si="20"/>
        <v>3236691</v>
      </c>
      <c r="M135" s="94"/>
      <c r="N135" s="94">
        <f t="shared" si="21"/>
        <v>0.73376535124815734</v>
      </c>
      <c r="O135" s="94"/>
      <c r="P135" s="94">
        <f t="shared" si="15"/>
        <v>0.3797907535370611</v>
      </c>
      <c r="Q135" s="94">
        <f t="shared" si="23"/>
        <v>0.10111345786713709</v>
      </c>
      <c r="R135" s="117" t="str">
        <f t="shared" si="24"/>
        <v>SI</v>
      </c>
      <c r="S135" s="117" t="str">
        <f t="shared" si="25"/>
        <v>NO</v>
      </c>
      <c r="T135" s="117" t="str">
        <f t="shared" si="16"/>
        <v>SI</v>
      </c>
      <c r="U135" s="117" t="str">
        <f t="shared" si="17"/>
        <v>NO</v>
      </c>
      <c r="V135" s="117" t="str">
        <f t="shared" si="18"/>
        <v>SI</v>
      </c>
      <c r="W135" s="117" t="str">
        <f t="shared" si="19"/>
        <v>SI</v>
      </c>
      <c r="X135" s="132" t="b">
        <f t="shared" si="26"/>
        <v>0</v>
      </c>
    </row>
    <row r="136" spans="1:24" s="2" customFormat="1" ht="12" x14ac:dyDescent="0.15">
      <c r="A136" s="125" t="s">
        <v>87</v>
      </c>
      <c r="B136" s="139">
        <v>800168320</v>
      </c>
      <c r="C136" s="137" t="s">
        <v>237</v>
      </c>
      <c r="D136" s="137" t="s">
        <v>531</v>
      </c>
      <c r="E136" s="138">
        <v>1248618</v>
      </c>
      <c r="F136" s="138">
        <v>2285698</v>
      </c>
      <c r="G136" s="138">
        <v>627315</v>
      </c>
      <c r="H136" s="138">
        <v>1371494</v>
      </c>
      <c r="I136" s="138">
        <v>914204</v>
      </c>
      <c r="J136" s="138">
        <v>-146094</v>
      </c>
      <c r="K136" s="138">
        <v>98000</v>
      </c>
      <c r="L136" s="93">
        <f t="shared" si="20"/>
        <v>621303</v>
      </c>
      <c r="M136" s="94">
        <f t="shared" si="27"/>
        <v>1.9904162980320892</v>
      </c>
      <c r="N136" s="94">
        <f t="shared" si="21"/>
        <v>0.60003290023441413</v>
      </c>
      <c r="O136" s="94"/>
      <c r="P136" s="94">
        <f t="shared" si="15"/>
        <v>-0.15980459503568131</v>
      </c>
      <c r="Q136" s="94">
        <f t="shared" si="23"/>
        <v>-6.3916580405635387E-2</v>
      </c>
      <c r="R136" s="117" t="str">
        <f t="shared" si="24"/>
        <v>SI</v>
      </c>
      <c r="S136" s="117" t="str">
        <f t="shared" si="25"/>
        <v>SI</v>
      </c>
      <c r="T136" s="117" t="str">
        <f t="shared" si="16"/>
        <v>SI</v>
      </c>
      <c r="U136" s="117" t="str">
        <f t="shared" si="17"/>
        <v>NO</v>
      </c>
      <c r="V136" s="117" t="str">
        <f t="shared" si="18"/>
        <v>NO</v>
      </c>
      <c r="W136" s="117" t="str">
        <f t="shared" si="19"/>
        <v>NO</v>
      </c>
      <c r="X136" s="132" t="b">
        <f t="shared" si="26"/>
        <v>0</v>
      </c>
    </row>
    <row r="137" spans="1:24" s="2" customFormat="1" ht="12" x14ac:dyDescent="0.15">
      <c r="A137" s="125" t="s">
        <v>87</v>
      </c>
      <c r="B137" s="139">
        <v>800172301</v>
      </c>
      <c r="C137" s="137" t="s">
        <v>238</v>
      </c>
      <c r="D137" s="137" t="s">
        <v>531</v>
      </c>
      <c r="E137" s="138">
        <v>13407132</v>
      </c>
      <c r="F137" s="138">
        <v>21758114</v>
      </c>
      <c r="G137" s="138">
        <v>5482209</v>
      </c>
      <c r="H137" s="138">
        <v>8214703</v>
      </c>
      <c r="I137" s="138">
        <v>13543411</v>
      </c>
      <c r="J137" s="138">
        <v>2166714</v>
      </c>
      <c r="K137" s="138">
        <v>919036</v>
      </c>
      <c r="L137" s="93">
        <f t="shared" si="20"/>
        <v>7924923</v>
      </c>
      <c r="M137" s="94">
        <f t="shared" si="27"/>
        <v>2.4455711192331413</v>
      </c>
      <c r="N137" s="94">
        <f t="shared" si="21"/>
        <v>0.37754664765521495</v>
      </c>
      <c r="O137" s="94">
        <f t="shared" si="22"/>
        <v>2.3575942618134653</v>
      </c>
      <c r="P137" s="94">
        <f t="shared" si="15"/>
        <v>0.15998288761966981</v>
      </c>
      <c r="Q137" s="94">
        <f t="shared" si="23"/>
        <v>9.9581884716662489E-2</v>
      </c>
      <c r="R137" s="117" t="str">
        <f t="shared" si="24"/>
        <v>SI</v>
      </c>
      <c r="S137" s="117" t="str">
        <f t="shared" si="25"/>
        <v>SI</v>
      </c>
      <c r="T137" s="117" t="str">
        <f t="shared" si="16"/>
        <v>SI</v>
      </c>
      <c r="U137" s="117" t="str">
        <f t="shared" si="17"/>
        <v>SI</v>
      </c>
      <c r="V137" s="117" t="str">
        <f t="shared" si="18"/>
        <v>NO</v>
      </c>
      <c r="W137" s="117" t="str">
        <f t="shared" si="19"/>
        <v>SI</v>
      </c>
      <c r="X137" s="132" t="b">
        <f t="shared" si="26"/>
        <v>0</v>
      </c>
    </row>
    <row r="138" spans="1:24" s="2" customFormat="1" ht="12" x14ac:dyDescent="0.15">
      <c r="A138" s="125" t="s">
        <v>87</v>
      </c>
      <c r="B138" s="139">
        <v>800174381</v>
      </c>
      <c r="C138" s="137" t="s">
        <v>239</v>
      </c>
      <c r="D138" s="137" t="s">
        <v>531</v>
      </c>
      <c r="E138" s="138">
        <v>6133780</v>
      </c>
      <c r="F138" s="138">
        <v>6481575</v>
      </c>
      <c r="G138" s="138">
        <v>192910</v>
      </c>
      <c r="H138" s="138">
        <v>2326714</v>
      </c>
      <c r="I138" s="138">
        <v>4154861</v>
      </c>
      <c r="J138" s="138">
        <v>584775</v>
      </c>
      <c r="K138" s="138"/>
      <c r="L138" s="93">
        <f t="shared" si="20"/>
        <v>5940870</v>
      </c>
      <c r="M138" s="94"/>
      <c r="N138" s="94">
        <f t="shared" si="21"/>
        <v>0.3589735519530361</v>
      </c>
      <c r="O138" s="94" t="s">
        <v>108</v>
      </c>
      <c r="P138" s="94">
        <f t="shared" si="15"/>
        <v>0.1407447806316505</v>
      </c>
      <c r="Q138" s="94">
        <f t="shared" si="23"/>
        <v>9.0221126809456029E-2</v>
      </c>
      <c r="R138" s="117" t="str">
        <f t="shared" si="24"/>
        <v>SI</v>
      </c>
      <c r="S138" s="117" t="str">
        <f t="shared" si="25"/>
        <v>NO</v>
      </c>
      <c r="T138" s="117" t="str">
        <f t="shared" si="16"/>
        <v>SI</v>
      </c>
      <c r="U138" s="117" t="str">
        <f t="shared" si="17"/>
        <v>SI</v>
      </c>
      <c r="V138" s="117" t="str">
        <f t="shared" si="18"/>
        <v>NO</v>
      </c>
      <c r="W138" s="117" t="str">
        <f t="shared" si="19"/>
        <v>SI</v>
      </c>
      <c r="X138" s="132" t="b">
        <f t="shared" si="26"/>
        <v>0</v>
      </c>
    </row>
    <row r="139" spans="1:24" s="2" customFormat="1" ht="12" x14ac:dyDescent="0.15">
      <c r="A139" s="125" t="s">
        <v>87</v>
      </c>
      <c r="B139" s="139">
        <v>800185534</v>
      </c>
      <c r="C139" s="137" t="s">
        <v>240</v>
      </c>
      <c r="D139" s="137" t="s">
        <v>531</v>
      </c>
      <c r="E139" s="138">
        <v>5388510</v>
      </c>
      <c r="F139" s="138">
        <v>5874447</v>
      </c>
      <c r="G139" s="138">
        <v>1666612</v>
      </c>
      <c r="H139" s="138">
        <v>2273677</v>
      </c>
      <c r="I139" s="138">
        <v>3600770</v>
      </c>
      <c r="J139" s="138">
        <v>2022878</v>
      </c>
      <c r="K139" s="138"/>
      <c r="L139" s="93">
        <f t="shared" si="20"/>
        <v>3721898</v>
      </c>
      <c r="M139" s="94">
        <f t="shared" si="27"/>
        <v>3.233212049355219</v>
      </c>
      <c r="N139" s="94">
        <f t="shared" si="21"/>
        <v>0.38704528273044253</v>
      </c>
      <c r="O139" s="94" t="s">
        <v>108</v>
      </c>
      <c r="P139" s="94">
        <f t="shared" si="15"/>
        <v>0.56179039483221649</v>
      </c>
      <c r="Q139" s="94">
        <f t="shared" si="23"/>
        <v>0.34435207262913431</v>
      </c>
      <c r="R139" s="117" t="str">
        <f t="shared" si="24"/>
        <v>SI</v>
      </c>
      <c r="S139" s="117" t="str">
        <f t="shared" si="25"/>
        <v>SI</v>
      </c>
      <c r="T139" s="117" t="str">
        <f t="shared" si="16"/>
        <v>SI</v>
      </c>
      <c r="U139" s="117" t="str">
        <f t="shared" si="17"/>
        <v>SI</v>
      </c>
      <c r="V139" s="117" t="str">
        <f t="shared" si="18"/>
        <v>SI</v>
      </c>
      <c r="W139" s="117" t="str">
        <f t="shared" si="19"/>
        <v>SI</v>
      </c>
      <c r="X139" s="132" t="str">
        <f t="shared" si="26"/>
        <v>SI</v>
      </c>
    </row>
    <row r="140" spans="1:24" s="2" customFormat="1" ht="12" x14ac:dyDescent="0.15">
      <c r="A140" s="125" t="s">
        <v>87</v>
      </c>
      <c r="B140" s="139">
        <v>800189010</v>
      </c>
      <c r="C140" s="137" t="s">
        <v>241</v>
      </c>
      <c r="D140" s="137" t="s">
        <v>531</v>
      </c>
      <c r="E140" s="138">
        <v>12368798</v>
      </c>
      <c r="F140" s="138">
        <v>12470435</v>
      </c>
      <c r="G140" s="138">
        <v>4372771</v>
      </c>
      <c r="H140" s="138">
        <v>4486158</v>
      </c>
      <c r="I140" s="138">
        <v>7984277</v>
      </c>
      <c r="J140" s="138">
        <v>2285681</v>
      </c>
      <c r="K140" s="138">
        <v>477397</v>
      </c>
      <c r="L140" s="93">
        <f t="shared" si="20"/>
        <v>7996027</v>
      </c>
      <c r="M140" s="94">
        <f t="shared" si="27"/>
        <v>2.8285949572936704</v>
      </c>
      <c r="N140" s="94">
        <f t="shared" si="21"/>
        <v>0.35974350533882737</v>
      </c>
      <c r="O140" s="94"/>
      <c r="P140" s="94">
        <f t="shared" si="15"/>
        <v>0.28627275832238785</v>
      </c>
      <c r="Q140" s="94">
        <f t="shared" si="23"/>
        <v>0.18328799276047708</v>
      </c>
      <c r="R140" s="117" t="str">
        <f t="shared" si="24"/>
        <v>SI</v>
      </c>
      <c r="S140" s="117" t="str">
        <f t="shared" si="25"/>
        <v>SI</v>
      </c>
      <c r="T140" s="117" t="str">
        <f t="shared" si="16"/>
        <v>SI</v>
      </c>
      <c r="U140" s="117" t="str">
        <f t="shared" si="17"/>
        <v>NO</v>
      </c>
      <c r="V140" s="117" t="str">
        <f t="shared" si="18"/>
        <v>SI</v>
      </c>
      <c r="W140" s="117" t="str">
        <f t="shared" si="19"/>
        <v>SI</v>
      </c>
      <c r="X140" s="132" t="b">
        <f t="shared" si="26"/>
        <v>0</v>
      </c>
    </row>
    <row r="141" spans="1:24" s="2" customFormat="1" ht="12" x14ac:dyDescent="0.15">
      <c r="A141" s="125" t="s">
        <v>87</v>
      </c>
      <c r="B141" s="139">
        <v>800193265</v>
      </c>
      <c r="C141" s="137" t="s">
        <v>242</v>
      </c>
      <c r="D141" s="137" t="s">
        <v>531</v>
      </c>
      <c r="E141" s="138">
        <v>2548792</v>
      </c>
      <c r="F141" s="138">
        <v>3814319</v>
      </c>
      <c r="G141" s="138">
        <v>546068</v>
      </c>
      <c r="H141" s="138">
        <v>1660175</v>
      </c>
      <c r="I141" s="138">
        <v>2154144</v>
      </c>
      <c r="J141" s="138">
        <v>271482</v>
      </c>
      <c r="K141" s="138"/>
      <c r="L141" s="93">
        <f t="shared" si="20"/>
        <v>2002724</v>
      </c>
      <c r="M141" s="94">
        <f t="shared" si="27"/>
        <v>4.6675359112784491</v>
      </c>
      <c r="N141" s="94">
        <f t="shared" si="21"/>
        <v>0.43524807442691604</v>
      </c>
      <c r="O141" s="94" t="s">
        <v>108</v>
      </c>
      <c r="P141" s="94">
        <f t="shared" si="15"/>
        <v>0.12602778644324614</v>
      </c>
      <c r="Q141" s="94">
        <f t="shared" si="23"/>
        <v>7.1174435069536662E-2</v>
      </c>
      <c r="R141" s="117" t="str">
        <f t="shared" si="24"/>
        <v>SI</v>
      </c>
      <c r="S141" s="117" t="str">
        <f t="shared" si="25"/>
        <v>SI</v>
      </c>
      <c r="T141" s="117" t="str">
        <f t="shared" si="16"/>
        <v>SI</v>
      </c>
      <c r="U141" s="117" t="str">
        <f t="shared" si="17"/>
        <v>SI</v>
      </c>
      <c r="V141" s="117" t="str">
        <f t="shared" si="18"/>
        <v>NO</v>
      </c>
      <c r="W141" s="117" t="str">
        <f t="shared" si="19"/>
        <v>NO</v>
      </c>
      <c r="X141" s="132" t="b">
        <f t="shared" si="26"/>
        <v>0</v>
      </c>
    </row>
    <row r="142" spans="1:24" s="2" customFormat="1" ht="12" x14ac:dyDescent="0.15">
      <c r="A142" s="125" t="s">
        <v>87</v>
      </c>
      <c r="B142" s="139">
        <v>800198076</v>
      </c>
      <c r="C142" s="137" t="s">
        <v>243</v>
      </c>
      <c r="D142" s="137" t="s">
        <v>531</v>
      </c>
      <c r="E142" s="138">
        <v>4453557</v>
      </c>
      <c r="F142" s="138">
        <v>4476934</v>
      </c>
      <c r="G142" s="138">
        <v>788240</v>
      </c>
      <c r="H142" s="138">
        <v>1058326</v>
      </c>
      <c r="I142" s="138">
        <v>3418608</v>
      </c>
      <c r="J142" s="138">
        <v>171348</v>
      </c>
      <c r="K142" s="138">
        <v>113538</v>
      </c>
      <c r="L142" s="93">
        <f t="shared" si="20"/>
        <v>3665317</v>
      </c>
      <c r="M142" s="94">
        <f t="shared" si="27"/>
        <v>5.6500012686491425</v>
      </c>
      <c r="N142" s="94">
        <f t="shared" si="21"/>
        <v>0.23639526515244585</v>
      </c>
      <c r="O142" s="94">
        <f t="shared" si="22"/>
        <v>1.5091687364582782</v>
      </c>
      <c r="P142" s="94">
        <f t="shared" si="15"/>
        <v>5.0122154982378792E-2</v>
      </c>
      <c r="Q142" s="94">
        <f t="shared" si="23"/>
        <v>3.8273514865307376E-2</v>
      </c>
      <c r="R142" s="117" t="str">
        <f t="shared" si="24"/>
        <v>SI</v>
      </c>
      <c r="S142" s="117" t="str">
        <f t="shared" si="25"/>
        <v>SI</v>
      </c>
      <c r="T142" s="117" t="str">
        <f t="shared" si="16"/>
        <v>SI</v>
      </c>
      <c r="U142" s="117" t="str">
        <f t="shared" si="17"/>
        <v>SI</v>
      </c>
      <c r="V142" s="117" t="str">
        <f t="shared" si="18"/>
        <v>NO</v>
      </c>
      <c r="W142" s="117" t="str">
        <f t="shared" si="19"/>
        <v>NO</v>
      </c>
      <c r="X142" s="132" t="b">
        <f t="shared" si="26"/>
        <v>0</v>
      </c>
    </row>
    <row r="143" spans="1:24" s="2" customFormat="1" ht="12" x14ac:dyDescent="0.15">
      <c r="A143" s="125" t="s">
        <v>87</v>
      </c>
      <c r="B143" s="139">
        <v>800200388</v>
      </c>
      <c r="C143" s="137" t="s">
        <v>244</v>
      </c>
      <c r="D143" s="137" t="s">
        <v>531</v>
      </c>
      <c r="E143" s="138">
        <v>2900131</v>
      </c>
      <c r="F143" s="138">
        <v>3827962</v>
      </c>
      <c r="G143" s="138">
        <v>770818</v>
      </c>
      <c r="H143" s="138">
        <v>779175</v>
      </c>
      <c r="I143" s="138">
        <v>3048787</v>
      </c>
      <c r="J143" s="138">
        <v>371590</v>
      </c>
      <c r="K143" s="138">
        <v>28468</v>
      </c>
      <c r="L143" s="93">
        <f t="shared" si="20"/>
        <v>2129313</v>
      </c>
      <c r="M143" s="94">
        <f t="shared" si="27"/>
        <v>3.7624069495004009</v>
      </c>
      <c r="N143" s="94">
        <f t="shared" si="21"/>
        <v>0.20354825883851513</v>
      </c>
      <c r="O143" s="94"/>
      <c r="P143" s="94">
        <f t="shared" si="15"/>
        <v>0.12188125966162937</v>
      </c>
      <c r="Q143" s="94">
        <f t="shared" si="23"/>
        <v>9.7072541472459764E-2</v>
      </c>
      <c r="R143" s="117" t="str">
        <f t="shared" si="24"/>
        <v>SI</v>
      </c>
      <c r="S143" s="117" t="str">
        <f t="shared" si="25"/>
        <v>SI</v>
      </c>
      <c r="T143" s="117" t="str">
        <f t="shared" si="16"/>
        <v>SI</v>
      </c>
      <c r="U143" s="117" t="str">
        <f t="shared" si="17"/>
        <v>NO</v>
      </c>
      <c r="V143" s="117" t="str">
        <f t="shared" si="18"/>
        <v>NO</v>
      </c>
      <c r="W143" s="117" t="str">
        <f t="shared" si="19"/>
        <v>SI</v>
      </c>
      <c r="X143" s="132" t="b">
        <f t="shared" si="26"/>
        <v>0</v>
      </c>
    </row>
    <row r="144" spans="1:24" s="2" customFormat="1" ht="12" x14ac:dyDescent="0.15">
      <c r="A144" s="125" t="s">
        <v>87</v>
      </c>
      <c r="B144" s="139">
        <v>800203838</v>
      </c>
      <c r="C144" s="137" t="s">
        <v>245</v>
      </c>
      <c r="D144" s="137" t="s">
        <v>531</v>
      </c>
      <c r="E144" s="138">
        <v>4715974</v>
      </c>
      <c r="F144" s="138">
        <v>5718158</v>
      </c>
      <c r="G144" s="138">
        <v>304339</v>
      </c>
      <c r="H144" s="138">
        <v>4583203</v>
      </c>
      <c r="I144" s="138">
        <v>1134955</v>
      </c>
      <c r="J144" s="138">
        <v>79735</v>
      </c>
      <c r="K144" s="138"/>
      <c r="L144" s="93">
        <f t="shared" si="20"/>
        <v>4411635</v>
      </c>
      <c r="M144" s="94"/>
      <c r="N144" s="94">
        <f t="shared" si="21"/>
        <v>0.80151737674964563</v>
      </c>
      <c r="O144" s="94" t="s">
        <v>108</v>
      </c>
      <c r="P144" s="94">
        <f t="shared" ref="P144:P207" si="28">J144/I144</f>
        <v>7.0253886717975597E-2</v>
      </c>
      <c r="Q144" s="94">
        <f t="shared" si="23"/>
        <v>1.3944175729317028E-2</v>
      </c>
      <c r="R144" s="117" t="str">
        <f t="shared" si="24"/>
        <v>SI</v>
      </c>
      <c r="S144" s="117" t="str">
        <f t="shared" si="25"/>
        <v>NO</v>
      </c>
      <c r="T144" s="117" t="str">
        <f t="shared" ref="T144:T207" si="29">+IF(N144&lt;=$G$542,"SI","NO")</f>
        <v>SI</v>
      </c>
      <c r="U144" s="117" t="str">
        <f t="shared" ref="U144:U207" si="30">+IF(O144&gt;=$H$542,"SI","NO")</f>
        <v>SI</v>
      </c>
      <c r="V144" s="117" t="str">
        <f t="shared" ref="V144:V207" si="31">+IF(P144&gt;=$I$542,"SI","NO")</f>
        <v>NO</v>
      </c>
      <c r="W144" s="117" t="str">
        <f t="shared" ref="W144:W207" si="32">+IF(Q144&gt;=$J$542,"SI","NO")</f>
        <v>NO</v>
      </c>
      <c r="X144" s="132" t="b">
        <f t="shared" si="26"/>
        <v>0</v>
      </c>
    </row>
    <row r="145" spans="1:24" s="2" customFormat="1" ht="12" x14ac:dyDescent="0.15">
      <c r="A145" s="125" t="s">
        <v>87</v>
      </c>
      <c r="B145" s="139">
        <v>800204547</v>
      </c>
      <c r="C145" s="137" t="s">
        <v>246</v>
      </c>
      <c r="D145" s="137" t="s">
        <v>531</v>
      </c>
      <c r="E145" s="138">
        <v>13965213</v>
      </c>
      <c r="F145" s="138">
        <v>15763077</v>
      </c>
      <c r="G145" s="138">
        <v>3703294</v>
      </c>
      <c r="H145" s="138">
        <v>3703294</v>
      </c>
      <c r="I145" s="138">
        <v>12059783</v>
      </c>
      <c r="J145" s="138">
        <v>353590</v>
      </c>
      <c r="K145" s="138">
        <v>209293</v>
      </c>
      <c r="L145" s="93">
        <f t="shared" ref="L145:L208" si="33">E145-G145</f>
        <v>10261919</v>
      </c>
      <c r="M145" s="94">
        <f t="shared" ref="M145:M204" si="34">E145/G145</f>
        <v>3.771024660747972</v>
      </c>
      <c r="N145" s="94">
        <f t="shared" ref="N145:N208" si="35">H145/F145</f>
        <v>0.23493471484025613</v>
      </c>
      <c r="O145" s="94">
        <f t="shared" ref="O145:O205" si="36">J145/K145</f>
        <v>1.6894497188152495</v>
      </c>
      <c r="P145" s="94">
        <f t="shared" si="28"/>
        <v>2.931976470886748E-2</v>
      </c>
      <c r="Q145" s="94">
        <f t="shared" ref="Q145:Q208" si="37">J145/F145</f>
        <v>2.2431534147806294E-2</v>
      </c>
      <c r="R145" s="117" t="str">
        <f t="shared" ref="R145:R208" si="38">+IF(L145&gt;=$R$14,"SI","NO")</f>
        <v>SI</v>
      </c>
      <c r="S145" s="117" t="str">
        <f t="shared" ref="S145:S208" si="39">+IF(M145&gt;=$F$542,"SI","NO")</f>
        <v>SI</v>
      </c>
      <c r="T145" s="117" t="str">
        <f t="shared" si="29"/>
        <v>SI</v>
      </c>
      <c r="U145" s="117" t="str">
        <f t="shared" si="30"/>
        <v>SI</v>
      </c>
      <c r="V145" s="117" t="str">
        <f t="shared" si="31"/>
        <v>NO</v>
      </c>
      <c r="W145" s="117" t="str">
        <f t="shared" si="32"/>
        <v>NO</v>
      </c>
      <c r="X145" s="132" t="b">
        <f t="shared" ref="X145:X208" si="40">+IF(R145="SI",IF(S145="SI",IF(T145="SI",IF(U145="SI",IF(V145="SI",IF(W145="SI","SI","NO"))))))</f>
        <v>0</v>
      </c>
    </row>
    <row r="146" spans="1:24" s="2" customFormat="1" ht="12" x14ac:dyDescent="0.15">
      <c r="A146" s="125" t="s">
        <v>87</v>
      </c>
      <c r="B146" s="139">
        <v>800204652</v>
      </c>
      <c r="C146" s="137" t="s">
        <v>247</v>
      </c>
      <c r="D146" s="137" t="s">
        <v>531</v>
      </c>
      <c r="E146" s="138">
        <v>21561213</v>
      </c>
      <c r="F146" s="138">
        <v>28528674</v>
      </c>
      <c r="G146" s="138">
        <v>8264413</v>
      </c>
      <c r="H146" s="138">
        <v>14428153</v>
      </c>
      <c r="I146" s="138">
        <v>14100521</v>
      </c>
      <c r="J146" s="138">
        <v>2375072</v>
      </c>
      <c r="K146" s="138">
        <v>974581</v>
      </c>
      <c r="L146" s="93">
        <f t="shared" si="33"/>
        <v>13296800</v>
      </c>
      <c r="M146" s="94"/>
      <c r="N146" s="94">
        <f t="shared" si="35"/>
        <v>0.50574215261459399</v>
      </c>
      <c r="O146" s="94">
        <f t="shared" si="36"/>
        <v>2.4370185751620439</v>
      </c>
      <c r="P146" s="94">
        <f t="shared" si="28"/>
        <v>0.16843859882907872</v>
      </c>
      <c r="Q146" s="94">
        <f t="shared" si="37"/>
        <v>8.3252099273874419E-2</v>
      </c>
      <c r="R146" s="117" t="str">
        <f t="shared" si="38"/>
        <v>SI</v>
      </c>
      <c r="S146" s="117" t="str">
        <f t="shared" si="39"/>
        <v>NO</v>
      </c>
      <c r="T146" s="117" t="str">
        <f t="shared" si="29"/>
        <v>SI</v>
      </c>
      <c r="U146" s="117" t="str">
        <f t="shared" si="30"/>
        <v>SI</v>
      </c>
      <c r="V146" s="117" t="str">
        <f t="shared" si="31"/>
        <v>NO</v>
      </c>
      <c r="W146" s="117" t="str">
        <f t="shared" si="32"/>
        <v>NO</v>
      </c>
      <c r="X146" s="132" t="b">
        <f t="shared" si="40"/>
        <v>0</v>
      </c>
    </row>
    <row r="147" spans="1:24" s="2" customFormat="1" ht="12" x14ac:dyDescent="0.15">
      <c r="A147" s="125" t="s">
        <v>87</v>
      </c>
      <c r="B147" s="139">
        <v>800208795</v>
      </c>
      <c r="C147" s="137" t="s">
        <v>248</v>
      </c>
      <c r="D147" s="137" t="s">
        <v>531</v>
      </c>
      <c r="E147" s="138">
        <v>9948072</v>
      </c>
      <c r="F147" s="138">
        <v>19005371</v>
      </c>
      <c r="G147" s="138">
        <v>1950846</v>
      </c>
      <c r="H147" s="138">
        <v>6719482</v>
      </c>
      <c r="I147" s="138">
        <v>12285889</v>
      </c>
      <c r="J147" s="138">
        <v>3861983</v>
      </c>
      <c r="K147" s="138">
        <v>63989</v>
      </c>
      <c r="L147" s="93">
        <f t="shared" si="33"/>
        <v>7997226</v>
      </c>
      <c r="M147" s="94"/>
      <c r="N147" s="94">
        <f t="shared" si="35"/>
        <v>0.35355700238632543</v>
      </c>
      <c r="O147" s="94"/>
      <c r="P147" s="94">
        <f t="shared" si="28"/>
        <v>0.31434298323873838</v>
      </c>
      <c r="Q147" s="94">
        <f t="shared" si="37"/>
        <v>0.2032048203636751</v>
      </c>
      <c r="R147" s="117" t="str">
        <f t="shared" si="38"/>
        <v>SI</v>
      </c>
      <c r="S147" s="117" t="str">
        <f t="shared" si="39"/>
        <v>NO</v>
      </c>
      <c r="T147" s="117" t="str">
        <f t="shared" si="29"/>
        <v>SI</v>
      </c>
      <c r="U147" s="117" t="str">
        <f t="shared" si="30"/>
        <v>NO</v>
      </c>
      <c r="V147" s="117" t="str">
        <f t="shared" si="31"/>
        <v>SI</v>
      </c>
      <c r="W147" s="117" t="str">
        <f t="shared" si="32"/>
        <v>SI</v>
      </c>
      <c r="X147" s="132" t="b">
        <f t="shared" si="40"/>
        <v>0</v>
      </c>
    </row>
    <row r="148" spans="1:24" s="2" customFormat="1" ht="12" x14ac:dyDescent="0.15">
      <c r="A148" s="125" t="s">
        <v>87</v>
      </c>
      <c r="B148" s="139">
        <v>800212989</v>
      </c>
      <c r="C148" s="137" t="s">
        <v>249</v>
      </c>
      <c r="D148" s="137" t="s">
        <v>531</v>
      </c>
      <c r="E148" s="138">
        <v>2107712</v>
      </c>
      <c r="F148" s="138">
        <v>4140362</v>
      </c>
      <c r="G148" s="138">
        <v>775580</v>
      </c>
      <c r="H148" s="138">
        <v>2255344</v>
      </c>
      <c r="I148" s="138">
        <v>1885018</v>
      </c>
      <c r="J148" s="138">
        <v>401899</v>
      </c>
      <c r="K148" s="138">
        <v>237508</v>
      </c>
      <c r="L148" s="93">
        <f t="shared" si="33"/>
        <v>1332132</v>
      </c>
      <c r="M148" s="94">
        <f t="shared" si="34"/>
        <v>2.7175945743830425</v>
      </c>
      <c r="N148" s="94">
        <f t="shared" si="35"/>
        <v>0.54472145189237076</v>
      </c>
      <c r="O148" s="94">
        <f t="shared" si="36"/>
        <v>1.6921493170756354</v>
      </c>
      <c r="P148" s="94">
        <f t="shared" si="28"/>
        <v>0.21320698263889257</v>
      </c>
      <c r="Q148" s="94">
        <f t="shared" si="37"/>
        <v>9.706856550224352E-2</v>
      </c>
      <c r="R148" s="117" t="str">
        <f t="shared" si="38"/>
        <v>SI</v>
      </c>
      <c r="S148" s="117" t="str">
        <f t="shared" si="39"/>
        <v>SI</v>
      </c>
      <c r="T148" s="117" t="str">
        <f t="shared" si="29"/>
        <v>SI</v>
      </c>
      <c r="U148" s="117" t="str">
        <f t="shared" si="30"/>
        <v>SI</v>
      </c>
      <c r="V148" s="117" t="str">
        <f t="shared" si="31"/>
        <v>SI</v>
      </c>
      <c r="W148" s="117" t="str">
        <f t="shared" si="32"/>
        <v>SI</v>
      </c>
      <c r="X148" s="132" t="str">
        <f t="shared" si="40"/>
        <v>SI</v>
      </c>
    </row>
    <row r="149" spans="1:24" s="2" customFormat="1" ht="12" x14ac:dyDescent="0.15">
      <c r="A149" s="125" t="s">
        <v>87</v>
      </c>
      <c r="B149" s="139">
        <v>800214805</v>
      </c>
      <c r="C149" s="137" t="s">
        <v>250</v>
      </c>
      <c r="D149" s="137" t="s">
        <v>531</v>
      </c>
      <c r="E149" s="138">
        <v>722952</v>
      </c>
      <c r="F149" s="138">
        <v>4475014</v>
      </c>
      <c r="G149" s="138">
        <v>2124862</v>
      </c>
      <c r="H149" s="138">
        <v>2175862</v>
      </c>
      <c r="I149" s="138">
        <v>2299152</v>
      </c>
      <c r="J149" s="138">
        <v>341546</v>
      </c>
      <c r="K149" s="138">
        <v>69996</v>
      </c>
      <c r="L149" s="93">
        <f t="shared" si="33"/>
        <v>-1401910</v>
      </c>
      <c r="M149" s="94">
        <f t="shared" si="34"/>
        <v>0.34023480113061461</v>
      </c>
      <c r="N149" s="94">
        <f t="shared" si="35"/>
        <v>0.48622462410173467</v>
      </c>
      <c r="O149" s="94"/>
      <c r="P149" s="94">
        <f t="shared" si="28"/>
        <v>0.14855303172648002</v>
      </c>
      <c r="Q149" s="94">
        <f t="shared" si="37"/>
        <v>7.6322889716099213E-2</v>
      </c>
      <c r="R149" s="117" t="str">
        <f t="shared" si="38"/>
        <v>NO</v>
      </c>
      <c r="S149" s="117" t="str">
        <f t="shared" si="39"/>
        <v>NO</v>
      </c>
      <c r="T149" s="117" t="str">
        <f t="shared" si="29"/>
        <v>SI</v>
      </c>
      <c r="U149" s="117" t="str">
        <f t="shared" si="30"/>
        <v>NO</v>
      </c>
      <c r="V149" s="117" t="str">
        <f t="shared" si="31"/>
        <v>NO</v>
      </c>
      <c r="W149" s="117" t="str">
        <f t="shared" si="32"/>
        <v>NO</v>
      </c>
      <c r="X149" s="132" t="b">
        <f t="shared" si="40"/>
        <v>0</v>
      </c>
    </row>
    <row r="150" spans="1:24" s="2" customFormat="1" ht="12" x14ac:dyDescent="0.15">
      <c r="A150" s="125" t="s">
        <v>87</v>
      </c>
      <c r="B150" s="139">
        <v>800222033</v>
      </c>
      <c r="C150" s="137" t="s">
        <v>251</v>
      </c>
      <c r="D150" s="137" t="s">
        <v>531</v>
      </c>
      <c r="E150" s="138">
        <v>1892448</v>
      </c>
      <c r="F150" s="138">
        <v>11597299</v>
      </c>
      <c r="G150" s="138">
        <v>1555797</v>
      </c>
      <c r="H150" s="138">
        <v>3361619</v>
      </c>
      <c r="I150" s="138">
        <v>8235680</v>
      </c>
      <c r="J150" s="138">
        <v>662225</v>
      </c>
      <c r="K150" s="138">
        <v>419623</v>
      </c>
      <c r="L150" s="93">
        <f t="shared" si="33"/>
        <v>336651</v>
      </c>
      <c r="M150" s="94">
        <f t="shared" si="34"/>
        <v>1.2163849139701388</v>
      </c>
      <c r="N150" s="94">
        <f t="shared" si="35"/>
        <v>0.28986223430128</v>
      </c>
      <c r="O150" s="94">
        <f t="shared" si="36"/>
        <v>1.578142761478756</v>
      </c>
      <c r="P150" s="94">
        <f t="shared" si="28"/>
        <v>8.04092679657296E-2</v>
      </c>
      <c r="Q150" s="94">
        <f t="shared" si="37"/>
        <v>5.7101657894652887E-2</v>
      </c>
      <c r="R150" s="117" t="str">
        <f t="shared" si="38"/>
        <v>SI</v>
      </c>
      <c r="S150" s="117" t="str">
        <f t="shared" si="39"/>
        <v>NO</v>
      </c>
      <c r="T150" s="117" t="str">
        <f t="shared" si="29"/>
        <v>SI</v>
      </c>
      <c r="U150" s="117" t="str">
        <f t="shared" si="30"/>
        <v>SI</v>
      </c>
      <c r="V150" s="117" t="str">
        <f t="shared" si="31"/>
        <v>NO</v>
      </c>
      <c r="W150" s="117" t="str">
        <f t="shared" si="32"/>
        <v>NO</v>
      </c>
      <c r="X150" s="132" t="b">
        <f t="shared" si="40"/>
        <v>0</v>
      </c>
    </row>
    <row r="151" spans="1:24" s="2" customFormat="1" ht="12" x14ac:dyDescent="0.15">
      <c r="A151" s="125" t="s">
        <v>87</v>
      </c>
      <c r="B151" s="139">
        <v>800223278</v>
      </c>
      <c r="C151" s="137" t="s">
        <v>252</v>
      </c>
      <c r="D151" s="137" t="s">
        <v>531</v>
      </c>
      <c r="E151" s="138">
        <v>3477570</v>
      </c>
      <c r="F151" s="138">
        <v>3516013</v>
      </c>
      <c r="G151" s="138">
        <v>611171</v>
      </c>
      <c r="H151" s="138">
        <v>611171</v>
      </c>
      <c r="I151" s="138">
        <v>2904842</v>
      </c>
      <c r="J151" s="138">
        <v>615700</v>
      </c>
      <c r="K151" s="138"/>
      <c r="L151" s="93">
        <f t="shared" si="33"/>
        <v>2866399</v>
      </c>
      <c r="M151" s="94"/>
      <c r="N151" s="94">
        <f t="shared" si="35"/>
        <v>0.17382501145473581</v>
      </c>
      <c r="O151" s="94" t="s">
        <v>108</v>
      </c>
      <c r="P151" s="94">
        <f t="shared" si="28"/>
        <v>0.2119564506434429</v>
      </c>
      <c r="Q151" s="94">
        <f t="shared" si="37"/>
        <v>0.1751131181824413</v>
      </c>
      <c r="R151" s="117" t="str">
        <f t="shared" si="38"/>
        <v>SI</v>
      </c>
      <c r="S151" s="117" t="str">
        <f t="shared" si="39"/>
        <v>NO</v>
      </c>
      <c r="T151" s="117" t="str">
        <f t="shared" si="29"/>
        <v>SI</v>
      </c>
      <c r="U151" s="117" t="str">
        <f t="shared" si="30"/>
        <v>SI</v>
      </c>
      <c r="V151" s="117" t="str">
        <f t="shared" si="31"/>
        <v>SI</v>
      </c>
      <c r="W151" s="117" t="str">
        <f t="shared" si="32"/>
        <v>SI</v>
      </c>
      <c r="X151" s="132" t="b">
        <f t="shared" si="40"/>
        <v>0</v>
      </c>
    </row>
    <row r="152" spans="1:24" s="2" customFormat="1" ht="12" x14ac:dyDescent="0.15">
      <c r="A152" s="125" t="s">
        <v>87</v>
      </c>
      <c r="B152" s="139">
        <v>800226013</v>
      </c>
      <c r="C152" s="137" t="s">
        <v>253</v>
      </c>
      <c r="D152" s="137" t="s">
        <v>531</v>
      </c>
      <c r="E152" s="138">
        <v>6657343</v>
      </c>
      <c r="F152" s="138">
        <v>8414425</v>
      </c>
      <c r="G152" s="138">
        <v>1319634</v>
      </c>
      <c r="H152" s="138">
        <v>1589206</v>
      </c>
      <c r="I152" s="138">
        <v>6825219</v>
      </c>
      <c r="J152" s="138">
        <v>1055861</v>
      </c>
      <c r="K152" s="138"/>
      <c r="L152" s="93">
        <f t="shared" si="33"/>
        <v>5337709</v>
      </c>
      <c r="M152" s="94"/>
      <c r="N152" s="94">
        <f t="shared" si="35"/>
        <v>0.18886685661824784</v>
      </c>
      <c r="O152" s="94" t="s">
        <v>108</v>
      </c>
      <c r="P152" s="94">
        <f t="shared" si="28"/>
        <v>0.15469994442669166</v>
      </c>
      <c r="Q152" s="94">
        <f t="shared" si="37"/>
        <v>0.12548225220380477</v>
      </c>
      <c r="R152" s="117" t="str">
        <f t="shared" si="38"/>
        <v>SI</v>
      </c>
      <c r="S152" s="117" t="str">
        <f t="shared" si="39"/>
        <v>NO</v>
      </c>
      <c r="T152" s="117" t="str">
        <f t="shared" si="29"/>
        <v>SI</v>
      </c>
      <c r="U152" s="117" t="str">
        <f t="shared" si="30"/>
        <v>SI</v>
      </c>
      <c r="V152" s="117" t="str">
        <f t="shared" si="31"/>
        <v>NO</v>
      </c>
      <c r="W152" s="117" t="str">
        <f t="shared" si="32"/>
        <v>SI</v>
      </c>
      <c r="X152" s="132" t="b">
        <f t="shared" si="40"/>
        <v>0</v>
      </c>
    </row>
    <row r="153" spans="1:24" s="2" customFormat="1" ht="12" x14ac:dyDescent="0.15">
      <c r="A153" s="125" t="s">
        <v>87</v>
      </c>
      <c r="B153" s="139">
        <v>800227915</v>
      </c>
      <c r="C153" s="137" t="s">
        <v>254</v>
      </c>
      <c r="D153" s="137" t="s">
        <v>531</v>
      </c>
      <c r="E153" s="138">
        <v>6660947</v>
      </c>
      <c r="F153" s="138">
        <v>8392007</v>
      </c>
      <c r="G153" s="138">
        <v>3766226</v>
      </c>
      <c r="H153" s="138">
        <v>7741179</v>
      </c>
      <c r="I153" s="138">
        <v>650828</v>
      </c>
      <c r="J153" s="138">
        <v>-169987</v>
      </c>
      <c r="K153" s="138"/>
      <c r="L153" s="93">
        <f t="shared" si="33"/>
        <v>2894721</v>
      </c>
      <c r="M153" s="94">
        <f t="shared" si="34"/>
        <v>1.7685999193887993</v>
      </c>
      <c r="N153" s="94">
        <f t="shared" si="35"/>
        <v>0.92244668051397005</v>
      </c>
      <c r="O153" s="94" t="s">
        <v>108</v>
      </c>
      <c r="P153" s="94">
        <f t="shared" si="28"/>
        <v>-0.26118575107401648</v>
      </c>
      <c r="Q153" s="94">
        <f t="shared" si="37"/>
        <v>-2.0255821998241899E-2</v>
      </c>
      <c r="R153" s="117" t="str">
        <f t="shared" si="38"/>
        <v>SI</v>
      </c>
      <c r="S153" s="117" t="str">
        <f t="shared" si="39"/>
        <v>NO</v>
      </c>
      <c r="T153" s="117" t="str">
        <f t="shared" si="29"/>
        <v>SI</v>
      </c>
      <c r="U153" s="117" t="str">
        <f t="shared" si="30"/>
        <v>SI</v>
      </c>
      <c r="V153" s="117" t="str">
        <f t="shared" si="31"/>
        <v>NO</v>
      </c>
      <c r="W153" s="117" t="str">
        <f t="shared" si="32"/>
        <v>NO</v>
      </c>
      <c r="X153" s="132" t="b">
        <f t="shared" si="40"/>
        <v>0</v>
      </c>
    </row>
    <row r="154" spans="1:24" s="2" customFormat="1" ht="12" x14ac:dyDescent="0.15">
      <c r="A154" s="125" t="s">
        <v>87</v>
      </c>
      <c r="B154" s="139">
        <v>800230972</v>
      </c>
      <c r="C154" s="137" t="s">
        <v>255</v>
      </c>
      <c r="D154" s="137" t="s">
        <v>531</v>
      </c>
      <c r="E154" s="138">
        <v>11425760</v>
      </c>
      <c r="F154" s="138">
        <v>14476014</v>
      </c>
      <c r="G154" s="138">
        <v>12943109</v>
      </c>
      <c r="H154" s="138">
        <v>13122577</v>
      </c>
      <c r="I154" s="138">
        <v>1353437</v>
      </c>
      <c r="J154" s="138">
        <v>-395174</v>
      </c>
      <c r="K154" s="138"/>
      <c r="L154" s="93">
        <f t="shared" si="33"/>
        <v>-1517349</v>
      </c>
      <c r="M154" s="94">
        <f t="shared" si="34"/>
        <v>0.88276781104138113</v>
      </c>
      <c r="N154" s="94">
        <f t="shared" si="35"/>
        <v>0.90650485693092031</v>
      </c>
      <c r="O154" s="94" t="s">
        <v>108</v>
      </c>
      <c r="P154" s="94">
        <f t="shared" si="28"/>
        <v>-0.29197812679866147</v>
      </c>
      <c r="Q154" s="94">
        <f t="shared" si="37"/>
        <v>-2.7298536738082736E-2</v>
      </c>
      <c r="R154" s="117" t="str">
        <f t="shared" si="38"/>
        <v>NO</v>
      </c>
      <c r="S154" s="117" t="str">
        <f t="shared" si="39"/>
        <v>NO</v>
      </c>
      <c r="T154" s="117" t="str">
        <f t="shared" si="29"/>
        <v>SI</v>
      </c>
      <c r="U154" s="117" t="str">
        <f t="shared" si="30"/>
        <v>SI</v>
      </c>
      <c r="V154" s="117" t="str">
        <f t="shared" si="31"/>
        <v>NO</v>
      </c>
      <c r="W154" s="117" t="str">
        <f t="shared" si="32"/>
        <v>NO</v>
      </c>
      <c r="X154" s="132" t="b">
        <f t="shared" si="40"/>
        <v>0</v>
      </c>
    </row>
    <row r="155" spans="1:24" s="2" customFormat="1" ht="12" x14ac:dyDescent="0.15">
      <c r="A155" s="125" t="s">
        <v>87</v>
      </c>
      <c r="B155" s="139">
        <v>800236878</v>
      </c>
      <c r="C155" s="137" t="s">
        <v>256</v>
      </c>
      <c r="D155" s="137" t="s">
        <v>531</v>
      </c>
      <c r="E155" s="138">
        <v>5068852</v>
      </c>
      <c r="F155" s="138">
        <v>7798378</v>
      </c>
      <c r="G155" s="138">
        <v>1210111</v>
      </c>
      <c r="H155" s="138">
        <v>1412874</v>
      </c>
      <c r="I155" s="138">
        <v>6385504</v>
      </c>
      <c r="J155" s="138">
        <v>1280469</v>
      </c>
      <c r="K155" s="138">
        <v>299773</v>
      </c>
      <c r="L155" s="93">
        <f t="shared" si="33"/>
        <v>3858741</v>
      </c>
      <c r="M155" s="94">
        <f t="shared" si="34"/>
        <v>4.1887496271003242</v>
      </c>
      <c r="N155" s="94">
        <f t="shared" si="35"/>
        <v>0.18117536749308638</v>
      </c>
      <c r="O155" s="94"/>
      <c r="P155" s="94">
        <f t="shared" si="28"/>
        <v>0.20052747598310172</v>
      </c>
      <c r="Q155" s="94">
        <f t="shared" si="37"/>
        <v>0.16419683682940223</v>
      </c>
      <c r="R155" s="117" t="str">
        <f t="shared" si="38"/>
        <v>SI</v>
      </c>
      <c r="S155" s="117" t="str">
        <f t="shared" si="39"/>
        <v>SI</v>
      </c>
      <c r="T155" s="117" t="str">
        <f t="shared" si="29"/>
        <v>SI</v>
      </c>
      <c r="U155" s="117" t="str">
        <f t="shared" si="30"/>
        <v>NO</v>
      </c>
      <c r="V155" s="117" t="str">
        <f t="shared" si="31"/>
        <v>SI</v>
      </c>
      <c r="W155" s="117" t="str">
        <f t="shared" si="32"/>
        <v>SI</v>
      </c>
      <c r="X155" s="132" t="b">
        <f t="shared" si="40"/>
        <v>0</v>
      </c>
    </row>
    <row r="156" spans="1:24" s="2" customFormat="1" ht="12" x14ac:dyDescent="0.15">
      <c r="A156" s="125" t="s">
        <v>87</v>
      </c>
      <c r="B156" s="139">
        <v>800243987</v>
      </c>
      <c r="C156" s="137" t="s">
        <v>257</v>
      </c>
      <c r="D156" s="137" t="s">
        <v>531</v>
      </c>
      <c r="E156" s="138">
        <v>872385</v>
      </c>
      <c r="F156" s="138">
        <v>939876</v>
      </c>
      <c r="G156" s="138">
        <v>75186</v>
      </c>
      <c r="H156" s="138">
        <v>78127</v>
      </c>
      <c r="I156" s="138">
        <v>861749</v>
      </c>
      <c r="J156" s="138">
        <v>91237</v>
      </c>
      <c r="K156" s="138">
        <v>18107</v>
      </c>
      <c r="L156" s="93">
        <f t="shared" si="33"/>
        <v>797199</v>
      </c>
      <c r="M156" s="94"/>
      <c r="N156" s="94">
        <f t="shared" si="35"/>
        <v>8.3124795185747904E-2</v>
      </c>
      <c r="O156" s="94"/>
      <c r="P156" s="94">
        <f t="shared" si="28"/>
        <v>0.1058742162741123</v>
      </c>
      <c r="Q156" s="94">
        <f t="shared" si="37"/>
        <v>9.7073443730875134E-2</v>
      </c>
      <c r="R156" s="117" t="str">
        <f t="shared" si="38"/>
        <v>SI</v>
      </c>
      <c r="S156" s="117" t="str">
        <f t="shared" si="39"/>
        <v>NO</v>
      </c>
      <c r="T156" s="117" t="str">
        <f t="shared" si="29"/>
        <v>SI</v>
      </c>
      <c r="U156" s="117" t="str">
        <f t="shared" si="30"/>
        <v>NO</v>
      </c>
      <c r="V156" s="117" t="str">
        <f t="shared" si="31"/>
        <v>NO</v>
      </c>
      <c r="W156" s="117" t="str">
        <f t="shared" si="32"/>
        <v>SI</v>
      </c>
      <c r="X156" s="132" t="b">
        <f t="shared" si="40"/>
        <v>0</v>
      </c>
    </row>
    <row r="157" spans="1:24" s="2" customFormat="1" ht="12" x14ac:dyDescent="0.15">
      <c r="A157" s="125" t="s">
        <v>87</v>
      </c>
      <c r="B157" s="139">
        <v>800247023</v>
      </c>
      <c r="C157" s="137" t="s">
        <v>258</v>
      </c>
      <c r="D157" s="137" t="s">
        <v>531</v>
      </c>
      <c r="E157" s="138">
        <v>2183209</v>
      </c>
      <c r="F157" s="138">
        <v>4349111</v>
      </c>
      <c r="G157" s="138">
        <v>20826</v>
      </c>
      <c r="H157" s="138">
        <v>22697</v>
      </c>
      <c r="I157" s="138">
        <v>4326414</v>
      </c>
      <c r="J157" s="138">
        <v>23249</v>
      </c>
      <c r="K157" s="138">
        <v>4400</v>
      </c>
      <c r="L157" s="93">
        <f t="shared" si="33"/>
        <v>2162383</v>
      </c>
      <c r="M157" s="94"/>
      <c r="N157" s="94">
        <f t="shared" si="35"/>
        <v>5.2187676975823331E-3</v>
      </c>
      <c r="O157" s="94"/>
      <c r="P157" s="94">
        <f t="shared" si="28"/>
        <v>5.3737344599938891E-3</v>
      </c>
      <c r="Q157" s="94">
        <f t="shared" si="37"/>
        <v>5.3456901881786872E-3</v>
      </c>
      <c r="R157" s="117" t="str">
        <f t="shared" si="38"/>
        <v>SI</v>
      </c>
      <c r="S157" s="117" t="str">
        <f t="shared" si="39"/>
        <v>NO</v>
      </c>
      <c r="T157" s="117" t="str">
        <f t="shared" si="29"/>
        <v>SI</v>
      </c>
      <c r="U157" s="117" t="str">
        <f t="shared" si="30"/>
        <v>NO</v>
      </c>
      <c r="V157" s="117" t="str">
        <f t="shared" si="31"/>
        <v>NO</v>
      </c>
      <c r="W157" s="117" t="str">
        <f t="shared" si="32"/>
        <v>NO</v>
      </c>
      <c r="X157" s="132" t="b">
        <f t="shared" si="40"/>
        <v>0</v>
      </c>
    </row>
    <row r="158" spans="1:24" s="2" customFormat="1" ht="12" x14ac:dyDescent="0.15">
      <c r="A158" s="125" t="s">
        <v>87</v>
      </c>
      <c r="B158" s="139">
        <v>802001786</v>
      </c>
      <c r="C158" s="137" t="s">
        <v>259</v>
      </c>
      <c r="D158" s="137" t="s">
        <v>531</v>
      </c>
      <c r="E158" s="138">
        <v>11134732</v>
      </c>
      <c r="F158" s="138">
        <v>14402240</v>
      </c>
      <c r="G158" s="138">
        <v>10854533</v>
      </c>
      <c r="H158" s="138">
        <v>10854533</v>
      </c>
      <c r="I158" s="138">
        <v>3547707</v>
      </c>
      <c r="J158" s="138">
        <v>1760386</v>
      </c>
      <c r="K158" s="138">
        <v>234021</v>
      </c>
      <c r="L158" s="93">
        <f t="shared" si="33"/>
        <v>280199</v>
      </c>
      <c r="M158" s="94">
        <f t="shared" si="34"/>
        <v>1.0258140078435434</v>
      </c>
      <c r="N158" s="94">
        <f t="shared" si="35"/>
        <v>0.75366977636812049</v>
      </c>
      <c r="O158" s="94"/>
      <c r="P158" s="94">
        <f t="shared" si="28"/>
        <v>0.49620388605936172</v>
      </c>
      <c r="Q158" s="94">
        <f t="shared" si="37"/>
        <v>0.12223001422001022</v>
      </c>
      <c r="R158" s="117" t="str">
        <f t="shared" si="38"/>
        <v>SI</v>
      </c>
      <c r="S158" s="117" t="str">
        <f t="shared" si="39"/>
        <v>NO</v>
      </c>
      <c r="T158" s="117" t="str">
        <f t="shared" si="29"/>
        <v>SI</v>
      </c>
      <c r="U158" s="117" t="str">
        <f t="shared" si="30"/>
        <v>NO</v>
      </c>
      <c r="V158" s="117" t="str">
        <f t="shared" si="31"/>
        <v>SI</v>
      </c>
      <c r="W158" s="117" t="str">
        <f t="shared" si="32"/>
        <v>SI</v>
      </c>
      <c r="X158" s="132" t="b">
        <f t="shared" si="40"/>
        <v>0</v>
      </c>
    </row>
    <row r="159" spans="1:24" s="2" customFormat="1" ht="12" x14ac:dyDescent="0.15">
      <c r="A159" s="125" t="s">
        <v>87</v>
      </c>
      <c r="B159" s="139">
        <v>802006240</v>
      </c>
      <c r="C159" s="137" t="s">
        <v>260</v>
      </c>
      <c r="D159" s="137" t="s">
        <v>531</v>
      </c>
      <c r="E159" s="138">
        <v>21224882</v>
      </c>
      <c r="F159" s="138">
        <v>23573874</v>
      </c>
      <c r="G159" s="138">
        <v>13553287</v>
      </c>
      <c r="H159" s="138">
        <v>13778847</v>
      </c>
      <c r="I159" s="138">
        <v>9795027</v>
      </c>
      <c r="J159" s="138">
        <v>2998745</v>
      </c>
      <c r="K159" s="138">
        <v>492668</v>
      </c>
      <c r="L159" s="93">
        <f t="shared" si="33"/>
        <v>7671595</v>
      </c>
      <c r="M159" s="94">
        <f t="shared" si="34"/>
        <v>1.5660320629231861</v>
      </c>
      <c r="N159" s="94">
        <f t="shared" si="35"/>
        <v>0.58449650659878816</v>
      </c>
      <c r="O159" s="94"/>
      <c r="P159" s="94">
        <f t="shared" si="28"/>
        <v>0.3061497431298556</v>
      </c>
      <c r="Q159" s="94">
        <f t="shared" si="37"/>
        <v>0.12720628777433865</v>
      </c>
      <c r="R159" s="117" t="str">
        <f t="shared" si="38"/>
        <v>SI</v>
      </c>
      <c r="S159" s="117" t="str">
        <f t="shared" si="39"/>
        <v>NO</v>
      </c>
      <c r="T159" s="117" t="str">
        <f t="shared" si="29"/>
        <v>SI</v>
      </c>
      <c r="U159" s="117" t="str">
        <f t="shared" si="30"/>
        <v>NO</v>
      </c>
      <c r="V159" s="117" t="str">
        <f t="shared" si="31"/>
        <v>SI</v>
      </c>
      <c r="W159" s="117" t="str">
        <f t="shared" si="32"/>
        <v>SI</v>
      </c>
      <c r="X159" s="132" t="b">
        <f t="shared" si="40"/>
        <v>0</v>
      </c>
    </row>
    <row r="160" spans="1:24" s="2" customFormat="1" ht="12" x14ac:dyDescent="0.15">
      <c r="A160" s="125" t="s">
        <v>87</v>
      </c>
      <c r="B160" s="139">
        <v>802019980</v>
      </c>
      <c r="C160" s="137" t="s">
        <v>261</v>
      </c>
      <c r="D160" s="137" t="s">
        <v>531</v>
      </c>
      <c r="E160" s="138">
        <v>2756440</v>
      </c>
      <c r="F160" s="138">
        <v>2881435</v>
      </c>
      <c r="G160" s="138">
        <v>2084933</v>
      </c>
      <c r="H160" s="138">
        <v>5319193</v>
      </c>
      <c r="I160" s="138">
        <v>-2437758</v>
      </c>
      <c r="J160" s="138">
        <v>-4846</v>
      </c>
      <c r="K160" s="138">
        <v>1491</v>
      </c>
      <c r="L160" s="93">
        <f t="shared" si="33"/>
        <v>671507</v>
      </c>
      <c r="M160" s="94">
        <f t="shared" si="34"/>
        <v>1.3220760571203007</v>
      </c>
      <c r="N160" s="94">
        <f t="shared" si="35"/>
        <v>1.8460222076847126</v>
      </c>
      <c r="O160" s="94"/>
      <c r="P160" s="94">
        <f t="shared" si="28"/>
        <v>1.9878921533638696E-3</v>
      </c>
      <c r="Q160" s="94">
        <f t="shared" si="37"/>
        <v>-1.6818009082280184E-3</v>
      </c>
      <c r="R160" s="117" t="str">
        <f t="shared" si="38"/>
        <v>SI</v>
      </c>
      <c r="S160" s="117" t="str">
        <f t="shared" si="39"/>
        <v>NO</v>
      </c>
      <c r="T160" s="117" t="str">
        <f t="shared" si="29"/>
        <v>NO</v>
      </c>
      <c r="U160" s="117" t="str">
        <f t="shared" si="30"/>
        <v>NO</v>
      </c>
      <c r="V160" s="117" t="str">
        <f t="shared" si="31"/>
        <v>NO</v>
      </c>
      <c r="W160" s="117" t="str">
        <f t="shared" si="32"/>
        <v>NO</v>
      </c>
      <c r="X160" s="132" t="b">
        <f t="shared" si="40"/>
        <v>0</v>
      </c>
    </row>
    <row r="161" spans="1:24" s="2" customFormat="1" ht="12" x14ac:dyDescent="0.15">
      <c r="A161" s="125" t="s">
        <v>87</v>
      </c>
      <c r="B161" s="139">
        <v>805005133</v>
      </c>
      <c r="C161" s="137" t="s">
        <v>262</v>
      </c>
      <c r="D161" s="137" t="s">
        <v>531</v>
      </c>
      <c r="E161" s="138">
        <v>2347906</v>
      </c>
      <c r="F161" s="138">
        <v>3133227</v>
      </c>
      <c r="G161" s="138">
        <v>2100996</v>
      </c>
      <c r="H161" s="138">
        <v>2135244</v>
      </c>
      <c r="I161" s="138">
        <v>997983</v>
      </c>
      <c r="J161" s="138">
        <v>-60978</v>
      </c>
      <c r="K161" s="138"/>
      <c r="L161" s="93">
        <f t="shared" si="33"/>
        <v>246910</v>
      </c>
      <c r="M161" s="94">
        <f t="shared" si="34"/>
        <v>1.1175204522045734</v>
      </c>
      <c r="N161" s="94">
        <f t="shared" si="35"/>
        <v>0.68148397802010519</v>
      </c>
      <c r="O161" s="94" t="s">
        <v>108</v>
      </c>
      <c r="P161" s="94">
        <f t="shared" si="28"/>
        <v>-6.1101241203507475E-2</v>
      </c>
      <c r="Q161" s="94">
        <f t="shared" si="37"/>
        <v>-1.9461724286175243E-2</v>
      </c>
      <c r="R161" s="117" t="str">
        <f t="shared" si="38"/>
        <v>SI</v>
      </c>
      <c r="S161" s="117" t="str">
        <f t="shared" si="39"/>
        <v>NO</v>
      </c>
      <c r="T161" s="117" t="str">
        <f t="shared" si="29"/>
        <v>SI</v>
      </c>
      <c r="U161" s="117" t="str">
        <f t="shared" si="30"/>
        <v>SI</v>
      </c>
      <c r="V161" s="117" t="str">
        <f t="shared" si="31"/>
        <v>NO</v>
      </c>
      <c r="W161" s="117" t="str">
        <f t="shared" si="32"/>
        <v>NO</v>
      </c>
      <c r="X161" s="132" t="b">
        <f t="shared" si="40"/>
        <v>0</v>
      </c>
    </row>
    <row r="162" spans="1:24" s="2" customFormat="1" ht="12" x14ac:dyDescent="0.15">
      <c r="A162" s="125" t="s">
        <v>87</v>
      </c>
      <c r="B162" s="139">
        <v>805006278</v>
      </c>
      <c r="C162" s="137" t="s">
        <v>263</v>
      </c>
      <c r="D162" s="137" t="s">
        <v>531</v>
      </c>
      <c r="E162" s="138">
        <v>13307732</v>
      </c>
      <c r="F162" s="138">
        <v>16634309</v>
      </c>
      <c r="G162" s="138">
        <v>2507307</v>
      </c>
      <c r="H162" s="138">
        <v>7675261</v>
      </c>
      <c r="I162" s="138">
        <v>8959048</v>
      </c>
      <c r="J162" s="138">
        <v>40995</v>
      </c>
      <c r="K162" s="138"/>
      <c r="L162" s="93">
        <f t="shared" si="33"/>
        <v>10800425</v>
      </c>
      <c r="M162" s="94"/>
      <c r="N162" s="94">
        <f t="shared" si="35"/>
        <v>0.46141147191626658</v>
      </c>
      <c r="O162" s="94" t="s">
        <v>108</v>
      </c>
      <c r="P162" s="94">
        <f t="shared" si="28"/>
        <v>4.5758210024100772E-3</v>
      </c>
      <c r="Q162" s="94">
        <f t="shared" si="37"/>
        <v>2.4644846984626773E-3</v>
      </c>
      <c r="R162" s="117" t="str">
        <f t="shared" si="38"/>
        <v>SI</v>
      </c>
      <c r="S162" s="117" t="str">
        <f t="shared" si="39"/>
        <v>NO</v>
      </c>
      <c r="T162" s="117" t="str">
        <f t="shared" si="29"/>
        <v>SI</v>
      </c>
      <c r="U162" s="117" t="str">
        <f t="shared" si="30"/>
        <v>SI</v>
      </c>
      <c r="V162" s="117" t="str">
        <f t="shared" si="31"/>
        <v>NO</v>
      </c>
      <c r="W162" s="117" t="str">
        <f t="shared" si="32"/>
        <v>NO</v>
      </c>
      <c r="X162" s="132" t="b">
        <f t="shared" si="40"/>
        <v>0</v>
      </c>
    </row>
    <row r="163" spans="1:24" s="2" customFormat="1" ht="12" x14ac:dyDescent="0.15">
      <c r="A163" s="125" t="s">
        <v>87</v>
      </c>
      <c r="B163" s="139">
        <v>805007050</v>
      </c>
      <c r="C163" s="137" t="s">
        <v>264</v>
      </c>
      <c r="D163" s="137" t="s">
        <v>531</v>
      </c>
      <c r="E163" s="138">
        <v>38343266</v>
      </c>
      <c r="F163" s="138">
        <v>51187174</v>
      </c>
      <c r="G163" s="138">
        <v>21975889</v>
      </c>
      <c r="H163" s="138">
        <v>37090685</v>
      </c>
      <c r="I163" s="138">
        <v>14096489</v>
      </c>
      <c r="J163" s="138">
        <v>4782670</v>
      </c>
      <c r="K163" s="138">
        <v>3008121</v>
      </c>
      <c r="L163" s="93">
        <f t="shared" si="33"/>
        <v>16367377</v>
      </c>
      <c r="M163" s="94">
        <f t="shared" si="34"/>
        <v>1.7447879355415383</v>
      </c>
      <c r="N163" s="94">
        <f t="shared" si="35"/>
        <v>0.72460896161214139</v>
      </c>
      <c r="O163" s="94">
        <f t="shared" si="36"/>
        <v>1.5899194214594425</v>
      </c>
      <c r="P163" s="94">
        <f t="shared" si="28"/>
        <v>0.33928093726033481</v>
      </c>
      <c r="Q163" s="94">
        <f t="shared" si="37"/>
        <v>9.3434929617329535E-2</v>
      </c>
      <c r="R163" s="117" t="str">
        <f t="shared" si="38"/>
        <v>SI</v>
      </c>
      <c r="S163" s="117" t="str">
        <f t="shared" si="39"/>
        <v>NO</v>
      </c>
      <c r="T163" s="117" t="str">
        <f t="shared" si="29"/>
        <v>SI</v>
      </c>
      <c r="U163" s="117" t="str">
        <f t="shared" si="30"/>
        <v>SI</v>
      </c>
      <c r="V163" s="117" t="str">
        <f t="shared" si="31"/>
        <v>SI</v>
      </c>
      <c r="W163" s="117" t="str">
        <f t="shared" si="32"/>
        <v>SI</v>
      </c>
      <c r="X163" s="132" t="b">
        <f t="shared" si="40"/>
        <v>0</v>
      </c>
    </row>
    <row r="164" spans="1:24" s="2" customFormat="1" ht="12" x14ac:dyDescent="0.15">
      <c r="A164" s="125" t="s">
        <v>87</v>
      </c>
      <c r="B164" s="139">
        <v>805012376</v>
      </c>
      <c r="C164" s="137" t="s">
        <v>265</v>
      </c>
      <c r="D164" s="137" t="s">
        <v>531</v>
      </c>
      <c r="E164" s="138">
        <v>7731504</v>
      </c>
      <c r="F164" s="138">
        <v>11811842</v>
      </c>
      <c r="G164" s="138">
        <v>2515869</v>
      </c>
      <c r="H164" s="138">
        <v>5056420</v>
      </c>
      <c r="I164" s="138">
        <v>6755422</v>
      </c>
      <c r="J164" s="138">
        <v>32679</v>
      </c>
      <c r="K164" s="138">
        <v>87436</v>
      </c>
      <c r="L164" s="93">
        <f t="shared" si="33"/>
        <v>5215635</v>
      </c>
      <c r="M164" s="94"/>
      <c r="N164" s="94">
        <f t="shared" si="35"/>
        <v>0.42808056524968757</v>
      </c>
      <c r="O164" s="94">
        <f t="shared" si="36"/>
        <v>0.37374765542797017</v>
      </c>
      <c r="P164" s="94">
        <f t="shared" si="28"/>
        <v>4.8374476087504233E-3</v>
      </c>
      <c r="Q164" s="94">
        <f t="shared" si="37"/>
        <v>2.7666303020307927E-3</v>
      </c>
      <c r="R164" s="117" t="str">
        <f t="shared" si="38"/>
        <v>SI</v>
      </c>
      <c r="S164" s="117" t="str">
        <f t="shared" si="39"/>
        <v>NO</v>
      </c>
      <c r="T164" s="117" t="str">
        <f t="shared" si="29"/>
        <v>SI</v>
      </c>
      <c r="U164" s="117" t="str">
        <f t="shared" si="30"/>
        <v>NO</v>
      </c>
      <c r="V164" s="117" t="str">
        <f t="shared" si="31"/>
        <v>NO</v>
      </c>
      <c r="W164" s="117" t="str">
        <f t="shared" si="32"/>
        <v>NO</v>
      </c>
      <c r="X164" s="132" t="b">
        <f t="shared" si="40"/>
        <v>0</v>
      </c>
    </row>
    <row r="165" spans="1:24" s="2" customFormat="1" ht="12" x14ac:dyDescent="0.15">
      <c r="A165" s="125" t="s">
        <v>87</v>
      </c>
      <c r="B165" s="139">
        <v>805014567</v>
      </c>
      <c r="C165" s="137" t="s">
        <v>266</v>
      </c>
      <c r="D165" s="137" t="s">
        <v>531</v>
      </c>
      <c r="E165" s="138">
        <v>1298025</v>
      </c>
      <c r="F165" s="138">
        <v>2217007</v>
      </c>
      <c r="G165" s="138">
        <v>555760</v>
      </c>
      <c r="H165" s="138">
        <v>1220581</v>
      </c>
      <c r="I165" s="138">
        <v>996426</v>
      </c>
      <c r="J165" s="138">
        <v>219384</v>
      </c>
      <c r="K165" s="138">
        <v>162651</v>
      </c>
      <c r="L165" s="93">
        <f t="shared" si="33"/>
        <v>742265</v>
      </c>
      <c r="M165" s="94">
        <f t="shared" si="34"/>
        <v>2.3355855045343312</v>
      </c>
      <c r="N165" s="94">
        <f t="shared" si="35"/>
        <v>0.55055351652024553</v>
      </c>
      <c r="O165" s="94">
        <f t="shared" si="36"/>
        <v>1.348802036261689</v>
      </c>
      <c r="P165" s="94">
        <f t="shared" si="28"/>
        <v>0.22017089076358906</v>
      </c>
      <c r="Q165" s="94">
        <f t="shared" si="37"/>
        <v>9.8955032618300257E-2</v>
      </c>
      <c r="R165" s="117" t="str">
        <f t="shared" si="38"/>
        <v>SI</v>
      </c>
      <c r="S165" s="117" t="str">
        <f t="shared" si="39"/>
        <v>SI</v>
      </c>
      <c r="T165" s="117" t="str">
        <f t="shared" si="29"/>
        <v>SI</v>
      </c>
      <c r="U165" s="117" t="str">
        <f t="shared" si="30"/>
        <v>SI</v>
      </c>
      <c r="V165" s="117" t="str">
        <f t="shared" si="31"/>
        <v>SI</v>
      </c>
      <c r="W165" s="117" t="str">
        <f t="shared" si="32"/>
        <v>SI</v>
      </c>
      <c r="X165" s="132" t="str">
        <f t="shared" si="40"/>
        <v>SI</v>
      </c>
    </row>
    <row r="166" spans="1:24" s="2" customFormat="1" ht="12" x14ac:dyDescent="0.15">
      <c r="A166" s="125" t="s">
        <v>87</v>
      </c>
      <c r="B166" s="139">
        <v>805022934</v>
      </c>
      <c r="C166" s="137" t="s">
        <v>267</v>
      </c>
      <c r="D166" s="137" t="s">
        <v>531</v>
      </c>
      <c r="E166" s="138">
        <v>2138766</v>
      </c>
      <c r="F166" s="138">
        <v>2635351</v>
      </c>
      <c r="G166" s="138">
        <v>926526</v>
      </c>
      <c r="H166" s="138">
        <v>1279757</v>
      </c>
      <c r="I166" s="138">
        <v>1355594</v>
      </c>
      <c r="J166" s="138">
        <v>110363</v>
      </c>
      <c r="K166" s="138">
        <v>144326</v>
      </c>
      <c r="L166" s="93">
        <f t="shared" si="33"/>
        <v>1212240</v>
      </c>
      <c r="M166" s="94">
        <f t="shared" si="34"/>
        <v>2.3083712707468544</v>
      </c>
      <c r="N166" s="94">
        <f t="shared" si="35"/>
        <v>0.48561159405331583</v>
      </c>
      <c r="O166" s="94">
        <f t="shared" si="36"/>
        <v>0.76467857489295066</v>
      </c>
      <c r="P166" s="94">
        <f t="shared" si="28"/>
        <v>8.1413018942249671E-2</v>
      </c>
      <c r="Q166" s="94">
        <f t="shared" si="37"/>
        <v>4.1877913037011008E-2</v>
      </c>
      <c r="R166" s="117" t="str">
        <f t="shared" si="38"/>
        <v>SI</v>
      </c>
      <c r="S166" s="117" t="str">
        <f t="shared" si="39"/>
        <v>SI</v>
      </c>
      <c r="T166" s="117" t="str">
        <f t="shared" si="29"/>
        <v>SI</v>
      </c>
      <c r="U166" s="117" t="str">
        <f t="shared" si="30"/>
        <v>NO</v>
      </c>
      <c r="V166" s="117" t="str">
        <f t="shared" si="31"/>
        <v>NO</v>
      </c>
      <c r="W166" s="117" t="str">
        <f t="shared" si="32"/>
        <v>NO</v>
      </c>
      <c r="X166" s="132" t="b">
        <f t="shared" si="40"/>
        <v>0</v>
      </c>
    </row>
    <row r="167" spans="1:24" s="2" customFormat="1" ht="12" x14ac:dyDescent="0.15">
      <c r="A167" s="125" t="s">
        <v>87</v>
      </c>
      <c r="B167" s="139">
        <v>805028911</v>
      </c>
      <c r="C167" s="137" t="s">
        <v>268</v>
      </c>
      <c r="D167" s="137" t="s">
        <v>531</v>
      </c>
      <c r="E167" s="138">
        <v>923882</v>
      </c>
      <c r="F167" s="138">
        <v>2299188</v>
      </c>
      <c r="G167" s="138">
        <v>384376</v>
      </c>
      <c r="H167" s="138">
        <v>384376</v>
      </c>
      <c r="I167" s="138">
        <v>1914812</v>
      </c>
      <c r="J167" s="138">
        <v>359533</v>
      </c>
      <c r="K167" s="138">
        <v>74080</v>
      </c>
      <c r="L167" s="93">
        <f t="shared" si="33"/>
        <v>539506</v>
      </c>
      <c r="M167" s="94">
        <f t="shared" si="34"/>
        <v>2.4035891939142924</v>
      </c>
      <c r="N167" s="94">
        <f t="shared" si="35"/>
        <v>0.16717902146322963</v>
      </c>
      <c r="O167" s="94"/>
      <c r="P167" s="94">
        <f t="shared" si="28"/>
        <v>0.18776412514648957</v>
      </c>
      <c r="Q167" s="94">
        <f t="shared" si="37"/>
        <v>0.15637390243860005</v>
      </c>
      <c r="R167" s="117" t="str">
        <f t="shared" si="38"/>
        <v>SI</v>
      </c>
      <c r="S167" s="117" t="str">
        <f t="shared" si="39"/>
        <v>SI</v>
      </c>
      <c r="T167" s="117" t="str">
        <f t="shared" si="29"/>
        <v>SI</v>
      </c>
      <c r="U167" s="117" t="str">
        <f t="shared" si="30"/>
        <v>NO</v>
      </c>
      <c r="V167" s="117" t="str">
        <f t="shared" si="31"/>
        <v>SI</v>
      </c>
      <c r="W167" s="117" t="str">
        <f t="shared" si="32"/>
        <v>SI</v>
      </c>
      <c r="X167" s="132" t="b">
        <f t="shared" si="40"/>
        <v>0</v>
      </c>
    </row>
    <row r="168" spans="1:24" s="2" customFormat="1" ht="12" x14ac:dyDescent="0.15">
      <c r="A168" s="125" t="s">
        <v>87</v>
      </c>
      <c r="B168" s="139">
        <v>805030075</v>
      </c>
      <c r="C168" s="137" t="s">
        <v>269</v>
      </c>
      <c r="D168" s="137" t="s">
        <v>531</v>
      </c>
      <c r="E168" s="138">
        <v>2450798</v>
      </c>
      <c r="F168" s="138">
        <v>3363716</v>
      </c>
      <c r="G168" s="138">
        <v>577511</v>
      </c>
      <c r="H168" s="138">
        <v>577511</v>
      </c>
      <c r="I168" s="138">
        <v>2786205</v>
      </c>
      <c r="J168" s="138">
        <v>478225</v>
      </c>
      <c r="K168" s="138">
        <v>75147</v>
      </c>
      <c r="L168" s="93">
        <f t="shared" si="33"/>
        <v>1873287</v>
      </c>
      <c r="M168" s="94"/>
      <c r="N168" s="94">
        <f t="shared" si="35"/>
        <v>0.17168839462071114</v>
      </c>
      <c r="O168" s="94"/>
      <c r="P168" s="94">
        <f t="shared" si="28"/>
        <v>0.17164027772543658</v>
      </c>
      <c r="Q168" s="94">
        <f t="shared" si="37"/>
        <v>0.14217163399050337</v>
      </c>
      <c r="R168" s="117" t="str">
        <f t="shared" si="38"/>
        <v>SI</v>
      </c>
      <c r="S168" s="117" t="str">
        <f t="shared" si="39"/>
        <v>NO</v>
      </c>
      <c r="T168" s="117" t="str">
        <f t="shared" si="29"/>
        <v>SI</v>
      </c>
      <c r="U168" s="117" t="str">
        <f t="shared" si="30"/>
        <v>NO</v>
      </c>
      <c r="V168" s="117" t="str">
        <f t="shared" si="31"/>
        <v>SI</v>
      </c>
      <c r="W168" s="117" t="str">
        <f t="shared" si="32"/>
        <v>SI</v>
      </c>
      <c r="X168" s="132" t="b">
        <f t="shared" si="40"/>
        <v>0</v>
      </c>
    </row>
    <row r="169" spans="1:24" s="2" customFormat="1" ht="12" x14ac:dyDescent="0.15">
      <c r="A169" s="125" t="s">
        <v>87</v>
      </c>
      <c r="B169" s="139">
        <v>805030670</v>
      </c>
      <c r="C169" s="137" t="s">
        <v>270</v>
      </c>
      <c r="D169" s="137" t="s">
        <v>531</v>
      </c>
      <c r="E169" s="138">
        <v>22706852</v>
      </c>
      <c r="F169" s="138">
        <v>38985929</v>
      </c>
      <c r="G169" s="138">
        <v>16193381</v>
      </c>
      <c r="H169" s="138">
        <v>19075216</v>
      </c>
      <c r="I169" s="138">
        <v>19910713</v>
      </c>
      <c r="J169" s="138">
        <v>7278781</v>
      </c>
      <c r="K169" s="138">
        <v>1591593</v>
      </c>
      <c r="L169" s="93">
        <f t="shared" si="33"/>
        <v>6513471</v>
      </c>
      <c r="M169" s="94">
        <f t="shared" si="34"/>
        <v>1.402230454529539</v>
      </c>
      <c r="N169" s="94">
        <f t="shared" si="35"/>
        <v>0.48928463395088007</v>
      </c>
      <c r="O169" s="94"/>
      <c r="P169" s="94">
        <f t="shared" si="28"/>
        <v>0.36557108728351417</v>
      </c>
      <c r="Q169" s="94">
        <f t="shared" si="37"/>
        <v>0.1867027716589747</v>
      </c>
      <c r="R169" s="117" t="str">
        <f t="shared" si="38"/>
        <v>SI</v>
      </c>
      <c r="S169" s="117" t="str">
        <f t="shared" si="39"/>
        <v>NO</v>
      </c>
      <c r="T169" s="117" t="str">
        <f t="shared" si="29"/>
        <v>SI</v>
      </c>
      <c r="U169" s="117" t="str">
        <f t="shared" si="30"/>
        <v>NO</v>
      </c>
      <c r="V169" s="117" t="str">
        <f t="shared" si="31"/>
        <v>SI</v>
      </c>
      <c r="W169" s="117" t="str">
        <f t="shared" si="32"/>
        <v>SI</v>
      </c>
      <c r="X169" s="132" t="b">
        <f t="shared" si="40"/>
        <v>0</v>
      </c>
    </row>
    <row r="170" spans="1:24" s="2" customFormat="1" ht="12" x14ac:dyDescent="0.15">
      <c r="A170" s="125" t="s">
        <v>87</v>
      </c>
      <c r="B170" s="139">
        <v>811009988</v>
      </c>
      <c r="C170" s="137" t="s">
        <v>271</v>
      </c>
      <c r="D170" s="137" t="s">
        <v>531</v>
      </c>
      <c r="E170" s="138">
        <v>8434777</v>
      </c>
      <c r="F170" s="138">
        <v>19809288</v>
      </c>
      <c r="G170" s="138">
        <v>4422693</v>
      </c>
      <c r="H170" s="138">
        <v>8253067</v>
      </c>
      <c r="I170" s="138">
        <v>11556221</v>
      </c>
      <c r="J170" s="138">
        <v>3966611</v>
      </c>
      <c r="K170" s="138">
        <v>1132813</v>
      </c>
      <c r="L170" s="93">
        <f t="shared" si="33"/>
        <v>4012084</v>
      </c>
      <c r="M170" s="94">
        <f t="shared" si="34"/>
        <v>1.9071586022362392</v>
      </c>
      <c r="N170" s="94">
        <f t="shared" si="35"/>
        <v>0.41662613012643362</v>
      </c>
      <c r="O170" s="94"/>
      <c r="P170" s="94">
        <f t="shared" si="28"/>
        <v>0.34324464719046133</v>
      </c>
      <c r="Q170" s="94">
        <f t="shared" si="37"/>
        <v>0.20023995814488638</v>
      </c>
      <c r="R170" s="117" t="str">
        <f t="shared" si="38"/>
        <v>SI</v>
      </c>
      <c r="S170" s="117" t="str">
        <f t="shared" si="39"/>
        <v>SI</v>
      </c>
      <c r="T170" s="117" t="str">
        <f t="shared" si="29"/>
        <v>SI</v>
      </c>
      <c r="U170" s="117" t="str">
        <f t="shared" si="30"/>
        <v>NO</v>
      </c>
      <c r="V170" s="117" t="str">
        <f t="shared" si="31"/>
        <v>SI</v>
      </c>
      <c r="W170" s="117" t="str">
        <f t="shared" si="32"/>
        <v>SI</v>
      </c>
      <c r="X170" s="132" t="b">
        <f t="shared" si="40"/>
        <v>0</v>
      </c>
    </row>
    <row r="171" spans="1:24" s="2" customFormat="1" ht="12" x14ac:dyDescent="0.15">
      <c r="A171" s="125" t="s">
        <v>87</v>
      </c>
      <c r="B171" s="139">
        <v>811010139</v>
      </c>
      <c r="C171" s="137" t="s">
        <v>272</v>
      </c>
      <c r="D171" s="137" t="s">
        <v>531</v>
      </c>
      <c r="E171" s="138">
        <v>12623542</v>
      </c>
      <c r="F171" s="138">
        <v>14757473</v>
      </c>
      <c r="G171" s="138">
        <v>5882510</v>
      </c>
      <c r="H171" s="138">
        <v>8042396</v>
      </c>
      <c r="I171" s="138">
        <v>6715077</v>
      </c>
      <c r="J171" s="138">
        <v>478530</v>
      </c>
      <c r="K171" s="138">
        <v>2351164</v>
      </c>
      <c r="L171" s="93">
        <f t="shared" si="33"/>
        <v>6741032</v>
      </c>
      <c r="M171" s="94"/>
      <c r="N171" s="94">
        <f t="shared" si="35"/>
        <v>0.54497108007583683</v>
      </c>
      <c r="O171" s="94">
        <f t="shared" si="36"/>
        <v>0.20352897543514617</v>
      </c>
      <c r="P171" s="94">
        <f t="shared" si="28"/>
        <v>7.1262027226195623E-2</v>
      </c>
      <c r="Q171" s="94">
        <f t="shared" si="37"/>
        <v>3.2426283280342104E-2</v>
      </c>
      <c r="R171" s="117" t="str">
        <f t="shared" si="38"/>
        <v>SI</v>
      </c>
      <c r="S171" s="117" t="str">
        <f t="shared" si="39"/>
        <v>NO</v>
      </c>
      <c r="T171" s="117" t="str">
        <f t="shared" si="29"/>
        <v>SI</v>
      </c>
      <c r="U171" s="117" t="str">
        <f t="shared" si="30"/>
        <v>NO</v>
      </c>
      <c r="V171" s="117" t="str">
        <f t="shared" si="31"/>
        <v>NO</v>
      </c>
      <c r="W171" s="117" t="str">
        <f t="shared" si="32"/>
        <v>NO</v>
      </c>
      <c r="X171" s="132" t="b">
        <f t="shared" si="40"/>
        <v>0</v>
      </c>
    </row>
    <row r="172" spans="1:24" s="2" customFormat="1" ht="12" x14ac:dyDescent="0.15">
      <c r="A172" s="125" t="s">
        <v>87</v>
      </c>
      <c r="B172" s="139">
        <v>811014137</v>
      </c>
      <c r="C172" s="137" t="s">
        <v>273</v>
      </c>
      <c r="D172" s="137" t="s">
        <v>531</v>
      </c>
      <c r="E172" s="138">
        <v>1671977</v>
      </c>
      <c r="F172" s="138">
        <v>3123187</v>
      </c>
      <c r="G172" s="138">
        <v>283712</v>
      </c>
      <c r="H172" s="138">
        <v>4688561</v>
      </c>
      <c r="I172" s="138">
        <v>-1565374</v>
      </c>
      <c r="J172" s="138">
        <v>-854677</v>
      </c>
      <c r="K172" s="138">
        <v>905948</v>
      </c>
      <c r="L172" s="93">
        <f t="shared" si="33"/>
        <v>1388265</v>
      </c>
      <c r="M172" s="94"/>
      <c r="N172" s="94">
        <f t="shared" si="35"/>
        <v>1.5012104622617859</v>
      </c>
      <c r="O172" s="94"/>
      <c r="P172" s="94">
        <f t="shared" si="28"/>
        <v>0.54598900965520059</v>
      </c>
      <c r="Q172" s="94">
        <f t="shared" si="37"/>
        <v>-0.27365540391913773</v>
      </c>
      <c r="R172" s="117" t="str">
        <f t="shared" si="38"/>
        <v>SI</v>
      </c>
      <c r="S172" s="117" t="str">
        <f t="shared" si="39"/>
        <v>NO</v>
      </c>
      <c r="T172" s="117" t="str">
        <f t="shared" si="29"/>
        <v>NO</v>
      </c>
      <c r="U172" s="117" t="str">
        <f t="shared" si="30"/>
        <v>NO</v>
      </c>
      <c r="V172" s="117" t="str">
        <f t="shared" si="31"/>
        <v>SI</v>
      </c>
      <c r="W172" s="117" t="str">
        <f t="shared" si="32"/>
        <v>NO</v>
      </c>
      <c r="X172" s="132" t="b">
        <f t="shared" si="40"/>
        <v>0</v>
      </c>
    </row>
    <row r="173" spans="1:24" s="2" customFormat="1" ht="12" x14ac:dyDescent="0.15">
      <c r="A173" s="125" t="s">
        <v>87</v>
      </c>
      <c r="B173" s="139">
        <v>811030191</v>
      </c>
      <c r="C173" s="137" t="s">
        <v>274</v>
      </c>
      <c r="D173" s="137" t="s">
        <v>531</v>
      </c>
      <c r="E173" s="138">
        <v>50923210</v>
      </c>
      <c r="F173" s="138">
        <v>52215572</v>
      </c>
      <c r="G173" s="138">
        <v>8060454</v>
      </c>
      <c r="H173" s="138">
        <v>17515323</v>
      </c>
      <c r="I173" s="138">
        <v>34700249</v>
      </c>
      <c r="J173" s="138">
        <v>10604198</v>
      </c>
      <c r="K173" s="138">
        <v>1230480</v>
      </c>
      <c r="L173" s="93">
        <f t="shared" si="33"/>
        <v>42862756</v>
      </c>
      <c r="M173" s="94"/>
      <c r="N173" s="94">
        <f t="shared" si="35"/>
        <v>0.33544251894817889</v>
      </c>
      <c r="O173" s="94"/>
      <c r="P173" s="94">
        <f t="shared" si="28"/>
        <v>0.30559429126863036</v>
      </c>
      <c r="Q173" s="94">
        <f t="shared" si="37"/>
        <v>0.20308497242929752</v>
      </c>
      <c r="R173" s="117" t="str">
        <f t="shared" si="38"/>
        <v>SI</v>
      </c>
      <c r="S173" s="117" t="str">
        <f t="shared" si="39"/>
        <v>NO</v>
      </c>
      <c r="T173" s="117" t="str">
        <f t="shared" si="29"/>
        <v>SI</v>
      </c>
      <c r="U173" s="117" t="str">
        <f t="shared" si="30"/>
        <v>NO</v>
      </c>
      <c r="V173" s="117" t="str">
        <f t="shared" si="31"/>
        <v>SI</v>
      </c>
      <c r="W173" s="117" t="str">
        <f t="shared" si="32"/>
        <v>SI</v>
      </c>
      <c r="X173" s="132" t="b">
        <f t="shared" si="40"/>
        <v>0</v>
      </c>
    </row>
    <row r="174" spans="1:24" s="2" customFormat="1" ht="12" x14ac:dyDescent="0.15">
      <c r="A174" s="125" t="s">
        <v>87</v>
      </c>
      <c r="B174" s="139">
        <v>811038520</v>
      </c>
      <c r="C174" s="137" t="s">
        <v>275</v>
      </c>
      <c r="D174" s="137" t="s">
        <v>531</v>
      </c>
      <c r="E174" s="138">
        <v>7765639</v>
      </c>
      <c r="F174" s="138">
        <v>8486774</v>
      </c>
      <c r="G174" s="138">
        <v>1947883</v>
      </c>
      <c r="H174" s="138">
        <v>3019692</v>
      </c>
      <c r="I174" s="138">
        <v>5467082</v>
      </c>
      <c r="J174" s="138">
        <v>686139</v>
      </c>
      <c r="K174" s="138"/>
      <c r="L174" s="93">
        <f t="shared" si="33"/>
        <v>5817756</v>
      </c>
      <c r="M174" s="94"/>
      <c r="N174" s="94">
        <f t="shared" si="35"/>
        <v>0.35581152508597497</v>
      </c>
      <c r="O174" s="94" t="s">
        <v>108</v>
      </c>
      <c r="P174" s="94">
        <f t="shared" si="28"/>
        <v>0.1255036964874498</v>
      </c>
      <c r="Q174" s="94">
        <f t="shared" si="37"/>
        <v>8.0848034836322968E-2</v>
      </c>
      <c r="R174" s="117" t="str">
        <f t="shared" si="38"/>
        <v>SI</v>
      </c>
      <c r="S174" s="117" t="str">
        <f t="shared" si="39"/>
        <v>NO</v>
      </c>
      <c r="T174" s="117" t="str">
        <f t="shared" si="29"/>
        <v>SI</v>
      </c>
      <c r="U174" s="117" t="str">
        <f t="shared" si="30"/>
        <v>SI</v>
      </c>
      <c r="V174" s="117" t="str">
        <f t="shared" si="31"/>
        <v>NO</v>
      </c>
      <c r="W174" s="117" t="str">
        <f t="shared" si="32"/>
        <v>NO</v>
      </c>
      <c r="X174" s="132" t="b">
        <f t="shared" si="40"/>
        <v>0</v>
      </c>
    </row>
    <row r="175" spans="1:24" s="2" customFormat="1" ht="12" x14ac:dyDescent="0.15">
      <c r="A175" s="125" t="s">
        <v>87</v>
      </c>
      <c r="B175" s="139">
        <v>811044369</v>
      </c>
      <c r="C175" s="137" t="s">
        <v>276</v>
      </c>
      <c r="D175" s="137" t="s">
        <v>531</v>
      </c>
      <c r="E175" s="138">
        <v>3162883</v>
      </c>
      <c r="F175" s="138">
        <v>3715380</v>
      </c>
      <c r="G175" s="138">
        <v>597264</v>
      </c>
      <c r="H175" s="138">
        <v>597264</v>
      </c>
      <c r="I175" s="138">
        <v>3118116</v>
      </c>
      <c r="J175" s="138">
        <v>231324</v>
      </c>
      <c r="K175" s="138">
        <v>64414</v>
      </c>
      <c r="L175" s="93">
        <f t="shared" si="33"/>
        <v>2565619</v>
      </c>
      <c r="M175" s="94"/>
      <c r="N175" s="94">
        <f t="shared" si="35"/>
        <v>0.16075448540929865</v>
      </c>
      <c r="O175" s="94"/>
      <c r="P175" s="94">
        <f t="shared" si="28"/>
        <v>7.4187105290502348E-2</v>
      </c>
      <c r="Q175" s="94">
        <f t="shared" si="37"/>
        <v>6.2261195355522179E-2</v>
      </c>
      <c r="R175" s="117" t="str">
        <f t="shared" si="38"/>
        <v>SI</v>
      </c>
      <c r="S175" s="117" t="str">
        <f t="shared" si="39"/>
        <v>NO</v>
      </c>
      <c r="T175" s="117" t="str">
        <f t="shared" si="29"/>
        <v>SI</v>
      </c>
      <c r="U175" s="117" t="str">
        <f t="shared" si="30"/>
        <v>NO</v>
      </c>
      <c r="V175" s="117" t="str">
        <f t="shared" si="31"/>
        <v>NO</v>
      </c>
      <c r="W175" s="117" t="str">
        <f t="shared" si="32"/>
        <v>NO</v>
      </c>
      <c r="X175" s="132" t="b">
        <f t="shared" si="40"/>
        <v>0</v>
      </c>
    </row>
    <row r="176" spans="1:24" s="2" customFormat="1" ht="12" x14ac:dyDescent="0.15">
      <c r="A176" s="125" t="s">
        <v>87</v>
      </c>
      <c r="B176" s="139">
        <v>811044610</v>
      </c>
      <c r="C176" s="137" t="s">
        <v>277</v>
      </c>
      <c r="D176" s="137" t="s">
        <v>531</v>
      </c>
      <c r="E176" s="138">
        <v>6011855</v>
      </c>
      <c r="F176" s="138">
        <v>12119347</v>
      </c>
      <c r="G176" s="138">
        <v>2133702</v>
      </c>
      <c r="H176" s="138">
        <v>7907529</v>
      </c>
      <c r="I176" s="138">
        <v>4211818</v>
      </c>
      <c r="J176" s="138">
        <v>-111835</v>
      </c>
      <c r="K176" s="138">
        <v>269411</v>
      </c>
      <c r="L176" s="93">
        <f t="shared" si="33"/>
        <v>3878153</v>
      </c>
      <c r="M176" s="94">
        <f t="shared" si="34"/>
        <v>2.8175701199136522</v>
      </c>
      <c r="N176" s="94">
        <f t="shared" si="35"/>
        <v>0.65247153992702744</v>
      </c>
      <c r="O176" s="94"/>
      <c r="P176" s="94">
        <f t="shared" si="28"/>
        <v>-2.6552666805640699E-2</v>
      </c>
      <c r="Q176" s="94">
        <f t="shared" si="37"/>
        <v>-9.2278074057950479E-3</v>
      </c>
      <c r="R176" s="117" t="str">
        <f t="shared" si="38"/>
        <v>SI</v>
      </c>
      <c r="S176" s="117" t="str">
        <f t="shared" si="39"/>
        <v>SI</v>
      </c>
      <c r="T176" s="117" t="str">
        <f t="shared" si="29"/>
        <v>SI</v>
      </c>
      <c r="U176" s="117" t="str">
        <f t="shared" si="30"/>
        <v>NO</v>
      </c>
      <c r="V176" s="117" t="str">
        <f t="shared" si="31"/>
        <v>NO</v>
      </c>
      <c r="W176" s="117" t="str">
        <f t="shared" si="32"/>
        <v>NO</v>
      </c>
      <c r="X176" s="132" t="b">
        <f t="shared" si="40"/>
        <v>0</v>
      </c>
    </row>
    <row r="177" spans="1:24" s="2" customFormat="1" ht="12" x14ac:dyDescent="0.15">
      <c r="A177" s="125" t="s">
        <v>87</v>
      </c>
      <c r="B177" s="139">
        <v>811046078</v>
      </c>
      <c r="C177" s="137" t="s">
        <v>278</v>
      </c>
      <c r="D177" s="137" t="s">
        <v>531</v>
      </c>
      <c r="E177" s="138">
        <v>13443147</v>
      </c>
      <c r="F177" s="138">
        <v>21765869</v>
      </c>
      <c r="G177" s="138">
        <v>8101016</v>
      </c>
      <c r="H177" s="138">
        <v>11993294</v>
      </c>
      <c r="I177" s="138">
        <v>9772575</v>
      </c>
      <c r="J177" s="138">
        <v>2064208</v>
      </c>
      <c r="K177" s="138">
        <v>1258252</v>
      </c>
      <c r="L177" s="93">
        <f t="shared" si="33"/>
        <v>5342131</v>
      </c>
      <c r="M177" s="94">
        <f t="shared" si="34"/>
        <v>1.6594396307821142</v>
      </c>
      <c r="N177" s="94">
        <f t="shared" si="35"/>
        <v>0.55101379136298212</v>
      </c>
      <c r="O177" s="94">
        <f t="shared" si="36"/>
        <v>1.6405362359845246</v>
      </c>
      <c r="P177" s="94">
        <f t="shared" si="28"/>
        <v>0.21122457489453905</v>
      </c>
      <c r="Q177" s="94">
        <f t="shared" si="37"/>
        <v>9.4836921052864925E-2</v>
      </c>
      <c r="R177" s="117" t="str">
        <f t="shared" si="38"/>
        <v>SI</v>
      </c>
      <c r="S177" s="117" t="str">
        <f t="shared" si="39"/>
        <v>NO</v>
      </c>
      <c r="T177" s="117" t="str">
        <f t="shared" si="29"/>
        <v>SI</v>
      </c>
      <c r="U177" s="117" t="str">
        <f t="shared" si="30"/>
        <v>SI</v>
      </c>
      <c r="V177" s="117" t="str">
        <f t="shared" si="31"/>
        <v>SI</v>
      </c>
      <c r="W177" s="117" t="str">
        <f t="shared" si="32"/>
        <v>SI</v>
      </c>
      <c r="X177" s="132" t="b">
        <f t="shared" si="40"/>
        <v>0</v>
      </c>
    </row>
    <row r="178" spans="1:24" s="2" customFormat="1" ht="12" x14ac:dyDescent="0.15">
      <c r="A178" s="125" t="s">
        <v>87</v>
      </c>
      <c r="B178" s="139">
        <v>830001362</v>
      </c>
      <c r="C178" s="137" t="s">
        <v>279</v>
      </c>
      <c r="D178" s="137" t="s">
        <v>531</v>
      </c>
      <c r="E178" s="138">
        <v>16026233</v>
      </c>
      <c r="F178" s="138">
        <v>16387692</v>
      </c>
      <c r="G178" s="138">
        <v>8088994</v>
      </c>
      <c r="H178" s="138">
        <v>8090915</v>
      </c>
      <c r="I178" s="138">
        <v>8296777</v>
      </c>
      <c r="J178" s="138">
        <v>3601790</v>
      </c>
      <c r="K178" s="138">
        <v>406376</v>
      </c>
      <c r="L178" s="93">
        <f t="shared" si="33"/>
        <v>7937239</v>
      </c>
      <c r="M178" s="94">
        <f t="shared" si="34"/>
        <v>1.9812393234560441</v>
      </c>
      <c r="N178" s="94">
        <f t="shared" si="35"/>
        <v>0.49371900570257238</v>
      </c>
      <c r="O178" s="94"/>
      <c r="P178" s="94">
        <f t="shared" si="28"/>
        <v>0.43411917663931426</v>
      </c>
      <c r="Q178" s="94">
        <f t="shared" si="37"/>
        <v>0.21978628839253264</v>
      </c>
      <c r="R178" s="117" t="str">
        <f t="shared" si="38"/>
        <v>SI</v>
      </c>
      <c r="S178" s="117" t="str">
        <f t="shared" si="39"/>
        <v>SI</v>
      </c>
      <c r="T178" s="117" t="str">
        <f t="shared" si="29"/>
        <v>SI</v>
      </c>
      <c r="U178" s="117" t="str">
        <f t="shared" si="30"/>
        <v>NO</v>
      </c>
      <c r="V178" s="117" t="str">
        <f t="shared" si="31"/>
        <v>SI</v>
      </c>
      <c r="W178" s="117" t="str">
        <f t="shared" si="32"/>
        <v>SI</v>
      </c>
      <c r="X178" s="132" t="b">
        <f t="shared" si="40"/>
        <v>0</v>
      </c>
    </row>
    <row r="179" spans="1:24" s="2" customFormat="1" ht="12" x14ac:dyDescent="0.15">
      <c r="A179" s="125" t="s">
        <v>87</v>
      </c>
      <c r="B179" s="139">
        <v>830004892</v>
      </c>
      <c r="C179" s="137" t="s">
        <v>280</v>
      </c>
      <c r="D179" s="137" t="s">
        <v>531</v>
      </c>
      <c r="E179" s="138">
        <v>96819571</v>
      </c>
      <c r="F179" s="138">
        <v>114726290</v>
      </c>
      <c r="G179" s="138">
        <v>26843045</v>
      </c>
      <c r="H179" s="138">
        <v>26972716</v>
      </c>
      <c r="I179" s="138">
        <v>87753574</v>
      </c>
      <c r="J179" s="138">
        <v>17840292</v>
      </c>
      <c r="K179" s="138">
        <v>1483907</v>
      </c>
      <c r="L179" s="93">
        <f t="shared" si="33"/>
        <v>69976526</v>
      </c>
      <c r="M179" s="94"/>
      <c r="N179" s="94">
        <f t="shared" si="35"/>
        <v>0.23510492669117078</v>
      </c>
      <c r="O179" s="94"/>
      <c r="P179" s="94">
        <f t="shared" si="28"/>
        <v>0.20329989066884044</v>
      </c>
      <c r="Q179" s="94">
        <f t="shared" si="37"/>
        <v>0.15550308477681968</v>
      </c>
      <c r="R179" s="117" t="str">
        <f t="shared" si="38"/>
        <v>SI</v>
      </c>
      <c r="S179" s="117" t="str">
        <f t="shared" si="39"/>
        <v>NO</v>
      </c>
      <c r="T179" s="117" t="str">
        <f t="shared" si="29"/>
        <v>SI</v>
      </c>
      <c r="U179" s="117" t="str">
        <f t="shared" si="30"/>
        <v>NO</v>
      </c>
      <c r="V179" s="117" t="str">
        <f t="shared" si="31"/>
        <v>SI</v>
      </c>
      <c r="W179" s="117" t="str">
        <f t="shared" si="32"/>
        <v>SI</v>
      </c>
      <c r="X179" s="132" t="b">
        <f t="shared" si="40"/>
        <v>0</v>
      </c>
    </row>
    <row r="180" spans="1:24" s="2" customFormat="1" ht="12" x14ac:dyDescent="0.15">
      <c r="A180" s="125" t="s">
        <v>87</v>
      </c>
      <c r="B180" s="139">
        <v>830005062</v>
      </c>
      <c r="C180" s="137" t="s">
        <v>281</v>
      </c>
      <c r="D180" s="137" t="s">
        <v>531</v>
      </c>
      <c r="E180" s="138">
        <v>8546803</v>
      </c>
      <c r="F180" s="138">
        <v>8673814</v>
      </c>
      <c r="G180" s="138">
        <v>1665347</v>
      </c>
      <c r="H180" s="138">
        <v>1669382</v>
      </c>
      <c r="I180" s="138">
        <v>7004432</v>
      </c>
      <c r="J180" s="138">
        <v>2132191</v>
      </c>
      <c r="K180" s="138">
        <v>446</v>
      </c>
      <c r="L180" s="93">
        <f t="shared" si="33"/>
        <v>6881456</v>
      </c>
      <c r="M180" s="94"/>
      <c r="N180" s="94">
        <f t="shared" si="35"/>
        <v>0.19246227783994446</v>
      </c>
      <c r="O180" s="94"/>
      <c r="P180" s="94">
        <f t="shared" si="28"/>
        <v>0.30440598181265804</v>
      </c>
      <c r="Q180" s="94">
        <f t="shared" si="37"/>
        <v>0.24581931316488917</v>
      </c>
      <c r="R180" s="117" t="str">
        <f t="shared" si="38"/>
        <v>SI</v>
      </c>
      <c r="S180" s="117" t="str">
        <f t="shared" si="39"/>
        <v>NO</v>
      </c>
      <c r="T180" s="117" t="str">
        <f t="shared" si="29"/>
        <v>SI</v>
      </c>
      <c r="U180" s="117" t="str">
        <f t="shared" si="30"/>
        <v>NO</v>
      </c>
      <c r="V180" s="117" t="str">
        <f t="shared" si="31"/>
        <v>SI</v>
      </c>
      <c r="W180" s="117" t="str">
        <f t="shared" si="32"/>
        <v>SI</v>
      </c>
      <c r="X180" s="132" t="b">
        <f t="shared" si="40"/>
        <v>0</v>
      </c>
    </row>
    <row r="181" spans="1:24" s="2" customFormat="1" ht="12" x14ac:dyDescent="0.15">
      <c r="A181" s="125" t="s">
        <v>87</v>
      </c>
      <c r="B181" s="139">
        <v>830007414</v>
      </c>
      <c r="C181" s="137" t="s">
        <v>282</v>
      </c>
      <c r="D181" s="137" t="s">
        <v>531</v>
      </c>
      <c r="E181" s="138">
        <v>8254813</v>
      </c>
      <c r="F181" s="138">
        <v>8330370</v>
      </c>
      <c r="G181" s="138">
        <v>1034527</v>
      </c>
      <c r="H181" s="138">
        <v>2130681</v>
      </c>
      <c r="I181" s="138">
        <v>6199689</v>
      </c>
      <c r="J181" s="138">
        <v>1276737</v>
      </c>
      <c r="K181" s="138">
        <v>91072</v>
      </c>
      <c r="L181" s="93">
        <f t="shared" si="33"/>
        <v>7220286</v>
      </c>
      <c r="M181" s="94"/>
      <c r="N181" s="94">
        <f t="shared" si="35"/>
        <v>0.25577267276243432</v>
      </c>
      <c r="O181" s="94"/>
      <c r="P181" s="94">
        <f t="shared" si="28"/>
        <v>0.20593565257870194</v>
      </c>
      <c r="Q181" s="94">
        <f t="shared" si="37"/>
        <v>0.15326294030157123</v>
      </c>
      <c r="R181" s="117" t="str">
        <f t="shared" si="38"/>
        <v>SI</v>
      </c>
      <c r="S181" s="117" t="str">
        <f t="shared" si="39"/>
        <v>NO</v>
      </c>
      <c r="T181" s="117" t="str">
        <f t="shared" si="29"/>
        <v>SI</v>
      </c>
      <c r="U181" s="117" t="str">
        <f t="shared" si="30"/>
        <v>NO</v>
      </c>
      <c r="V181" s="117" t="str">
        <f t="shared" si="31"/>
        <v>SI</v>
      </c>
      <c r="W181" s="117" t="str">
        <f t="shared" si="32"/>
        <v>SI</v>
      </c>
      <c r="X181" s="132" t="b">
        <f t="shared" si="40"/>
        <v>0</v>
      </c>
    </row>
    <row r="182" spans="1:24" s="2" customFormat="1" ht="12" x14ac:dyDescent="0.15">
      <c r="A182" s="125" t="s">
        <v>87</v>
      </c>
      <c r="B182" s="139">
        <v>830012595</v>
      </c>
      <c r="C182" s="137" t="s">
        <v>283</v>
      </c>
      <c r="D182" s="137" t="s">
        <v>531</v>
      </c>
      <c r="E182" s="138">
        <v>104531009</v>
      </c>
      <c r="F182" s="138">
        <v>107456856</v>
      </c>
      <c r="G182" s="138">
        <v>51270708</v>
      </c>
      <c r="H182" s="138">
        <v>52501570</v>
      </c>
      <c r="I182" s="138">
        <v>54955286</v>
      </c>
      <c r="J182" s="138">
        <v>-264921</v>
      </c>
      <c r="K182" s="138"/>
      <c r="L182" s="93">
        <f t="shared" si="33"/>
        <v>53260301</v>
      </c>
      <c r="M182" s="94">
        <f t="shared" si="34"/>
        <v>2.0388056470762992</v>
      </c>
      <c r="N182" s="94">
        <f t="shared" si="35"/>
        <v>0.48858278526220794</v>
      </c>
      <c r="O182" s="94" t="s">
        <v>108</v>
      </c>
      <c r="P182" s="94">
        <f t="shared" si="28"/>
        <v>-4.8206645671901331E-3</v>
      </c>
      <c r="Q182" s="94">
        <f t="shared" si="37"/>
        <v>-2.4653708461375421E-3</v>
      </c>
      <c r="R182" s="117" t="str">
        <f t="shared" si="38"/>
        <v>SI</v>
      </c>
      <c r="S182" s="117" t="str">
        <f t="shared" si="39"/>
        <v>SI</v>
      </c>
      <c r="T182" s="117" t="str">
        <f t="shared" si="29"/>
        <v>SI</v>
      </c>
      <c r="U182" s="117" t="str">
        <f t="shared" si="30"/>
        <v>SI</v>
      </c>
      <c r="V182" s="117" t="str">
        <f t="shared" si="31"/>
        <v>NO</v>
      </c>
      <c r="W182" s="117" t="str">
        <f t="shared" si="32"/>
        <v>NO</v>
      </c>
      <c r="X182" s="132" t="b">
        <f t="shared" si="40"/>
        <v>0</v>
      </c>
    </row>
    <row r="183" spans="1:24" s="2" customFormat="1" ht="12" x14ac:dyDescent="0.15">
      <c r="A183" s="125" t="s">
        <v>87</v>
      </c>
      <c r="B183" s="139">
        <v>830013234</v>
      </c>
      <c r="C183" s="137" t="s">
        <v>284</v>
      </c>
      <c r="D183" s="137" t="s">
        <v>531</v>
      </c>
      <c r="E183" s="138">
        <v>2337848</v>
      </c>
      <c r="F183" s="138">
        <v>4807261</v>
      </c>
      <c r="G183" s="138">
        <v>1085315</v>
      </c>
      <c r="H183" s="138">
        <v>1250116</v>
      </c>
      <c r="I183" s="138">
        <v>3557145</v>
      </c>
      <c r="J183" s="138">
        <v>1444455</v>
      </c>
      <c r="K183" s="138">
        <v>89693</v>
      </c>
      <c r="L183" s="93">
        <f t="shared" si="33"/>
        <v>1252533</v>
      </c>
      <c r="M183" s="94">
        <f t="shared" si="34"/>
        <v>2.1540732414091761</v>
      </c>
      <c r="N183" s="94">
        <f t="shared" si="35"/>
        <v>0.26004745737749624</v>
      </c>
      <c r="O183" s="94"/>
      <c r="P183" s="94">
        <f t="shared" si="28"/>
        <v>0.40607144212563728</v>
      </c>
      <c r="Q183" s="94">
        <f t="shared" si="37"/>
        <v>0.30047359608725216</v>
      </c>
      <c r="R183" s="117" t="str">
        <f t="shared" si="38"/>
        <v>SI</v>
      </c>
      <c r="S183" s="117" t="str">
        <f t="shared" si="39"/>
        <v>SI</v>
      </c>
      <c r="T183" s="117" t="str">
        <f t="shared" si="29"/>
        <v>SI</v>
      </c>
      <c r="U183" s="117" t="str">
        <f t="shared" si="30"/>
        <v>NO</v>
      </c>
      <c r="V183" s="117" t="str">
        <f t="shared" si="31"/>
        <v>SI</v>
      </c>
      <c r="W183" s="117" t="str">
        <f t="shared" si="32"/>
        <v>SI</v>
      </c>
      <c r="X183" s="132" t="b">
        <f t="shared" si="40"/>
        <v>0</v>
      </c>
    </row>
    <row r="184" spans="1:24" s="2" customFormat="1" ht="12" x14ac:dyDescent="0.15">
      <c r="A184" s="125" t="s">
        <v>87</v>
      </c>
      <c r="B184" s="139">
        <v>830013922</v>
      </c>
      <c r="C184" s="137" t="s">
        <v>285</v>
      </c>
      <c r="D184" s="137" t="s">
        <v>531</v>
      </c>
      <c r="E184" s="138">
        <v>10508984</v>
      </c>
      <c r="F184" s="138">
        <v>14116862</v>
      </c>
      <c r="G184" s="138">
        <v>3620176</v>
      </c>
      <c r="H184" s="138">
        <v>4240989</v>
      </c>
      <c r="I184" s="138">
        <v>9875873</v>
      </c>
      <c r="J184" s="138">
        <v>524682</v>
      </c>
      <c r="K184" s="138">
        <v>213553</v>
      </c>
      <c r="L184" s="93">
        <f t="shared" si="33"/>
        <v>6888808</v>
      </c>
      <c r="M184" s="94"/>
      <c r="N184" s="94">
        <f t="shared" si="35"/>
        <v>0.30042009336069164</v>
      </c>
      <c r="O184" s="94"/>
      <c r="P184" s="94">
        <f t="shared" si="28"/>
        <v>5.312765767644035E-2</v>
      </c>
      <c r="Q184" s="94">
        <f t="shared" si="37"/>
        <v>3.7167041797249278E-2</v>
      </c>
      <c r="R184" s="117" t="str">
        <f t="shared" si="38"/>
        <v>SI</v>
      </c>
      <c r="S184" s="117" t="str">
        <f t="shared" si="39"/>
        <v>NO</v>
      </c>
      <c r="T184" s="117" t="str">
        <f t="shared" si="29"/>
        <v>SI</v>
      </c>
      <c r="U184" s="117" t="str">
        <f t="shared" si="30"/>
        <v>NO</v>
      </c>
      <c r="V184" s="117" t="str">
        <f t="shared" si="31"/>
        <v>NO</v>
      </c>
      <c r="W184" s="117" t="str">
        <f t="shared" si="32"/>
        <v>NO</v>
      </c>
      <c r="X184" s="132" t="b">
        <f t="shared" si="40"/>
        <v>0</v>
      </c>
    </row>
    <row r="185" spans="1:24" s="2" customFormat="1" ht="12" x14ac:dyDescent="0.15">
      <c r="A185" s="125" t="s">
        <v>87</v>
      </c>
      <c r="B185" s="139">
        <v>830014011</v>
      </c>
      <c r="C185" s="137" t="s">
        <v>286</v>
      </c>
      <c r="D185" s="137" t="s">
        <v>531</v>
      </c>
      <c r="E185" s="138">
        <v>29904849</v>
      </c>
      <c r="F185" s="138">
        <v>30226141</v>
      </c>
      <c r="G185" s="138">
        <v>4124749</v>
      </c>
      <c r="H185" s="138">
        <v>6087843</v>
      </c>
      <c r="I185" s="138">
        <v>24138298</v>
      </c>
      <c r="J185" s="138">
        <v>6583507</v>
      </c>
      <c r="K185" s="138">
        <v>446747</v>
      </c>
      <c r="L185" s="93">
        <f t="shared" si="33"/>
        <v>25780100</v>
      </c>
      <c r="M185" s="94">
        <f t="shared" si="34"/>
        <v>7.2501015213289346</v>
      </c>
      <c r="N185" s="94">
        <f t="shared" si="35"/>
        <v>0.20140986571855138</v>
      </c>
      <c r="O185" s="94"/>
      <c r="P185" s="94">
        <f t="shared" si="28"/>
        <v>0.27274114355535756</v>
      </c>
      <c r="Q185" s="94">
        <f t="shared" si="37"/>
        <v>0.21780838645594885</v>
      </c>
      <c r="R185" s="117" t="str">
        <f t="shared" si="38"/>
        <v>SI</v>
      </c>
      <c r="S185" s="117" t="str">
        <f t="shared" si="39"/>
        <v>SI</v>
      </c>
      <c r="T185" s="117" t="str">
        <f t="shared" si="29"/>
        <v>SI</v>
      </c>
      <c r="U185" s="117" t="str">
        <f t="shared" si="30"/>
        <v>NO</v>
      </c>
      <c r="V185" s="117" t="str">
        <f t="shared" si="31"/>
        <v>SI</v>
      </c>
      <c r="W185" s="117" t="str">
        <f t="shared" si="32"/>
        <v>SI</v>
      </c>
      <c r="X185" s="132" t="b">
        <f t="shared" si="40"/>
        <v>0</v>
      </c>
    </row>
    <row r="186" spans="1:24" s="2" customFormat="1" ht="12" x14ac:dyDescent="0.15">
      <c r="A186" s="125" t="s">
        <v>87</v>
      </c>
      <c r="B186" s="139">
        <v>830014644</v>
      </c>
      <c r="C186" s="137" t="s">
        <v>287</v>
      </c>
      <c r="D186" s="137" t="s">
        <v>531</v>
      </c>
      <c r="E186" s="138">
        <v>10320795</v>
      </c>
      <c r="F186" s="138">
        <v>13346867</v>
      </c>
      <c r="G186" s="138">
        <v>2972854</v>
      </c>
      <c r="H186" s="138">
        <v>3743315</v>
      </c>
      <c r="I186" s="138">
        <v>9603552</v>
      </c>
      <c r="J186" s="138">
        <v>980844</v>
      </c>
      <c r="K186" s="138">
        <v>311598</v>
      </c>
      <c r="L186" s="93">
        <f t="shared" si="33"/>
        <v>7347941</v>
      </c>
      <c r="M186" s="94"/>
      <c r="N186" s="94">
        <f t="shared" si="35"/>
        <v>0.28046394708211297</v>
      </c>
      <c r="O186" s="94">
        <f t="shared" si="36"/>
        <v>3.1477865711589934</v>
      </c>
      <c r="P186" s="94">
        <f t="shared" si="28"/>
        <v>0.10213346061957077</v>
      </c>
      <c r="Q186" s="94">
        <f t="shared" si="37"/>
        <v>7.3488707125050401E-2</v>
      </c>
      <c r="R186" s="117" t="str">
        <f t="shared" si="38"/>
        <v>SI</v>
      </c>
      <c r="S186" s="117" t="str">
        <f t="shared" si="39"/>
        <v>NO</v>
      </c>
      <c r="T186" s="117" t="str">
        <f t="shared" si="29"/>
        <v>SI</v>
      </c>
      <c r="U186" s="117" t="str">
        <f t="shared" si="30"/>
        <v>SI</v>
      </c>
      <c r="V186" s="117" t="str">
        <f t="shared" si="31"/>
        <v>NO</v>
      </c>
      <c r="W186" s="117" t="str">
        <f t="shared" si="32"/>
        <v>NO</v>
      </c>
      <c r="X186" s="132" t="b">
        <f t="shared" si="40"/>
        <v>0</v>
      </c>
    </row>
    <row r="187" spans="1:24" s="2" customFormat="1" ht="12" x14ac:dyDescent="0.15">
      <c r="A187" s="125" t="s">
        <v>87</v>
      </c>
      <c r="B187" s="139">
        <v>830014721</v>
      </c>
      <c r="C187" s="137" t="s">
        <v>288</v>
      </c>
      <c r="D187" s="137" t="s">
        <v>531</v>
      </c>
      <c r="E187" s="138">
        <v>6922385</v>
      </c>
      <c r="F187" s="138">
        <v>8196115</v>
      </c>
      <c r="G187" s="138">
        <v>2200068</v>
      </c>
      <c r="H187" s="138">
        <v>2210068</v>
      </c>
      <c r="I187" s="138">
        <v>5986047</v>
      </c>
      <c r="J187" s="138">
        <v>1318184</v>
      </c>
      <c r="K187" s="138"/>
      <c r="L187" s="93">
        <f t="shared" si="33"/>
        <v>4722317</v>
      </c>
      <c r="M187" s="94"/>
      <c r="N187" s="94">
        <f t="shared" si="35"/>
        <v>0.26964824188045189</v>
      </c>
      <c r="O187" s="94" t="s">
        <v>108</v>
      </c>
      <c r="P187" s="94">
        <f t="shared" si="28"/>
        <v>0.22020943036364399</v>
      </c>
      <c r="Q187" s="94">
        <f t="shared" si="37"/>
        <v>0.16083034462059159</v>
      </c>
      <c r="R187" s="117" t="str">
        <f t="shared" si="38"/>
        <v>SI</v>
      </c>
      <c r="S187" s="117" t="str">
        <f t="shared" si="39"/>
        <v>NO</v>
      </c>
      <c r="T187" s="117" t="str">
        <f t="shared" si="29"/>
        <v>SI</v>
      </c>
      <c r="U187" s="117" t="str">
        <f t="shared" si="30"/>
        <v>SI</v>
      </c>
      <c r="V187" s="117" t="str">
        <f t="shared" si="31"/>
        <v>SI</v>
      </c>
      <c r="W187" s="117" t="str">
        <f t="shared" si="32"/>
        <v>SI</v>
      </c>
      <c r="X187" s="132" t="b">
        <f t="shared" si="40"/>
        <v>0</v>
      </c>
    </row>
    <row r="188" spans="1:24" s="2" customFormat="1" ht="12" x14ac:dyDescent="0.15">
      <c r="A188" s="125" t="s">
        <v>87</v>
      </c>
      <c r="B188" s="139">
        <v>830015673</v>
      </c>
      <c r="C188" s="137" t="s">
        <v>289</v>
      </c>
      <c r="D188" s="137" t="s">
        <v>531</v>
      </c>
      <c r="E188" s="138">
        <v>2714323</v>
      </c>
      <c r="F188" s="138">
        <v>2723641</v>
      </c>
      <c r="G188" s="138">
        <v>10951</v>
      </c>
      <c r="H188" s="138">
        <v>669730</v>
      </c>
      <c r="I188" s="138">
        <v>2053911</v>
      </c>
      <c r="J188" s="138">
        <v>218490</v>
      </c>
      <c r="K188" s="138"/>
      <c r="L188" s="93">
        <f t="shared" si="33"/>
        <v>2703372</v>
      </c>
      <c r="M188" s="94"/>
      <c r="N188" s="94">
        <f t="shared" si="35"/>
        <v>0.24589510879003509</v>
      </c>
      <c r="O188" s="94" t="s">
        <v>108</v>
      </c>
      <c r="P188" s="94">
        <f t="shared" si="28"/>
        <v>0.10637754021474154</v>
      </c>
      <c r="Q188" s="94">
        <f t="shared" si="37"/>
        <v>8.0219823390821329E-2</v>
      </c>
      <c r="R188" s="117" t="str">
        <f t="shared" si="38"/>
        <v>SI</v>
      </c>
      <c r="S188" s="117" t="str">
        <f t="shared" si="39"/>
        <v>NO</v>
      </c>
      <c r="T188" s="117" t="str">
        <f t="shared" si="29"/>
        <v>SI</v>
      </c>
      <c r="U188" s="117" t="str">
        <f t="shared" si="30"/>
        <v>SI</v>
      </c>
      <c r="V188" s="117" t="str">
        <f t="shared" si="31"/>
        <v>NO</v>
      </c>
      <c r="W188" s="117" t="str">
        <f t="shared" si="32"/>
        <v>NO</v>
      </c>
      <c r="X188" s="132" t="b">
        <f t="shared" si="40"/>
        <v>0</v>
      </c>
    </row>
    <row r="189" spans="1:24" s="2" customFormat="1" ht="12" x14ac:dyDescent="0.15">
      <c r="A189" s="125" t="s">
        <v>87</v>
      </c>
      <c r="B189" s="139">
        <v>830021692</v>
      </c>
      <c r="C189" s="137" t="s">
        <v>290</v>
      </c>
      <c r="D189" s="137" t="s">
        <v>531</v>
      </c>
      <c r="E189" s="138">
        <v>22123033</v>
      </c>
      <c r="F189" s="138">
        <v>22451599</v>
      </c>
      <c r="G189" s="138">
        <v>14071521</v>
      </c>
      <c r="H189" s="138">
        <v>14071521</v>
      </c>
      <c r="I189" s="138">
        <v>8380078</v>
      </c>
      <c r="J189" s="138">
        <v>6040679</v>
      </c>
      <c r="K189" s="138">
        <v>1218637</v>
      </c>
      <c r="L189" s="93">
        <f t="shared" si="33"/>
        <v>8051512</v>
      </c>
      <c r="M189" s="94">
        <f t="shared" si="34"/>
        <v>1.5721849116381945</v>
      </c>
      <c r="N189" s="94">
        <f t="shared" si="35"/>
        <v>0.62674916828863725</v>
      </c>
      <c r="O189" s="94"/>
      <c r="P189" s="94">
        <f t="shared" si="28"/>
        <v>0.7208380399323252</v>
      </c>
      <c r="Q189" s="94">
        <f t="shared" si="37"/>
        <v>0.26905339793392891</v>
      </c>
      <c r="R189" s="117" t="str">
        <f t="shared" si="38"/>
        <v>SI</v>
      </c>
      <c r="S189" s="117" t="str">
        <f t="shared" si="39"/>
        <v>NO</v>
      </c>
      <c r="T189" s="117" t="str">
        <f t="shared" si="29"/>
        <v>SI</v>
      </c>
      <c r="U189" s="117" t="str">
        <f t="shared" si="30"/>
        <v>NO</v>
      </c>
      <c r="V189" s="117" t="str">
        <f t="shared" si="31"/>
        <v>SI</v>
      </c>
      <c r="W189" s="117" t="str">
        <f t="shared" si="32"/>
        <v>SI</v>
      </c>
      <c r="X189" s="132" t="b">
        <f t="shared" si="40"/>
        <v>0</v>
      </c>
    </row>
    <row r="190" spans="1:24" s="2" customFormat="1" ht="12" x14ac:dyDescent="0.15">
      <c r="A190" s="125" t="s">
        <v>87</v>
      </c>
      <c r="B190" s="139">
        <v>830023819</v>
      </c>
      <c r="C190" s="137" t="s">
        <v>291</v>
      </c>
      <c r="D190" s="137" t="s">
        <v>531</v>
      </c>
      <c r="E190" s="138">
        <v>9173793</v>
      </c>
      <c r="F190" s="138">
        <v>12463152</v>
      </c>
      <c r="G190" s="138">
        <v>1156616</v>
      </c>
      <c r="H190" s="138">
        <v>4025245</v>
      </c>
      <c r="I190" s="138">
        <v>8437907</v>
      </c>
      <c r="J190" s="138">
        <v>152616</v>
      </c>
      <c r="K190" s="138"/>
      <c r="L190" s="93">
        <f t="shared" si="33"/>
        <v>8017177</v>
      </c>
      <c r="M190" s="94"/>
      <c r="N190" s="94">
        <f t="shared" si="35"/>
        <v>0.32297166880416767</v>
      </c>
      <c r="O190" s="94" t="s">
        <v>108</v>
      </c>
      <c r="P190" s="94">
        <f t="shared" si="28"/>
        <v>1.8086949761356698E-2</v>
      </c>
      <c r="Q190" s="94">
        <f t="shared" si="37"/>
        <v>1.2245377413354182E-2</v>
      </c>
      <c r="R190" s="117" t="str">
        <f t="shared" si="38"/>
        <v>SI</v>
      </c>
      <c r="S190" s="117" t="str">
        <f t="shared" si="39"/>
        <v>NO</v>
      </c>
      <c r="T190" s="117" t="str">
        <f t="shared" si="29"/>
        <v>SI</v>
      </c>
      <c r="U190" s="117" t="str">
        <f t="shared" si="30"/>
        <v>SI</v>
      </c>
      <c r="V190" s="117" t="str">
        <f t="shared" si="31"/>
        <v>NO</v>
      </c>
      <c r="W190" s="117" t="str">
        <f t="shared" si="32"/>
        <v>NO</v>
      </c>
      <c r="X190" s="132" t="b">
        <f t="shared" si="40"/>
        <v>0</v>
      </c>
    </row>
    <row r="191" spans="1:24" s="2" customFormat="1" ht="12" x14ac:dyDescent="0.15">
      <c r="A191" s="125" t="s">
        <v>87</v>
      </c>
      <c r="B191" s="139">
        <v>830032216</v>
      </c>
      <c r="C191" s="137" t="s">
        <v>292</v>
      </c>
      <c r="D191" s="137" t="s">
        <v>531</v>
      </c>
      <c r="E191" s="138">
        <v>5363809</v>
      </c>
      <c r="F191" s="138">
        <v>7502287</v>
      </c>
      <c r="G191" s="138">
        <v>1849006</v>
      </c>
      <c r="H191" s="138">
        <v>1849006</v>
      </c>
      <c r="I191" s="138">
        <v>5653281</v>
      </c>
      <c r="J191" s="138">
        <v>1371</v>
      </c>
      <c r="K191" s="138">
        <v>19240</v>
      </c>
      <c r="L191" s="93">
        <f t="shared" si="33"/>
        <v>3514803</v>
      </c>
      <c r="M191" s="94"/>
      <c r="N191" s="94">
        <f t="shared" si="35"/>
        <v>0.24645897977510059</v>
      </c>
      <c r="O191" s="94">
        <f t="shared" si="36"/>
        <v>7.1257796257796255E-2</v>
      </c>
      <c r="P191" s="94">
        <f t="shared" si="28"/>
        <v>2.4251403742357757E-4</v>
      </c>
      <c r="Q191" s="94">
        <f t="shared" si="37"/>
        <v>1.8274427517902208E-4</v>
      </c>
      <c r="R191" s="117" t="str">
        <f t="shared" si="38"/>
        <v>SI</v>
      </c>
      <c r="S191" s="117" t="str">
        <f t="shared" si="39"/>
        <v>NO</v>
      </c>
      <c r="T191" s="117" t="str">
        <f t="shared" si="29"/>
        <v>SI</v>
      </c>
      <c r="U191" s="117" t="str">
        <f t="shared" si="30"/>
        <v>NO</v>
      </c>
      <c r="V191" s="117" t="str">
        <f t="shared" si="31"/>
        <v>NO</v>
      </c>
      <c r="W191" s="117" t="str">
        <f t="shared" si="32"/>
        <v>NO</v>
      </c>
      <c r="X191" s="132" t="b">
        <f t="shared" si="40"/>
        <v>0</v>
      </c>
    </row>
    <row r="192" spans="1:24" s="2" customFormat="1" ht="12" x14ac:dyDescent="0.15">
      <c r="A192" s="125" t="s">
        <v>87</v>
      </c>
      <c r="B192" s="139">
        <v>830034233</v>
      </c>
      <c r="C192" s="137" t="s">
        <v>293</v>
      </c>
      <c r="D192" s="137" t="s">
        <v>531</v>
      </c>
      <c r="E192" s="138">
        <v>14946393</v>
      </c>
      <c r="F192" s="138">
        <v>16050341</v>
      </c>
      <c r="G192" s="138">
        <v>5021722</v>
      </c>
      <c r="H192" s="138">
        <v>5021722</v>
      </c>
      <c r="I192" s="138">
        <v>11028619</v>
      </c>
      <c r="J192" s="138">
        <v>2657251</v>
      </c>
      <c r="K192" s="138"/>
      <c r="L192" s="93">
        <f t="shared" si="33"/>
        <v>9924671</v>
      </c>
      <c r="M192" s="94"/>
      <c r="N192" s="94">
        <f t="shared" si="35"/>
        <v>0.31287322805166567</v>
      </c>
      <c r="O192" s="94" t="s">
        <v>108</v>
      </c>
      <c r="P192" s="94">
        <f t="shared" si="28"/>
        <v>0.24094140889262744</v>
      </c>
      <c r="Q192" s="94">
        <f t="shared" si="37"/>
        <v>0.16555729252107479</v>
      </c>
      <c r="R192" s="117" t="str">
        <f t="shared" si="38"/>
        <v>SI</v>
      </c>
      <c r="S192" s="117" t="str">
        <f t="shared" si="39"/>
        <v>NO</v>
      </c>
      <c r="T192" s="117" t="str">
        <f t="shared" si="29"/>
        <v>SI</v>
      </c>
      <c r="U192" s="117" t="str">
        <f t="shared" si="30"/>
        <v>SI</v>
      </c>
      <c r="V192" s="117" t="str">
        <f t="shared" si="31"/>
        <v>SI</v>
      </c>
      <c r="W192" s="117" t="str">
        <f t="shared" si="32"/>
        <v>SI</v>
      </c>
      <c r="X192" s="132" t="b">
        <f t="shared" si="40"/>
        <v>0</v>
      </c>
    </row>
    <row r="193" spans="1:24" s="2" customFormat="1" ht="12" x14ac:dyDescent="0.15">
      <c r="A193" s="125" t="s">
        <v>87</v>
      </c>
      <c r="B193" s="139">
        <v>830034462</v>
      </c>
      <c r="C193" s="137" t="s">
        <v>294</v>
      </c>
      <c r="D193" s="137" t="s">
        <v>531</v>
      </c>
      <c r="E193" s="138">
        <v>31894469</v>
      </c>
      <c r="F193" s="138">
        <v>35581570</v>
      </c>
      <c r="G193" s="138">
        <v>14175330</v>
      </c>
      <c r="H193" s="138">
        <v>14780523</v>
      </c>
      <c r="I193" s="138">
        <v>20801047</v>
      </c>
      <c r="J193" s="138">
        <v>3489045</v>
      </c>
      <c r="K193" s="138">
        <v>2191917</v>
      </c>
      <c r="L193" s="93">
        <f t="shared" si="33"/>
        <v>17719139</v>
      </c>
      <c r="M193" s="94">
        <f t="shared" si="34"/>
        <v>2.2499983421902701</v>
      </c>
      <c r="N193" s="94">
        <f t="shared" si="35"/>
        <v>0.41539828062674017</v>
      </c>
      <c r="O193" s="94">
        <f t="shared" si="36"/>
        <v>1.5917778821004627</v>
      </c>
      <c r="P193" s="94">
        <f t="shared" si="28"/>
        <v>0.16773410492269933</v>
      </c>
      <c r="Q193" s="94">
        <f t="shared" si="37"/>
        <v>9.8057646135344789E-2</v>
      </c>
      <c r="R193" s="117" t="str">
        <f t="shared" si="38"/>
        <v>SI</v>
      </c>
      <c r="S193" s="117" t="str">
        <f t="shared" si="39"/>
        <v>SI</v>
      </c>
      <c r="T193" s="117" t="str">
        <f t="shared" si="29"/>
        <v>SI</v>
      </c>
      <c r="U193" s="117" t="str">
        <f t="shared" si="30"/>
        <v>SI</v>
      </c>
      <c r="V193" s="117" t="str">
        <f t="shared" si="31"/>
        <v>NO</v>
      </c>
      <c r="W193" s="117" t="str">
        <f t="shared" si="32"/>
        <v>SI</v>
      </c>
      <c r="X193" s="132" t="b">
        <f t="shared" si="40"/>
        <v>0</v>
      </c>
    </row>
    <row r="194" spans="1:24" s="2" customFormat="1" ht="12" x14ac:dyDescent="0.15">
      <c r="A194" s="125" t="s">
        <v>87</v>
      </c>
      <c r="B194" s="139">
        <v>830035136</v>
      </c>
      <c r="C194" s="137" t="s">
        <v>295</v>
      </c>
      <c r="D194" s="137" t="s">
        <v>531</v>
      </c>
      <c r="E194" s="138">
        <v>18144899</v>
      </c>
      <c r="F194" s="138">
        <v>23794752</v>
      </c>
      <c r="G194" s="138">
        <v>10945292</v>
      </c>
      <c r="H194" s="138">
        <v>14890926</v>
      </c>
      <c r="I194" s="138">
        <v>8903826</v>
      </c>
      <c r="J194" s="138">
        <v>2733442</v>
      </c>
      <c r="K194" s="138">
        <v>1195257</v>
      </c>
      <c r="L194" s="93">
        <f t="shared" si="33"/>
        <v>7199607</v>
      </c>
      <c r="M194" s="94">
        <f t="shared" si="34"/>
        <v>1.6577811720326876</v>
      </c>
      <c r="N194" s="94">
        <f t="shared" si="35"/>
        <v>0.62580715277049326</v>
      </c>
      <c r="O194" s="94">
        <f t="shared" si="36"/>
        <v>2.2869073345732343</v>
      </c>
      <c r="P194" s="94">
        <f t="shared" si="28"/>
        <v>0.30699634067422255</v>
      </c>
      <c r="Q194" s="94">
        <f t="shared" si="37"/>
        <v>0.11487583480592696</v>
      </c>
      <c r="R194" s="117" t="str">
        <f t="shared" si="38"/>
        <v>SI</v>
      </c>
      <c r="S194" s="117" t="str">
        <f t="shared" si="39"/>
        <v>NO</v>
      </c>
      <c r="T194" s="117" t="str">
        <f t="shared" si="29"/>
        <v>SI</v>
      </c>
      <c r="U194" s="117" t="str">
        <f t="shared" si="30"/>
        <v>SI</v>
      </c>
      <c r="V194" s="117" t="str">
        <f t="shared" si="31"/>
        <v>SI</v>
      </c>
      <c r="W194" s="117" t="str">
        <f t="shared" si="32"/>
        <v>SI</v>
      </c>
      <c r="X194" s="132" t="b">
        <f t="shared" si="40"/>
        <v>0</v>
      </c>
    </row>
    <row r="195" spans="1:24" s="2" customFormat="1" ht="12" x14ac:dyDescent="0.15">
      <c r="A195" s="125" t="s">
        <v>87</v>
      </c>
      <c r="B195" s="139">
        <v>830039415</v>
      </c>
      <c r="C195" s="137" t="s">
        <v>296</v>
      </c>
      <c r="D195" s="137" t="s">
        <v>531</v>
      </c>
      <c r="E195" s="138">
        <v>16279300</v>
      </c>
      <c r="F195" s="138">
        <v>17563796</v>
      </c>
      <c r="G195" s="138">
        <v>19161012</v>
      </c>
      <c r="H195" s="138">
        <v>19161012</v>
      </c>
      <c r="I195" s="138">
        <v>-1597216</v>
      </c>
      <c r="J195" s="138">
        <v>397061</v>
      </c>
      <c r="K195" s="138">
        <v>86585</v>
      </c>
      <c r="L195" s="93">
        <f t="shared" si="33"/>
        <v>-2881712</v>
      </c>
      <c r="M195" s="94">
        <f t="shared" si="34"/>
        <v>0.84960543837663693</v>
      </c>
      <c r="N195" s="94">
        <f t="shared" si="35"/>
        <v>1.0909379726341617</v>
      </c>
      <c r="O195" s="94"/>
      <c r="P195" s="94">
        <f t="shared" si="28"/>
        <v>-0.24859568148578526</v>
      </c>
      <c r="Q195" s="94">
        <f t="shared" si="37"/>
        <v>2.2606787279925138E-2</v>
      </c>
      <c r="R195" s="117" t="str">
        <f t="shared" si="38"/>
        <v>NO</v>
      </c>
      <c r="S195" s="117" t="str">
        <f t="shared" si="39"/>
        <v>NO</v>
      </c>
      <c r="T195" s="117" t="str">
        <f t="shared" si="29"/>
        <v>NO</v>
      </c>
      <c r="U195" s="117" t="str">
        <f t="shared" si="30"/>
        <v>NO</v>
      </c>
      <c r="V195" s="117" t="str">
        <f t="shared" si="31"/>
        <v>NO</v>
      </c>
      <c r="W195" s="117" t="str">
        <f t="shared" si="32"/>
        <v>NO</v>
      </c>
      <c r="X195" s="132" t="b">
        <f t="shared" si="40"/>
        <v>0</v>
      </c>
    </row>
    <row r="196" spans="1:24" s="2" customFormat="1" ht="12" x14ac:dyDescent="0.15">
      <c r="A196" s="125" t="s">
        <v>87</v>
      </c>
      <c r="B196" s="139">
        <v>830044682</v>
      </c>
      <c r="C196" s="137" t="s">
        <v>297</v>
      </c>
      <c r="D196" s="137" t="s">
        <v>531</v>
      </c>
      <c r="E196" s="138">
        <v>5185360</v>
      </c>
      <c r="F196" s="138">
        <v>8170249</v>
      </c>
      <c r="G196" s="138">
        <v>1155174</v>
      </c>
      <c r="H196" s="138">
        <v>2557076</v>
      </c>
      <c r="I196" s="138">
        <v>5613173</v>
      </c>
      <c r="J196" s="138">
        <v>601896</v>
      </c>
      <c r="K196" s="138"/>
      <c r="L196" s="93">
        <f t="shared" si="33"/>
        <v>4030186</v>
      </c>
      <c r="M196" s="94"/>
      <c r="N196" s="94">
        <f t="shared" si="35"/>
        <v>0.31297405990931243</v>
      </c>
      <c r="O196" s="94" t="s">
        <v>108</v>
      </c>
      <c r="P196" s="94">
        <f t="shared" si="28"/>
        <v>0.10722919104755901</v>
      </c>
      <c r="Q196" s="94">
        <f t="shared" si="37"/>
        <v>7.366923578461318E-2</v>
      </c>
      <c r="R196" s="117" t="str">
        <f t="shared" si="38"/>
        <v>SI</v>
      </c>
      <c r="S196" s="117" t="str">
        <f t="shared" si="39"/>
        <v>NO</v>
      </c>
      <c r="T196" s="117" t="str">
        <f t="shared" si="29"/>
        <v>SI</v>
      </c>
      <c r="U196" s="117" t="str">
        <f t="shared" si="30"/>
        <v>SI</v>
      </c>
      <c r="V196" s="117" t="str">
        <f t="shared" si="31"/>
        <v>NO</v>
      </c>
      <c r="W196" s="117" t="str">
        <f t="shared" si="32"/>
        <v>NO</v>
      </c>
      <c r="X196" s="132" t="b">
        <f t="shared" si="40"/>
        <v>0</v>
      </c>
    </row>
    <row r="197" spans="1:24" s="2" customFormat="1" ht="12" x14ac:dyDescent="0.15">
      <c r="A197" s="125" t="s">
        <v>87</v>
      </c>
      <c r="B197" s="139">
        <v>830045893</v>
      </c>
      <c r="C197" s="137" t="s">
        <v>298</v>
      </c>
      <c r="D197" s="137" t="s">
        <v>531</v>
      </c>
      <c r="E197" s="138">
        <v>12221945</v>
      </c>
      <c r="F197" s="138">
        <v>12522717</v>
      </c>
      <c r="G197" s="138">
        <v>4743067</v>
      </c>
      <c r="H197" s="138">
        <v>5936253</v>
      </c>
      <c r="I197" s="138">
        <v>6586464</v>
      </c>
      <c r="J197" s="138">
        <v>1461698</v>
      </c>
      <c r="K197" s="138">
        <v>117861</v>
      </c>
      <c r="L197" s="93">
        <f t="shared" si="33"/>
        <v>7478878</v>
      </c>
      <c r="M197" s="94">
        <f t="shared" si="34"/>
        <v>2.5768020987264149</v>
      </c>
      <c r="N197" s="94">
        <f t="shared" si="35"/>
        <v>0.47403874095374032</v>
      </c>
      <c r="O197" s="94"/>
      <c r="P197" s="94">
        <f t="shared" si="28"/>
        <v>0.22192454099802261</v>
      </c>
      <c r="Q197" s="94">
        <f t="shared" si="37"/>
        <v>0.11672371099658325</v>
      </c>
      <c r="R197" s="117" t="str">
        <f t="shared" si="38"/>
        <v>SI</v>
      </c>
      <c r="S197" s="117" t="str">
        <f t="shared" si="39"/>
        <v>SI</v>
      </c>
      <c r="T197" s="117" t="str">
        <f t="shared" si="29"/>
        <v>SI</v>
      </c>
      <c r="U197" s="117" t="str">
        <f t="shared" si="30"/>
        <v>NO</v>
      </c>
      <c r="V197" s="117" t="str">
        <f t="shared" si="31"/>
        <v>SI</v>
      </c>
      <c r="W197" s="117" t="str">
        <f t="shared" si="32"/>
        <v>SI</v>
      </c>
      <c r="X197" s="132" t="b">
        <f t="shared" si="40"/>
        <v>0</v>
      </c>
    </row>
    <row r="198" spans="1:24" s="2" customFormat="1" ht="12" x14ac:dyDescent="0.15">
      <c r="A198" s="125" t="s">
        <v>87</v>
      </c>
      <c r="B198" s="139">
        <v>830046982</v>
      </c>
      <c r="C198" s="137" t="s">
        <v>299</v>
      </c>
      <c r="D198" s="137" t="s">
        <v>531</v>
      </c>
      <c r="E198" s="138">
        <v>8780983</v>
      </c>
      <c r="F198" s="138">
        <v>8847678</v>
      </c>
      <c r="G198" s="138">
        <v>1489456</v>
      </c>
      <c r="H198" s="138">
        <v>2835638</v>
      </c>
      <c r="I198" s="138">
        <v>6012040</v>
      </c>
      <c r="J198" s="138">
        <v>1765349</v>
      </c>
      <c r="K198" s="138"/>
      <c r="L198" s="93">
        <f t="shared" si="33"/>
        <v>7291527</v>
      </c>
      <c r="M198" s="94"/>
      <c r="N198" s="94">
        <f t="shared" si="35"/>
        <v>0.32049516268562217</v>
      </c>
      <c r="O198" s="94" t="s">
        <v>108</v>
      </c>
      <c r="P198" s="94">
        <f t="shared" si="28"/>
        <v>0.29363560455352927</v>
      </c>
      <c r="Q198" s="94">
        <f t="shared" si="37"/>
        <v>0.19952681370185488</v>
      </c>
      <c r="R198" s="117" t="str">
        <f t="shared" si="38"/>
        <v>SI</v>
      </c>
      <c r="S198" s="117" t="str">
        <f t="shared" si="39"/>
        <v>NO</v>
      </c>
      <c r="T198" s="117" t="str">
        <f t="shared" si="29"/>
        <v>SI</v>
      </c>
      <c r="U198" s="117" t="str">
        <f t="shared" si="30"/>
        <v>SI</v>
      </c>
      <c r="V198" s="117" t="str">
        <f t="shared" si="31"/>
        <v>SI</v>
      </c>
      <c r="W198" s="117" t="str">
        <f t="shared" si="32"/>
        <v>SI</v>
      </c>
      <c r="X198" s="132" t="b">
        <f t="shared" si="40"/>
        <v>0</v>
      </c>
    </row>
    <row r="199" spans="1:24" s="2" customFormat="1" ht="12" x14ac:dyDescent="0.15">
      <c r="A199" s="125" t="s">
        <v>87</v>
      </c>
      <c r="B199" s="139">
        <v>830051298</v>
      </c>
      <c r="C199" s="137" t="s">
        <v>300</v>
      </c>
      <c r="D199" s="137" t="s">
        <v>531</v>
      </c>
      <c r="E199" s="138">
        <v>19334351</v>
      </c>
      <c r="F199" s="138">
        <v>20274372</v>
      </c>
      <c r="G199" s="138">
        <v>10073132</v>
      </c>
      <c r="H199" s="138">
        <v>10131637</v>
      </c>
      <c r="I199" s="138">
        <v>10142735</v>
      </c>
      <c r="J199" s="138">
        <v>141191</v>
      </c>
      <c r="K199" s="138">
        <v>872396</v>
      </c>
      <c r="L199" s="93">
        <f t="shared" si="33"/>
        <v>9261219</v>
      </c>
      <c r="M199" s="94">
        <f t="shared" si="34"/>
        <v>1.9193981573953365</v>
      </c>
      <c r="N199" s="94">
        <f t="shared" si="35"/>
        <v>0.49972630471612139</v>
      </c>
      <c r="O199" s="94">
        <f t="shared" si="36"/>
        <v>0.16184278699122875</v>
      </c>
      <c r="P199" s="94">
        <f t="shared" si="28"/>
        <v>1.3920407069690768E-2</v>
      </c>
      <c r="Q199" s="94">
        <f t="shared" si="37"/>
        <v>6.964013484610029E-3</v>
      </c>
      <c r="R199" s="117" t="str">
        <f t="shared" si="38"/>
        <v>SI</v>
      </c>
      <c r="S199" s="117" t="str">
        <f t="shared" si="39"/>
        <v>SI</v>
      </c>
      <c r="T199" s="117" t="str">
        <f t="shared" si="29"/>
        <v>SI</v>
      </c>
      <c r="U199" s="117" t="str">
        <f t="shared" si="30"/>
        <v>NO</v>
      </c>
      <c r="V199" s="117" t="str">
        <f t="shared" si="31"/>
        <v>NO</v>
      </c>
      <c r="W199" s="117" t="str">
        <f t="shared" si="32"/>
        <v>NO</v>
      </c>
      <c r="X199" s="132" t="b">
        <f t="shared" si="40"/>
        <v>0</v>
      </c>
    </row>
    <row r="200" spans="1:24" s="2" customFormat="1" ht="12" x14ac:dyDescent="0.15">
      <c r="A200" s="125" t="s">
        <v>87</v>
      </c>
      <c r="B200" s="139">
        <v>830051556</v>
      </c>
      <c r="C200" s="137" t="s">
        <v>301</v>
      </c>
      <c r="D200" s="137" t="s">
        <v>531</v>
      </c>
      <c r="E200" s="138">
        <v>10145212</v>
      </c>
      <c r="F200" s="138">
        <v>14075725</v>
      </c>
      <c r="G200" s="138">
        <v>1364082</v>
      </c>
      <c r="H200" s="138">
        <v>1771668</v>
      </c>
      <c r="I200" s="138">
        <v>12304057</v>
      </c>
      <c r="J200" s="138">
        <v>2373803</v>
      </c>
      <c r="K200" s="138"/>
      <c r="L200" s="93">
        <f t="shared" si="33"/>
        <v>8781130</v>
      </c>
      <c r="M200" s="94"/>
      <c r="N200" s="94">
        <f t="shared" si="35"/>
        <v>0.12586690916453683</v>
      </c>
      <c r="O200" s="94" t="s">
        <v>108</v>
      </c>
      <c r="P200" s="94">
        <f t="shared" si="28"/>
        <v>0.19292847879362068</v>
      </c>
      <c r="Q200" s="94">
        <f t="shared" si="37"/>
        <v>0.16864516747805175</v>
      </c>
      <c r="R200" s="117" t="str">
        <f t="shared" si="38"/>
        <v>SI</v>
      </c>
      <c r="S200" s="117" t="str">
        <f t="shared" si="39"/>
        <v>NO</v>
      </c>
      <c r="T200" s="117" t="str">
        <f t="shared" si="29"/>
        <v>SI</v>
      </c>
      <c r="U200" s="117" t="str">
        <f t="shared" si="30"/>
        <v>SI</v>
      </c>
      <c r="V200" s="117" t="str">
        <f t="shared" si="31"/>
        <v>SI</v>
      </c>
      <c r="W200" s="117" t="str">
        <f t="shared" si="32"/>
        <v>SI</v>
      </c>
      <c r="X200" s="132" t="b">
        <f t="shared" si="40"/>
        <v>0</v>
      </c>
    </row>
    <row r="201" spans="1:24" s="2" customFormat="1" ht="12" x14ac:dyDescent="0.15">
      <c r="A201" s="125" t="s">
        <v>87</v>
      </c>
      <c r="B201" s="139">
        <v>830053900</v>
      </c>
      <c r="C201" s="137" t="s">
        <v>302</v>
      </c>
      <c r="D201" s="137" t="s">
        <v>531</v>
      </c>
      <c r="E201" s="138">
        <v>4588539</v>
      </c>
      <c r="F201" s="138">
        <v>6431355</v>
      </c>
      <c r="G201" s="138">
        <v>528077</v>
      </c>
      <c r="H201" s="138">
        <v>645787</v>
      </c>
      <c r="I201" s="138">
        <v>5785568</v>
      </c>
      <c r="J201" s="138">
        <v>388595</v>
      </c>
      <c r="K201" s="138">
        <v>109330</v>
      </c>
      <c r="L201" s="93">
        <f t="shared" si="33"/>
        <v>4060462</v>
      </c>
      <c r="M201" s="94"/>
      <c r="N201" s="94">
        <f t="shared" si="35"/>
        <v>0.10041227703959742</v>
      </c>
      <c r="O201" s="94"/>
      <c r="P201" s="94">
        <f t="shared" si="28"/>
        <v>6.7166266129790542E-2</v>
      </c>
      <c r="Q201" s="94">
        <f t="shared" si="37"/>
        <v>6.0421948407450687E-2</v>
      </c>
      <c r="R201" s="117" t="str">
        <f t="shared" si="38"/>
        <v>SI</v>
      </c>
      <c r="S201" s="117" t="str">
        <f t="shared" si="39"/>
        <v>NO</v>
      </c>
      <c r="T201" s="117" t="str">
        <f t="shared" si="29"/>
        <v>SI</v>
      </c>
      <c r="U201" s="117" t="str">
        <f t="shared" si="30"/>
        <v>NO</v>
      </c>
      <c r="V201" s="117" t="str">
        <f t="shared" si="31"/>
        <v>NO</v>
      </c>
      <c r="W201" s="117" t="str">
        <f t="shared" si="32"/>
        <v>NO</v>
      </c>
      <c r="X201" s="132" t="b">
        <f t="shared" si="40"/>
        <v>0</v>
      </c>
    </row>
    <row r="202" spans="1:24" s="2" customFormat="1" ht="12" x14ac:dyDescent="0.15">
      <c r="A202" s="125" t="s">
        <v>87</v>
      </c>
      <c r="B202" s="139">
        <v>830054644</v>
      </c>
      <c r="C202" s="137" t="s">
        <v>303</v>
      </c>
      <c r="D202" s="137" t="s">
        <v>531</v>
      </c>
      <c r="E202" s="138">
        <v>5541699</v>
      </c>
      <c r="F202" s="138">
        <v>7063420</v>
      </c>
      <c r="G202" s="138">
        <v>3391303</v>
      </c>
      <c r="H202" s="138">
        <v>5042176</v>
      </c>
      <c r="I202" s="138">
        <v>2021244</v>
      </c>
      <c r="J202" s="138">
        <v>1042933</v>
      </c>
      <c r="K202" s="138">
        <v>307945</v>
      </c>
      <c r="L202" s="93">
        <f t="shared" si="33"/>
        <v>2150396</v>
      </c>
      <c r="M202" s="94">
        <f t="shared" si="34"/>
        <v>1.634091380215805</v>
      </c>
      <c r="N202" s="94">
        <f t="shared" si="35"/>
        <v>0.71384343561617458</v>
      </c>
      <c r="O202" s="94">
        <f t="shared" si="36"/>
        <v>3.3867508808391107</v>
      </c>
      <c r="P202" s="94">
        <f t="shared" si="28"/>
        <v>0.51598569989570775</v>
      </c>
      <c r="Q202" s="94">
        <f t="shared" si="37"/>
        <v>0.14765269515333931</v>
      </c>
      <c r="R202" s="117" t="str">
        <f t="shared" si="38"/>
        <v>SI</v>
      </c>
      <c r="S202" s="117" t="str">
        <f t="shared" si="39"/>
        <v>NO</v>
      </c>
      <c r="T202" s="117" t="str">
        <f t="shared" si="29"/>
        <v>SI</v>
      </c>
      <c r="U202" s="117" t="str">
        <f t="shared" si="30"/>
        <v>SI</v>
      </c>
      <c r="V202" s="117" t="str">
        <f t="shared" si="31"/>
        <v>SI</v>
      </c>
      <c r="W202" s="117" t="str">
        <f t="shared" si="32"/>
        <v>SI</v>
      </c>
      <c r="X202" s="132" t="b">
        <f t="shared" si="40"/>
        <v>0</v>
      </c>
    </row>
    <row r="203" spans="1:24" s="2" customFormat="1" ht="12" x14ac:dyDescent="0.15">
      <c r="A203" s="125" t="s">
        <v>87</v>
      </c>
      <c r="B203" s="139">
        <v>830056903</v>
      </c>
      <c r="C203" s="137" t="s">
        <v>304</v>
      </c>
      <c r="D203" s="137" t="s">
        <v>531</v>
      </c>
      <c r="E203" s="138">
        <v>594031</v>
      </c>
      <c r="F203" s="138">
        <v>2121550</v>
      </c>
      <c r="G203" s="138">
        <v>422378</v>
      </c>
      <c r="H203" s="138">
        <v>1045289</v>
      </c>
      <c r="I203" s="138">
        <v>1076261</v>
      </c>
      <c r="J203" s="138">
        <v>-68940</v>
      </c>
      <c r="K203" s="138">
        <v>7893</v>
      </c>
      <c r="L203" s="93">
        <f t="shared" si="33"/>
        <v>171653</v>
      </c>
      <c r="M203" s="94">
        <f t="shared" si="34"/>
        <v>1.406396639976514</v>
      </c>
      <c r="N203" s="94">
        <f t="shared" si="35"/>
        <v>0.49270061982984137</v>
      </c>
      <c r="O203" s="94"/>
      <c r="P203" s="94">
        <f t="shared" si="28"/>
        <v>-6.405509444270488E-2</v>
      </c>
      <c r="Q203" s="94">
        <f t="shared" si="37"/>
        <v>-3.2495109707525158E-2</v>
      </c>
      <c r="R203" s="117" t="str">
        <f t="shared" si="38"/>
        <v>SI</v>
      </c>
      <c r="S203" s="117" t="str">
        <f t="shared" si="39"/>
        <v>NO</v>
      </c>
      <c r="T203" s="117" t="str">
        <f t="shared" si="29"/>
        <v>SI</v>
      </c>
      <c r="U203" s="117" t="str">
        <f t="shared" si="30"/>
        <v>NO</v>
      </c>
      <c r="V203" s="117" t="str">
        <f t="shared" si="31"/>
        <v>NO</v>
      </c>
      <c r="W203" s="117" t="str">
        <f t="shared" si="32"/>
        <v>NO</v>
      </c>
      <c r="X203" s="132" t="b">
        <f t="shared" si="40"/>
        <v>0</v>
      </c>
    </row>
    <row r="204" spans="1:24" s="2" customFormat="1" ht="12" x14ac:dyDescent="0.15">
      <c r="A204" s="125" t="s">
        <v>87</v>
      </c>
      <c r="B204" s="139">
        <v>830058216</v>
      </c>
      <c r="C204" s="137" t="s">
        <v>305</v>
      </c>
      <c r="D204" s="137" t="s">
        <v>531</v>
      </c>
      <c r="E204" s="138">
        <v>17026536</v>
      </c>
      <c r="F204" s="138">
        <v>19206059</v>
      </c>
      <c r="G204" s="138">
        <v>12707764</v>
      </c>
      <c r="H204" s="138">
        <v>16211175</v>
      </c>
      <c r="I204" s="138">
        <v>2994884</v>
      </c>
      <c r="J204" s="138">
        <v>563710</v>
      </c>
      <c r="K204" s="138">
        <v>269364</v>
      </c>
      <c r="L204" s="93">
        <f t="shared" si="33"/>
        <v>4318772</v>
      </c>
      <c r="M204" s="94">
        <f t="shared" si="34"/>
        <v>1.3398530221367031</v>
      </c>
      <c r="N204" s="94">
        <f t="shared" si="35"/>
        <v>0.84406566698561114</v>
      </c>
      <c r="O204" s="94">
        <f t="shared" si="36"/>
        <v>2.0927443904901919</v>
      </c>
      <c r="P204" s="94">
        <f t="shared" si="28"/>
        <v>0.18822431853787994</v>
      </c>
      <c r="Q204" s="94">
        <f t="shared" si="37"/>
        <v>2.9350633568292171E-2</v>
      </c>
      <c r="R204" s="117" t="str">
        <f t="shared" si="38"/>
        <v>SI</v>
      </c>
      <c r="S204" s="117" t="str">
        <f t="shared" si="39"/>
        <v>NO</v>
      </c>
      <c r="T204" s="117" t="str">
        <f t="shared" si="29"/>
        <v>SI</v>
      </c>
      <c r="U204" s="117" t="str">
        <f t="shared" si="30"/>
        <v>SI</v>
      </c>
      <c r="V204" s="117" t="str">
        <f t="shared" si="31"/>
        <v>SI</v>
      </c>
      <c r="W204" s="117" t="str">
        <f t="shared" si="32"/>
        <v>NO</v>
      </c>
      <c r="X204" s="132" t="b">
        <f t="shared" si="40"/>
        <v>0</v>
      </c>
    </row>
    <row r="205" spans="1:24" s="2" customFormat="1" ht="12" x14ac:dyDescent="0.15">
      <c r="A205" s="125" t="s">
        <v>87</v>
      </c>
      <c r="B205" s="139">
        <v>830065092</v>
      </c>
      <c r="C205" s="137" t="s">
        <v>306</v>
      </c>
      <c r="D205" s="137" t="s">
        <v>531</v>
      </c>
      <c r="E205" s="138">
        <v>7392618</v>
      </c>
      <c r="F205" s="138">
        <v>12837557</v>
      </c>
      <c r="G205" s="138">
        <v>1720423</v>
      </c>
      <c r="H205" s="138">
        <v>6846546</v>
      </c>
      <c r="I205" s="138">
        <v>5991011</v>
      </c>
      <c r="J205" s="138">
        <v>2721816</v>
      </c>
      <c r="K205" s="138">
        <v>1193269</v>
      </c>
      <c r="L205" s="93">
        <f t="shared" si="33"/>
        <v>5672195</v>
      </c>
      <c r="M205" s="94"/>
      <c r="N205" s="94">
        <f t="shared" si="35"/>
        <v>0.5333215657776631</v>
      </c>
      <c r="O205" s="94">
        <f t="shared" si="36"/>
        <v>2.2809743653777983</v>
      </c>
      <c r="P205" s="94">
        <f t="shared" si="28"/>
        <v>0.45431664204923011</v>
      </c>
      <c r="Q205" s="94">
        <f t="shared" si="37"/>
        <v>0.21201977915268458</v>
      </c>
      <c r="R205" s="117" t="str">
        <f t="shared" si="38"/>
        <v>SI</v>
      </c>
      <c r="S205" s="117" t="str">
        <f t="shared" si="39"/>
        <v>NO</v>
      </c>
      <c r="T205" s="117" t="str">
        <f t="shared" si="29"/>
        <v>SI</v>
      </c>
      <c r="U205" s="117" t="str">
        <f t="shared" si="30"/>
        <v>SI</v>
      </c>
      <c r="V205" s="117" t="str">
        <f t="shared" si="31"/>
        <v>SI</v>
      </c>
      <c r="W205" s="117" t="str">
        <f t="shared" si="32"/>
        <v>SI</v>
      </c>
      <c r="X205" s="132" t="b">
        <f t="shared" si="40"/>
        <v>0</v>
      </c>
    </row>
    <row r="206" spans="1:24" s="2" customFormat="1" ht="12" x14ac:dyDescent="0.15">
      <c r="A206" s="125" t="s">
        <v>87</v>
      </c>
      <c r="B206" s="139">
        <v>830065206</v>
      </c>
      <c r="C206" s="137" t="s">
        <v>307</v>
      </c>
      <c r="D206" s="137" t="s">
        <v>531</v>
      </c>
      <c r="E206" s="138">
        <v>4071678</v>
      </c>
      <c r="F206" s="138">
        <v>4994212</v>
      </c>
      <c r="G206" s="138">
        <v>627230</v>
      </c>
      <c r="H206" s="138">
        <v>755147</v>
      </c>
      <c r="I206" s="138">
        <v>4239065</v>
      </c>
      <c r="J206" s="138">
        <v>-172845</v>
      </c>
      <c r="K206" s="138">
        <v>0</v>
      </c>
      <c r="L206" s="93">
        <f t="shared" si="33"/>
        <v>3444448</v>
      </c>
      <c r="M206" s="94"/>
      <c r="N206" s="94">
        <f t="shared" si="35"/>
        <v>0.15120443425309138</v>
      </c>
      <c r="O206" s="94" t="s">
        <v>108</v>
      </c>
      <c r="P206" s="94">
        <f t="shared" si="28"/>
        <v>-4.0774321695940023E-2</v>
      </c>
      <c r="Q206" s="94">
        <f t="shared" si="37"/>
        <v>-3.4609063451851864E-2</v>
      </c>
      <c r="R206" s="117" t="str">
        <f t="shared" si="38"/>
        <v>SI</v>
      </c>
      <c r="S206" s="117" t="str">
        <f t="shared" si="39"/>
        <v>NO</v>
      </c>
      <c r="T206" s="117" t="str">
        <f t="shared" si="29"/>
        <v>SI</v>
      </c>
      <c r="U206" s="117" t="str">
        <f t="shared" si="30"/>
        <v>SI</v>
      </c>
      <c r="V206" s="117" t="str">
        <f t="shared" si="31"/>
        <v>NO</v>
      </c>
      <c r="W206" s="117" t="str">
        <f t="shared" si="32"/>
        <v>NO</v>
      </c>
      <c r="X206" s="132" t="b">
        <f t="shared" si="40"/>
        <v>0</v>
      </c>
    </row>
    <row r="207" spans="1:24" s="2" customFormat="1" ht="12" x14ac:dyDescent="0.15">
      <c r="A207" s="125" t="s">
        <v>87</v>
      </c>
      <c r="B207" s="139">
        <v>830065332</v>
      </c>
      <c r="C207" s="137" t="s">
        <v>308</v>
      </c>
      <c r="D207" s="137" t="s">
        <v>531</v>
      </c>
      <c r="E207" s="138">
        <v>22885530</v>
      </c>
      <c r="F207" s="138">
        <v>23488192</v>
      </c>
      <c r="G207" s="138">
        <v>5552884</v>
      </c>
      <c r="H207" s="138">
        <v>5552884</v>
      </c>
      <c r="I207" s="138">
        <v>17935308</v>
      </c>
      <c r="J207" s="138">
        <v>4464863</v>
      </c>
      <c r="K207" s="138">
        <v>444895</v>
      </c>
      <c r="L207" s="93">
        <f t="shared" si="33"/>
        <v>17332646</v>
      </c>
      <c r="M207" s="94"/>
      <c r="N207" s="94">
        <f t="shared" si="35"/>
        <v>0.23641172551723011</v>
      </c>
      <c r="O207" s="94"/>
      <c r="P207" s="94">
        <f t="shared" si="28"/>
        <v>0.24894264430808771</v>
      </c>
      <c r="Q207" s="94">
        <f t="shared" si="37"/>
        <v>0.19008968421239064</v>
      </c>
      <c r="R207" s="117" t="str">
        <f t="shared" si="38"/>
        <v>SI</v>
      </c>
      <c r="S207" s="117" t="str">
        <f t="shared" si="39"/>
        <v>NO</v>
      </c>
      <c r="T207" s="117" t="str">
        <f t="shared" si="29"/>
        <v>SI</v>
      </c>
      <c r="U207" s="117" t="str">
        <f t="shared" si="30"/>
        <v>NO</v>
      </c>
      <c r="V207" s="117" t="str">
        <f t="shared" si="31"/>
        <v>SI</v>
      </c>
      <c r="W207" s="117" t="str">
        <f t="shared" si="32"/>
        <v>SI</v>
      </c>
      <c r="X207" s="132" t="b">
        <f t="shared" si="40"/>
        <v>0</v>
      </c>
    </row>
    <row r="208" spans="1:24" s="2" customFormat="1" ht="12" x14ac:dyDescent="0.15">
      <c r="A208" s="125" t="s">
        <v>87</v>
      </c>
      <c r="B208" s="139">
        <v>830065750</v>
      </c>
      <c r="C208" s="137" t="s">
        <v>309</v>
      </c>
      <c r="D208" s="137" t="s">
        <v>531</v>
      </c>
      <c r="E208" s="138">
        <v>45377456</v>
      </c>
      <c r="F208" s="138">
        <v>48424323</v>
      </c>
      <c r="G208" s="138">
        <v>6185613</v>
      </c>
      <c r="H208" s="138">
        <v>11735550</v>
      </c>
      <c r="I208" s="138">
        <v>36688773</v>
      </c>
      <c r="J208" s="138">
        <v>11445804</v>
      </c>
      <c r="K208" s="138">
        <v>1024201</v>
      </c>
      <c r="L208" s="93">
        <f t="shared" si="33"/>
        <v>39191843</v>
      </c>
      <c r="M208" s="94"/>
      <c r="N208" s="94">
        <f t="shared" si="35"/>
        <v>0.2423482513116394</v>
      </c>
      <c r="O208" s="94"/>
      <c r="P208" s="94">
        <f t="shared" ref="P208:P271" si="41">J208/I208</f>
        <v>0.31197020407305526</v>
      </c>
      <c r="Q208" s="94">
        <f t="shared" si="37"/>
        <v>0.23636477065461503</v>
      </c>
      <c r="R208" s="117" t="str">
        <f t="shared" si="38"/>
        <v>SI</v>
      </c>
      <c r="S208" s="117" t="str">
        <f t="shared" si="39"/>
        <v>NO</v>
      </c>
      <c r="T208" s="117" t="str">
        <f t="shared" ref="T208:T271" si="42">+IF(N208&lt;=$G$542,"SI","NO")</f>
        <v>SI</v>
      </c>
      <c r="U208" s="117" t="str">
        <f t="shared" ref="U208:U271" si="43">+IF(O208&gt;=$H$542,"SI","NO")</f>
        <v>NO</v>
      </c>
      <c r="V208" s="117" t="str">
        <f t="shared" ref="V208:V271" si="44">+IF(P208&gt;=$I$542,"SI","NO")</f>
        <v>SI</v>
      </c>
      <c r="W208" s="117" t="str">
        <f t="shared" ref="W208:W271" si="45">+IF(Q208&gt;=$J$542,"SI","NO")</f>
        <v>SI</v>
      </c>
      <c r="X208" s="132" t="b">
        <f t="shared" si="40"/>
        <v>0</v>
      </c>
    </row>
    <row r="209" spans="1:24" s="2" customFormat="1" ht="12" x14ac:dyDescent="0.15">
      <c r="A209" s="125" t="s">
        <v>87</v>
      </c>
      <c r="B209" s="139">
        <v>830068550</v>
      </c>
      <c r="C209" s="137" t="s">
        <v>310</v>
      </c>
      <c r="D209" s="137" t="s">
        <v>531</v>
      </c>
      <c r="E209" s="138">
        <v>17879753</v>
      </c>
      <c r="F209" s="138">
        <v>20156531</v>
      </c>
      <c r="G209" s="138">
        <v>9419640</v>
      </c>
      <c r="H209" s="138">
        <v>11795627</v>
      </c>
      <c r="I209" s="138">
        <v>8360904</v>
      </c>
      <c r="J209" s="138">
        <v>2101716</v>
      </c>
      <c r="K209" s="138">
        <v>1357617</v>
      </c>
      <c r="L209" s="93">
        <f t="shared" ref="L209:L272" si="46">E209-G209</f>
        <v>8460113</v>
      </c>
      <c r="M209" s="94">
        <f t="shared" ref="M209:M272" si="47">E209/G209</f>
        <v>1.8981354913775899</v>
      </c>
      <c r="N209" s="94">
        <f t="shared" ref="N209:N272" si="48">H209/F209</f>
        <v>0.58520124320995515</v>
      </c>
      <c r="O209" s="94">
        <f t="shared" ref="O209:O270" si="49">J209/K209</f>
        <v>1.548091987651893</v>
      </c>
      <c r="P209" s="94">
        <f t="shared" si="41"/>
        <v>0.25137425331040758</v>
      </c>
      <c r="Q209" s="94">
        <f t="shared" ref="Q209:Q272" si="50">J209/F209</f>
        <v>0.10426972776218289</v>
      </c>
      <c r="R209" s="117" t="str">
        <f t="shared" ref="R209:R272" si="51">+IF(L209&gt;=$R$14,"SI","NO")</f>
        <v>SI</v>
      </c>
      <c r="S209" s="117" t="str">
        <f t="shared" ref="S209:S272" si="52">+IF(M209&gt;=$F$542,"SI","NO")</f>
        <v>SI</v>
      </c>
      <c r="T209" s="117" t="str">
        <f t="shared" si="42"/>
        <v>SI</v>
      </c>
      <c r="U209" s="117" t="str">
        <f t="shared" si="43"/>
        <v>SI</v>
      </c>
      <c r="V209" s="117" t="str">
        <f t="shared" si="44"/>
        <v>SI</v>
      </c>
      <c r="W209" s="117" t="str">
        <f t="shared" si="45"/>
        <v>SI</v>
      </c>
      <c r="X209" s="132" t="str">
        <f t="shared" ref="X209:X272" si="53">+IF(R209="SI",IF(S209="SI",IF(T209="SI",IF(U209="SI",IF(V209="SI",IF(W209="SI","SI","NO"))))))</f>
        <v>SI</v>
      </c>
    </row>
    <row r="210" spans="1:24" s="2" customFormat="1" ht="12" x14ac:dyDescent="0.15">
      <c r="A210" s="125" t="s">
        <v>87</v>
      </c>
      <c r="B210" s="139">
        <v>830071701</v>
      </c>
      <c r="C210" s="137" t="s">
        <v>311</v>
      </c>
      <c r="D210" s="137" t="s">
        <v>531</v>
      </c>
      <c r="E210" s="138">
        <v>10488711</v>
      </c>
      <c r="F210" s="138">
        <v>12766986</v>
      </c>
      <c r="G210" s="138">
        <v>4294114</v>
      </c>
      <c r="H210" s="138">
        <v>5638691</v>
      </c>
      <c r="I210" s="138">
        <v>7128295</v>
      </c>
      <c r="J210" s="138">
        <v>2941540</v>
      </c>
      <c r="K210" s="138">
        <v>404704</v>
      </c>
      <c r="L210" s="93">
        <f t="shared" si="46"/>
        <v>6194597</v>
      </c>
      <c r="M210" s="94"/>
      <c r="N210" s="94">
        <f t="shared" si="48"/>
        <v>0.44166187696923925</v>
      </c>
      <c r="O210" s="94"/>
      <c r="P210" s="94">
        <f t="shared" si="41"/>
        <v>0.412656883588572</v>
      </c>
      <c r="Q210" s="94">
        <f t="shared" si="50"/>
        <v>0.23040206983856645</v>
      </c>
      <c r="R210" s="117" t="str">
        <f t="shared" si="51"/>
        <v>SI</v>
      </c>
      <c r="S210" s="117" t="str">
        <f t="shared" si="52"/>
        <v>NO</v>
      </c>
      <c r="T210" s="117" t="str">
        <f t="shared" si="42"/>
        <v>SI</v>
      </c>
      <c r="U210" s="117" t="str">
        <f t="shared" si="43"/>
        <v>NO</v>
      </c>
      <c r="V210" s="117" t="str">
        <f t="shared" si="44"/>
        <v>SI</v>
      </c>
      <c r="W210" s="117" t="str">
        <f t="shared" si="45"/>
        <v>SI</v>
      </c>
      <c r="X210" s="132" t="b">
        <f t="shared" si="53"/>
        <v>0</v>
      </c>
    </row>
    <row r="211" spans="1:24" s="2" customFormat="1" ht="12" x14ac:dyDescent="0.15">
      <c r="A211" s="125" t="s">
        <v>87</v>
      </c>
      <c r="B211" s="139">
        <v>830072417</v>
      </c>
      <c r="C211" s="137" t="s">
        <v>312</v>
      </c>
      <c r="D211" s="137" t="s">
        <v>531</v>
      </c>
      <c r="E211" s="138">
        <v>2486696</v>
      </c>
      <c r="F211" s="138">
        <v>3665567</v>
      </c>
      <c r="G211" s="138">
        <v>724854</v>
      </c>
      <c r="H211" s="138">
        <v>1350256</v>
      </c>
      <c r="I211" s="138">
        <v>2315311</v>
      </c>
      <c r="J211" s="138">
        <v>474303</v>
      </c>
      <c r="K211" s="138">
        <v>317256</v>
      </c>
      <c r="L211" s="93">
        <f t="shared" si="46"/>
        <v>1761842</v>
      </c>
      <c r="M211" s="94"/>
      <c r="N211" s="94">
        <f t="shared" si="48"/>
        <v>0.36836211150962456</v>
      </c>
      <c r="O211" s="94">
        <f t="shared" si="49"/>
        <v>1.495016642711249</v>
      </c>
      <c r="P211" s="94">
        <f t="shared" si="41"/>
        <v>0.20485498492427151</v>
      </c>
      <c r="Q211" s="94">
        <f t="shared" si="50"/>
        <v>0.12939417012429455</v>
      </c>
      <c r="R211" s="117" t="str">
        <f t="shared" si="51"/>
        <v>SI</v>
      </c>
      <c r="S211" s="117" t="str">
        <f t="shared" si="52"/>
        <v>NO</v>
      </c>
      <c r="T211" s="117" t="str">
        <f t="shared" si="42"/>
        <v>SI</v>
      </c>
      <c r="U211" s="117" t="str">
        <f t="shared" si="43"/>
        <v>SI</v>
      </c>
      <c r="V211" s="117" t="str">
        <f t="shared" si="44"/>
        <v>SI</v>
      </c>
      <c r="W211" s="117" t="str">
        <f t="shared" si="45"/>
        <v>SI</v>
      </c>
      <c r="X211" s="132" t="b">
        <f t="shared" si="53"/>
        <v>0</v>
      </c>
    </row>
    <row r="212" spans="1:24" s="2" customFormat="1" ht="12" x14ac:dyDescent="0.15">
      <c r="A212" s="125" t="s">
        <v>87</v>
      </c>
      <c r="B212" s="139">
        <v>830077515</v>
      </c>
      <c r="C212" s="137" t="s">
        <v>313</v>
      </c>
      <c r="D212" s="137" t="s">
        <v>531</v>
      </c>
      <c r="E212" s="138">
        <v>26578119</v>
      </c>
      <c r="F212" s="138">
        <v>28929343</v>
      </c>
      <c r="G212" s="138">
        <v>12943934</v>
      </c>
      <c r="H212" s="138">
        <v>15600725</v>
      </c>
      <c r="I212" s="138">
        <v>13328618</v>
      </c>
      <c r="J212" s="138">
        <v>2886073</v>
      </c>
      <c r="K212" s="138">
        <v>1516381</v>
      </c>
      <c r="L212" s="93">
        <f t="shared" si="46"/>
        <v>13634185</v>
      </c>
      <c r="M212" s="94"/>
      <c r="N212" s="94">
        <f t="shared" si="48"/>
        <v>0.53926993779291843</v>
      </c>
      <c r="O212" s="94">
        <f t="shared" si="49"/>
        <v>1.903263757591265</v>
      </c>
      <c r="P212" s="94">
        <f t="shared" si="41"/>
        <v>0.21653205156003422</v>
      </c>
      <c r="Q212" s="94">
        <f t="shared" si="50"/>
        <v>9.9762825585081552E-2</v>
      </c>
      <c r="R212" s="117" t="str">
        <f t="shared" si="51"/>
        <v>SI</v>
      </c>
      <c r="S212" s="117" t="str">
        <f t="shared" si="52"/>
        <v>NO</v>
      </c>
      <c r="T212" s="117" t="str">
        <f t="shared" si="42"/>
        <v>SI</v>
      </c>
      <c r="U212" s="117" t="str">
        <f t="shared" si="43"/>
        <v>SI</v>
      </c>
      <c r="V212" s="117" t="str">
        <f t="shared" si="44"/>
        <v>SI</v>
      </c>
      <c r="W212" s="117" t="str">
        <f t="shared" si="45"/>
        <v>SI</v>
      </c>
      <c r="X212" s="132" t="b">
        <f t="shared" si="53"/>
        <v>0</v>
      </c>
    </row>
    <row r="213" spans="1:24" s="2" customFormat="1" ht="12" x14ac:dyDescent="0.15">
      <c r="A213" s="125" t="s">
        <v>87</v>
      </c>
      <c r="B213" s="139">
        <v>830080022</v>
      </c>
      <c r="C213" s="137">
        <v>830080022</v>
      </c>
      <c r="D213" s="137" t="s">
        <v>531</v>
      </c>
      <c r="E213" s="138">
        <v>1467900</v>
      </c>
      <c r="F213" s="138">
        <v>3522800</v>
      </c>
      <c r="G213" s="138">
        <v>1415033</v>
      </c>
      <c r="H213" s="138">
        <v>2332837</v>
      </c>
      <c r="I213" s="138">
        <v>1189963</v>
      </c>
      <c r="J213" s="138">
        <v>37456</v>
      </c>
      <c r="K213" s="138"/>
      <c r="L213" s="93">
        <f t="shared" si="46"/>
        <v>52867</v>
      </c>
      <c r="M213" s="94">
        <f t="shared" si="47"/>
        <v>1.0373609661400123</v>
      </c>
      <c r="N213" s="94">
        <f t="shared" si="48"/>
        <v>0.66221102532076759</v>
      </c>
      <c r="O213" s="94" t="s">
        <v>108</v>
      </c>
      <c r="P213" s="94">
        <f t="shared" si="41"/>
        <v>3.1476608936580379E-2</v>
      </c>
      <c r="Q213" s="94">
        <f t="shared" si="50"/>
        <v>1.0632451459066652E-2</v>
      </c>
      <c r="R213" s="117" t="str">
        <f t="shared" si="51"/>
        <v>SI</v>
      </c>
      <c r="S213" s="117" t="str">
        <f t="shared" si="52"/>
        <v>NO</v>
      </c>
      <c r="T213" s="117" t="str">
        <f t="shared" si="42"/>
        <v>SI</v>
      </c>
      <c r="U213" s="117" t="str">
        <f t="shared" si="43"/>
        <v>SI</v>
      </c>
      <c r="V213" s="117" t="str">
        <f t="shared" si="44"/>
        <v>NO</v>
      </c>
      <c r="W213" s="117" t="str">
        <f t="shared" si="45"/>
        <v>NO</v>
      </c>
      <c r="X213" s="132" t="b">
        <f t="shared" si="53"/>
        <v>0</v>
      </c>
    </row>
    <row r="214" spans="1:24" s="2" customFormat="1" ht="12" x14ac:dyDescent="0.15">
      <c r="A214" s="125" t="s">
        <v>87</v>
      </c>
      <c r="B214" s="139">
        <v>830082848</v>
      </c>
      <c r="C214" s="137" t="s">
        <v>314</v>
      </c>
      <c r="D214" s="137" t="s">
        <v>531</v>
      </c>
      <c r="E214" s="138">
        <v>15839345</v>
      </c>
      <c r="F214" s="138">
        <v>19226379</v>
      </c>
      <c r="G214" s="138">
        <v>11119026</v>
      </c>
      <c r="H214" s="138">
        <v>16348546</v>
      </c>
      <c r="I214" s="138">
        <v>2877833</v>
      </c>
      <c r="J214" s="138">
        <v>2891377</v>
      </c>
      <c r="K214" s="138">
        <v>1700790</v>
      </c>
      <c r="L214" s="93">
        <f t="shared" si="46"/>
        <v>4720319</v>
      </c>
      <c r="M214" s="94">
        <f t="shared" si="47"/>
        <v>1.4245263029333683</v>
      </c>
      <c r="N214" s="94">
        <f t="shared" si="48"/>
        <v>0.85031851291395011</v>
      </c>
      <c r="O214" s="94">
        <f t="shared" si="49"/>
        <v>1.7000199907101994</v>
      </c>
      <c r="P214" s="94">
        <f t="shared" si="41"/>
        <v>1.0047063189559644</v>
      </c>
      <c r="Q214" s="94">
        <f t="shared" si="50"/>
        <v>0.15038593590607988</v>
      </c>
      <c r="R214" s="117" t="str">
        <f t="shared" si="51"/>
        <v>SI</v>
      </c>
      <c r="S214" s="117" t="str">
        <f t="shared" si="52"/>
        <v>NO</v>
      </c>
      <c r="T214" s="117" t="str">
        <f t="shared" si="42"/>
        <v>SI</v>
      </c>
      <c r="U214" s="117" t="str">
        <f t="shared" si="43"/>
        <v>SI</v>
      </c>
      <c r="V214" s="117" t="str">
        <f t="shared" si="44"/>
        <v>SI</v>
      </c>
      <c r="W214" s="117" t="str">
        <f t="shared" si="45"/>
        <v>SI</v>
      </c>
      <c r="X214" s="132" t="b">
        <f t="shared" si="53"/>
        <v>0</v>
      </c>
    </row>
    <row r="215" spans="1:24" s="2" customFormat="1" ht="12" x14ac:dyDescent="0.15">
      <c r="A215" s="125" t="s">
        <v>87</v>
      </c>
      <c r="B215" s="139">
        <v>830083335</v>
      </c>
      <c r="C215" s="137" t="s">
        <v>315</v>
      </c>
      <c r="D215" s="137" t="s">
        <v>531</v>
      </c>
      <c r="E215" s="138">
        <v>21451538</v>
      </c>
      <c r="F215" s="138">
        <v>23951008</v>
      </c>
      <c r="G215" s="138">
        <v>10228043</v>
      </c>
      <c r="H215" s="138">
        <v>10599981</v>
      </c>
      <c r="I215" s="138">
        <v>13351027</v>
      </c>
      <c r="J215" s="138">
        <v>1619540</v>
      </c>
      <c r="K215" s="138">
        <v>3376901</v>
      </c>
      <c r="L215" s="93">
        <f t="shared" si="46"/>
        <v>11223495</v>
      </c>
      <c r="M215" s="94">
        <f t="shared" si="47"/>
        <v>2.0973257543011892</v>
      </c>
      <c r="N215" s="94">
        <f t="shared" si="48"/>
        <v>0.44256930647762299</v>
      </c>
      <c r="O215" s="94">
        <f t="shared" si="49"/>
        <v>0.47959356818574189</v>
      </c>
      <c r="P215" s="94">
        <f t="shared" si="41"/>
        <v>0.12130452586156855</v>
      </c>
      <c r="Q215" s="94">
        <f t="shared" si="50"/>
        <v>6.7618865978417278E-2</v>
      </c>
      <c r="R215" s="117" t="str">
        <f t="shared" si="51"/>
        <v>SI</v>
      </c>
      <c r="S215" s="117" t="str">
        <f t="shared" si="52"/>
        <v>SI</v>
      </c>
      <c r="T215" s="117" t="str">
        <f t="shared" si="42"/>
        <v>SI</v>
      </c>
      <c r="U215" s="117" t="str">
        <f t="shared" si="43"/>
        <v>NO</v>
      </c>
      <c r="V215" s="117" t="str">
        <f t="shared" si="44"/>
        <v>NO</v>
      </c>
      <c r="W215" s="117" t="str">
        <f t="shared" si="45"/>
        <v>NO</v>
      </c>
      <c r="X215" s="132" t="b">
        <f t="shared" si="53"/>
        <v>0</v>
      </c>
    </row>
    <row r="216" spans="1:24" s="2" customFormat="1" ht="12" x14ac:dyDescent="0.15">
      <c r="A216" s="125" t="s">
        <v>87</v>
      </c>
      <c r="B216" s="139">
        <v>830083878</v>
      </c>
      <c r="C216" s="137" t="s">
        <v>316</v>
      </c>
      <c r="D216" s="137" t="s">
        <v>531</v>
      </c>
      <c r="E216" s="138">
        <v>8137700</v>
      </c>
      <c r="F216" s="138">
        <v>8590656</v>
      </c>
      <c r="G216" s="138">
        <v>2047114</v>
      </c>
      <c r="H216" s="138">
        <v>2047114</v>
      </c>
      <c r="I216" s="138">
        <v>6543542</v>
      </c>
      <c r="J216" s="138">
        <v>524438</v>
      </c>
      <c r="K216" s="138"/>
      <c r="L216" s="93">
        <f t="shared" si="46"/>
        <v>6090586</v>
      </c>
      <c r="M216" s="94"/>
      <c r="N216" s="94">
        <f t="shared" si="48"/>
        <v>0.23829542237519463</v>
      </c>
      <c r="O216" s="94" t="s">
        <v>108</v>
      </c>
      <c r="P216" s="94">
        <f t="shared" si="41"/>
        <v>8.0145890406143949E-2</v>
      </c>
      <c r="Q216" s="94">
        <f t="shared" si="50"/>
        <v>6.1047491600175821E-2</v>
      </c>
      <c r="R216" s="117" t="str">
        <f t="shared" si="51"/>
        <v>SI</v>
      </c>
      <c r="S216" s="117" t="str">
        <f t="shared" si="52"/>
        <v>NO</v>
      </c>
      <c r="T216" s="117" t="str">
        <f t="shared" si="42"/>
        <v>SI</v>
      </c>
      <c r="U216" s="117" t="str">
        <f t="shared" si="43"/>
        <v>SI</v>
      </c>
      <c r="V216" s="117" t="str">
        <f t="shared" si="44"/>
        <v>NO</v>
      </c>
      <c r="W216" s="117" t="str">
        <f t="shared" si="45"/>
        <v>NO</v>
      </c>
      <c r="X216" s="132" t="b">
        <f t="shared" si="53"/>
        <v>0</v>
      </c>
    </row>
    <row r="217" spans="1:24" s="2" customFormat="1" ht="12" x14ac:dyDescent="0.15">
      <c r="A217" s="125" t="s">
        <v>87</v>
      </c>
      <c r="B217" s="139">
        <v>830091739</v>
      </c>
      <c r="C217" s="137" t="s">
        <v>317</v>
      </c>
      <c r="D217" s="137" t="s">
        <v>531</v>
      </c>
      <c r="E217" s="138">
        <v>14354988</v>
      </c>
      <c r="F217" s="138">
        <v>15030046</v>
      </c>
      <c r="G217" s="138">
        <v>7365981</v>
      </c>
      <c r="H217" s="138">
        <v>8374314</v>
      </c>
      <c r="I217" s="138">
        <v>6655732</v>
      </c>
      <c r="J217" s="138">
        <v>2397973</v>
      </c>
      <c r="K217" s="138">
        <v>741346</v>
      </c>
      <c r="L217" s="93">
        <f t="shared" si="46"/>
        <v>6989007</v>
      </c>
      <c r="M217" s="94">
        <f t="shared" si="47"/>
        <v>1.9488222953602514</v>
      </c>
      <c r="N217" s="94">
        <f t="shared" si="48"/>
        <v>0.5571715482440972</v>
      </c>
      <c r="O217" s="94">
        <f t="shared" si="49"/>
        <v>3.2346205415554952</v>
      </c>
      <c r="P217" s="94">
        <f t="shared" si="41"/>
        <v>0.36028689256117885</v>
      </c>
      <c r="Q217" s="94">
        <f t="shared" si="50"/>
        <v>0.15954528682081212</v>
      </c>
      <c r="R217" s="117" t="str">
        <f t="shared" si="51"/>
        <v>SI</v>
      </c>
      <c r="S217" s="117" t="str">
        <f t="shared" si="52"/>
        <v>SI</v>
      </c>
      <c r="T217" s="117" t="str">
        <f t="shared" si="42"/>
        <v>SI</v>
      </c>
      <c r="U217" s="117" t="str">
        <f t="shared" si="43"/>
        <v>SI</v>
      </c>
      <c r="V217" s="117" t="str">
        <f t="shared" si="44"/>
        <v>SI</v>
      </c>
      <c r="W217" s="117" t="str">
        <f t="shared" si="45"/>
        <v>SI</v>
      </c>
      <c r="X217" s="132" t="str">
        <f t="shared" si="53"/>
        <v>SI</v>
      </c>
    </row>
    <row r="218" spans="1:24" s="2" customFormat="1" ht="12" x14ac:dyDescent="0.15">
      <c r="A218" s="125" t="s">
        <v>87</v>
      </c>
      <c r="B218" s="139">
        <v>830099538</v>
      </c>
      <c r="C218" s="137" t="s">
        <v>318</v>
      </c>
      <c r="D218" s="137" t="s">
        <v>531</v>
      </c>
      <c r="E218" s="138">
        <v>13909383</v>
      </c>
      <c r="F218" s="138">
        <v>15348296</v>
      </c>
      <c r="G218" s="138">
        <v>5538689</v>
      </c>
      <c r="H218" s="138">
        <v>5579883</v>
      </c>
      <c r="I218" s="138">
        <v>9768413</v>
      </c>
      <c r="J218" s="138">
        <v>-651008</v>
      </c>
      <c r="K218" s="138"/>
      <c r="L218" s="93">
        <f t="shared" si="46"/>
        <v>8370694</v>
      </c>
      <c r="M218" s="94">
        <f t="shared" si="47"/>
        <v>2.5113132367605404</v>
      </c>
      <c r="N218" s="94">
        <f t="shared" si="48"/>
        <v>0.36355065083446397</v>
      </c>
      <c r="O218" s="94" t="s">
        <v>108</v>
      </c>
      <c r="P218" s="94">
        <f t="shared" si="41"/>
        <v>-6.6644192869404678E-2</v>
      </c>
      <c r="Q218" s="94">
        <f t="shared" si="50"/>
        <v>-4.2415653177395068E-2</v>
      </c>
      <c r="R218" s="117" t="str">
        <f t="shared" si="51"/>
        <v>SI</v>
      </c>
      <c r="S218" s="117" t="str">
        <f t="shared" si="52"/>
        <v>SI</v>
      </c>
      <c r="T218" s="117" t="str">
        <f t="shared" si="42"/>
        <v>SI</v>
      </c>
      <c r="U218" s="117" t="str">
        <f t="shared" si="43"/>
        <v>SI</v>
      </c>
      <c r="V218" s="117" t="str">
        <f t="shared" si="44"/>
        <v>NO</v>
      </c>
      <c r="W218" s="117" t="str">
        <f t="shared" si="45"/>
        <v>NO</v>
      </c>
      <c r="X218" s="132" t="b">
        <f t="shared" si="53"/>
        <v>0</v>
      </c>
    </row>
    <row r="219" spans="1:24" s="2" customFormat="1" ht="12" x14ac:dyDescent="0.15">
      <c r="A219" s="125" t="s">
        <v>87</v>
      </c>
      <c r="B219" s="139">
        <v>830101742</v>
      </c>
      <c r="C219" s="137" t="s">
        <v>319</v>
      </c>
      <c r="D219" s="137" t="s">
        <v>531</v>
      </c>
      <c r="E219" s="138">
        <v>4274540</v>
      </c>
      <c r="F219" s="138">
        <v>4304128</v>
      </c>
      <c r="G219" s="138">
        <v>236636</v>
      </c>
      <c r="H219" s="138">
        <v>731952</v>
      </c>
      <c r="I219" s="138">
        <v>3572176</v>
      </c>
      <c r="J219" s="138">
        <v>511865</v>
      </c>
      <c r="K219" s="138"/>
      <c r="L219" s="93">
        <f t="shared" si="46"/>
        <v>4037904</v>
      </c>
      <c r="M219" s="94"/>
      <c r="N219" s="94">
        <f t="shared" si="48"/>
        <v>0.17005813953488372</v>
      </c>
      <c r="O219" s="94" t="s">
        <v>108</v>
      </c>
      <c r="P219" s="94">
        <f t="shared" si="41"/>
        <v>0.14329221180591326</v>
      </c>
      <c r="Q219" s="94">
        <f t="shared" si="50"/>
        <v>0.11892420485636115</v>
      </c>
      <c r="R219" s="117" t="str">
        <f t="shared" si="51"/>
        <v>SI</v>
      </c>
      <c r="S219" s="117" t="str">
        <f t="shared" si="52"/>
        <v>NO</v>
      </c>
      <c r="T219" s="117" t="str">
        <f t="shared" si="42"/>
        <v>SI</v>
      </c>
      <c r="U219" s="117" t="str">
        <f t="shared" si="43"/>
        <v>SI</v>
      </c>
      <c r="V219" s="117" t="str">
        <f t="shared" si="44"/>
        <v>NO</v>
      </c>
      <c r="W219" s="117" t="str">
        <f t="shared" si="45"/>
        <v>SI</v>
      </c>
      <c r="X219" s="132" t="b">
        <f t="shared" si="53"/>
        <v>0</v>
      </c>
    </row>
    <row r="220" spans="1:24" s="2" customFormat="1" ht="12" x14ac:dyDescent="0.15">
      <c r="A220" s="125" t="s">
        <v>87</v>
      </c>
      <c r="B220" s="139">
        <v>830106465</v>
      </c>
      <c r="C220" s="137" t="s">
        <v>320</v>
      </c>
      <c r="D220" s="137" t="s">
        <v>531</v>
      </c>
      <c r="E220" s="138">
        <v>1041905</v>
      </c>
      <c r="F220" s="138">
        <v>2309700</v>
      </c>
      <c r="G220" s="138">
        <v>271716</v>
      </c>
      <c r="H220" s="138">
        <v>271716</v>
      </c>
      <c r="I220" s="138">
        <v>2037984</v>
      </c>
      <c r="J220" s="138">
        <v>136987</v>
      </c>
      <c r="K220" s="138">
        <v>4612</v>
      </c>
      <c r="L220" s="93">
        <f t="shared" si="46"/>
        <v>770189</v>
      </c>
      <c r="M220" s="94">
        <f t="shared" si="47"/>
        <v>3.8345367957720562</v>
      </c>
      <c r="N220" s="94">
        <f t="shared" si="48"/>
        <v>0.11764125211066372</v>
      </c>
      <c r="O220" s="94"/>
      <c r="P220" s="94">
        <f t="shared" si="41"/>
        <v>6.7216916325152698E-2</v>
      </c>
      <c r="Q220" s="94">
        <f t="shared" si="50"/>
        <v>5.9309434125644024E-2</v>
      </c>
      <c r="R220" s="117" t="str">
        <f t="shared" si="51"/>
        <v>SI</v>
      </c>
      <c r="S220" s="117" t="str">
        <f t="shared" si="52"/>
        <v>SI</v>
      </c>
      <c r="T220" s="117" t="str">
        <f t="shared" si="42"/>
        <v>SI</v>
      </c>
      <c r="U220" s="117" t="str">
        <f t="shared" si="43"/>
        <v>NO</v>
      </c>
      <c r="V220" s="117" t="str">
        <f t="shared" si="44"/>
        <v>NO</v>
      </c>
      <c r="W220" s="117" t="str">
        <f t="shared" si="45"/>
        <v>NO</v>
      </c>
      <c r="X220" s="132" t="b">
        <f t="shared" si="53"/>
        <v>0</v>
      </c>
    </row>
    <row r="221" spans="1:24" s="2" customFormat="1" ht="12" x14ac:dyDescent="0.15">
      <c r="A221" s="125" t="s">
        <v>87</v>
      </c>
      <c r="B221" s="139">
        <v>830108265</v>
      </c>
      <c r="C221" s="137" t="s">
        <v>321</v>
      </c>
      <c r="D221" s="137" t="s">
        <v>531</v>
      </c>
      <c r="E221" s="138">
        <v>1756635</v>
      </c>
      <c r="F221" s="138">
        <v>5035898</v>
      </c>
      <c r="G221" s="138">
        <v>286879</v>
      </c>
      <c r="H221" s="138">
        <v>3322293</v>
      </c>
      <c r="I221" s="138">
        <v>1713605</v>
      </c>
      <c r="J221" s="138">
        <v>-362210</v>
      </c>
      <c r="K221" s="138">
        <v>25317</v>
      </c>
      <c r="L221" s="93">
        <f t="shared" si="46"/>
        <v>1469756</v>
      </c>
      <c r="M221" s="94"/>
      <c r="N221" s="94">
        <f t="shared" si="48"/>
        <v>0.65972205950160234</v>
      </c>
      <c r="O221" s="94"/>
      <c r="P221" s="94">
        <f t="shared" si="41"/>
        <v>-0.21137309940155402</v>
      </c>
      <c r="Q221" s="94">
        <f t="shared" si="50"/>
        <v>-7.1925602941123906E-2</v>
      </c>
      <c r="R221" s="117" t="str">
        <f t="shared" si="51"/>
        <v>SI</v>
      </c>
      <c r="S221" s="117" t="str">
        <f t="shared" si="52"/>
        <v>NO</v>
      </c>
      <c r="T221" s="117" t="str">
        <f t="shared" si="42"/>
        <v>SI</v>
      </c>
      <c r="U221" s="117" t="str">
        <f t="shared" si="43"/>
        <v>NO</v>
      </c>
      <c r="V221" s="117" t="str">
        <f t="shared" si="44"/>
        <v>NO</v>
      </c>
      <c r="W221" s="117" t="str">
        <f t="shared" si="45"/>
        <v>NO</v>
      </c>
      <c r="X221" s="132" t="b">
        <f t="shared" si="53"/>
        <v>0</v>
      </c>
    </row>
    <row r="222" spans="1:24" s="2" customFormat="1" ht="12" x14ac:dyDescent="0.15">
      <c r="A222" s="125" t="s">
        <v>87</v>
      </c>
      <c r="B222" s="139">
        <v>830114737</v>
      </c>
      <c r="C222" s="137" t="s">
        <v>322</v>
      </c>
      <c r="D222" s="137" t="s">
        <v>531</v>
      </c>
      <c r="E222" s="138">
        <v>3451683</v>
      </c>
      <c r="F222" s="138">
        <v>4511963</v>
      </c>
      <c r="G222" s="138">
        <v>660730</v>
      </c>
      <c r="H222" s="138">
        <v>1162177</v>
      </c>
      <c r="I222" s="138">
        <v>3349786</v>
      </c>
      <c r="J222" s="138">
        <v>855421</v>
      </c>
      <c r="K222" s="138"/>
      <c r="L222" s="93">
        <f t="shared" si="46"/>
        <v>2790953</v>
      </c>
      <c r="M222" s="94">
        <f t="shared" si="47"/>
        <v>5.2240446173172099</v>
      </c>
      <c r="N222" s="94">
        <f t="shared" si="48"/>
        <v>0.25757680193742721</v>
      </c>
      <c r="O222" s="94" t="s">
        <v>108</v>
      </c>
      <c r="P222" s="94">
        <f t="shared" si="41"/>
        <v>0.2553658651627298</v>
      </c>
      <c r="Q222" s="94">
        <f t="shared" si="50"/>
        <v>0.18958954229012959</v>
      </c>
      <c r="R222" s="117" t="str">
        <f t="shared" si="51"/>
        <v>SI</v>
      </c>
      <c r="S222" s="117" t="str">
        <f t="shared" si="52"/>
        <v>SI</v>
      </c>
      <c r="T222" s="117" t="str">
        <f t="shared" si="42"/>
        <v>SI</v>
      </c>
      <c r="U222" s="117" t="str">
        <f t="shared" si="43"/>
        <v>SI</v>
      </c>
      <c r="V222" s="117" t="str">
        <f t="shared" si="44"/>
        <v>SI</v>
      </c>
      <c r="W222" s="117" t="str">
        <f t="shared" si="45"/>
        <v>SI</v>
      </c>
      <c r="X222" s="132" t="str">
        <f t="shared" si="53"/>
        <v>SI</v>
      </c>
    </row>
    <row r="223" spans="1:24" s="2" customFormat="1" ht="12" x14ac:dyDescent="0.15">
      <c r="A223" s="125" t="s">
        <v>87</v>
      </c>
      <c r="B223" s="139">
        <v>830116638</v>
      </c>
      <c r="C223" s="137" t="s">
        <v>323</v>
      </c>
      <c r="D223" s="137" t="s">
        <v>531</v>
      </c>
      <c r="E223" s="138">
        <v>26936350</v>
      </c>
      <c r="F223" s="138">
        <v>46721331</v>
      </c>
      <c r="G223" s="138">
        <v>27725716</v>
      </c>
      <c r="H223" s="138">
        <v>34897390</v>
      </c>
      <c r="I223" s="138">
        <v>11823941</v>
      </c>
      <c r="J223" s="138">
        <v>7120104</v>
      </c>
      <c r="K223" s="138">
        <v>4420858</v>
      </c>
      <c r="L223" s="93">
        <f t="shared" si="46"/>
        <v>-789366</v>
      </c>
      <c r="M223" s="94">
        <f t="shared" si="47"/>
        <v>0.97152946383783201</v>
      </c>
      <c r="N223" s="94">
        <f t="shared" si="48"/>
        <v>0.74692628084589452</v>
      </c>
      <c r="O223" s="94">
        <f t="shared" si="49"/>
        <v>1.6105706177398142</v>
      </c>
      <c r="P223" s="94">
        <f t="shared" si="41"/>
        <v>0.60217688839956152</v>
      </c>
      <c r="Q223" s="94">
        <f t="shared" si="50"/>
        <v>0.15239514473592372</v>
      </c>
      <c r="R223" s="117" t="str">
        <f t="shared" si="51"/>
        <v>NO</v>
      </c>
      <c r="S223" s="117" t="str">
        <f t="shared" si="52"/>
        <v>NO</v>
      </c>
      <c r="T223" s="117" t="str">
        <f t="shared" si="42"/>
        <v>SI</v>
      </c>
      <c r="U223" s="117" t="str">
        <f t="shared" si="43"/>
        <v>SI</v>
      </c>
      <c r="V223" s="117" t="str">
        <f t="shared" si="44"/>
        <v>SI</v>
      </c>
      <c r="W223" s="117" t="str">
        <f t="shared" si="45"/>
        <v>SI</v>
      </c>
      <c r="X223" s="132" t="b">
        <f t="shared" si="53"/>
        <v>0</v>
      </c>
    </row>
    <row r="224" spans="1:24" s="2" customFormat="1" ht="12" x14ac:dyDescent="0.15">
      <c r="A224" s="125" t="s">
        <v>87</v>
      </c>
      <c r="B224" s="139">
        <v>830118759</v>
      </c>
      <c r="C224" s="137" t="s">
        <v>324</v>
      </c>
      <c r="D224" s="137" t="s">
        <v>531</v>
      </c>
      <c r="E224" s="138">
        <v>8472952</v>
      </c>
      <c r="F224" s="138">
        <v>8490783</v>
      </c>
      <c r="G224" s="138">
        <v>2131441</v>
      </c>
      <c r="H224" s="138">
        <v>2186441</v>
      </c>
      <c r="I224" s="138">
        <v>6304342</v>
      </c>
      <c r="J224" s="138">
        <v>281941</v>
      </c>
      <c r="K224" s="138"/>
      <c r="L224" s="93">
        <f t="shared" si="46"/>
        <v>6341511</v>
      </c>
      <c r="M224" s="94">
        <f t="shared" si="47"/>
        <v>3.9752223964913878</v>
      </c>
      <c r="N224" s="94">
        <f t="shared" si="48"/>
        <v>0.25750758204514235</v>
      </c>
      <c r="O224" s="94" t="s">
        <v>108</v>
      </c>
      <c r="P224" s="94">
        <f t="shared" si="41"/>
        <v>4.4721717191104161E-2</v>
      </c>
      <c r="Q224" s="94">
        <f t="shared" si="50"/>
        <v>3.3205535932316253E-2</v>
      </c>
      <c r="R224" s="117" t="str">
        <f t="shared" si="51"/>
        <v>SI</v>
      </c>
      <c r="S224" s="117" t="str">
        <f t="shared" si="52"/>
        <v>SI</v>
      </c>
      <c r="T224" s="117" t="str">
        <f t="shared" si="42"/>
        <v>SI</v>
      </c>
      <c r="U224" s="117" t="str">
        <f t="shared" si="43"/>
        <v>SI</v>
      </c>
      <c r="V224" s="117" t="str">
        <f t="shared" si="44"/>
        <v>NO</v>
      </c>
      <c r="W224" s="117" t="str">
        <f t="shared" si="45"/>
        <v>NO</v>
      </c>
      <c r="X224" s="132" t="b">
        <f t="shared" si="53"/>
        <v>0</v>
      </c>
    </row>
    <row r="225" spans="1:24" s="2" customFormat="1" ht="12" x14ac:dyDescent="0.15">
      <c r="A225" s="125" t="s">
        <v>87</v>
      </c>
      <c r="B225" s="139">
        <v>830119211</v>
      </c>
      <c r="C225" s="137" t="s">
        <v>325</v>
      </c>
      <c r="D225" s="137" t="s">
        <v>531</v>
      </c>
      <c r="E225" s="138">
        <v>2265547</v>
      </c>
      <c r="F225" s="138">
        <v>4158343</v>
      </c>
      <c r="G225" s="138">
        <v>244811</v>
      </c>
      <c r="H225" s="138">
        <v>361790</v>
      </c>
      <c r="I225" s="138">
        <v>3796553</v>
      </c>
      <c r="J225" s="138">
        <v>193204</v>
      </c>
      <c r="K225" s="138"/>
      <c r="L225" s="93">
        <f t="shared" si="46"/>
        <v>2020736</v>
      </c>
      <c r="M225" s="94"/>
      <c r="N225" s="94">
        <f t="shared" si="48"/>
        <v>8.7003404962024536E-2</v>
      </c>
      <c r="O225" s="94" t="s">
        <v>108</v>
      </c>
      <c r="P225" s="94">
        <f t="shared" si="41"/>
        <v>5.0889319864624569E-2</v>
      </c>
      <c r="Q225" s="94">
        <f t="shared" si="50"/>
        <v>4.6461775760200635E-2</v>
      </c>
      <c r="R225" s="117" t="str">
        <f t="shared" si="51"/>
        <v>SI</v>
      </c>
      <c r="S225" s="117" t="str">
        <f t="shared" si="52"/>
        <v>NO</v>
      </c>
      <c r="T225" s="117" t="str">
        <f t="shared" si="42"/>
        <v>SI</v>
      </c>
      <c r="U225" s="117" t="str">
        <f t="shared" si="43"/>
        <v>SI</v>
      </c>
      <c r="V225" s="117" t="str">
        <f t="shared" si="44"/>
        <v>NO</v>
      </c>
      <c r="W225" s="117" t="str">
        <f t="shared" si="45"/>
        <v>NO</v>
      </c>
      <c r="X225" s="132" t="b">
        <f t="shared" si="53"/>
        <v>0</v>
      </c>
    </row>
    <row r="226" spans="1:24" s="2" customFormat="1" ht="12" x14ac:dyDescent="0.15">
      <c r="A226" s="125" t="s">
        <v>87</v>
      </c>
      <c r="B226" s="139">
        <v>830122576</v>
      </c>
      <c r="C226" s="137" t="s">
        <v>326</v>
      </c>
      <c r="D226" s="137" t="s">
        <v>531</v>
      </c>
      <c r="E226" s="138">
        <v>1615378</v>
      </c>
      <c r="F226" s="138">
        <v>2056677</v>
      </c>
      <c r="G226" s="138">
        <v>498635</v>
      </c>
      <c r="H226" s="138">
        <v>544128</v>
      </c>
      <c r="I226" s="138">
        <v>1512549</v>
      </c>
      <c r="J226" s="138">
        <v>-791245</v>
      </c>
      <c r="K226" s="138">
        <v>82070</v>
      </c>
      <c r="L226" s="93">
        <f t="shared" si="46"/>
        <v>1116743</v>
      </c>
      <c r="M226" s="94">
        <f t="shared" si="47"/>
        <v>3.2396001082956469</v>
      </c>
      <c r="N226" s="94">
        <f t="shared" si="48"/>
        <v>0.26456657997342314</v>
      </c>
      <c r="O226" s="94"/>
      <c r="P226" s="94">
        <f t="shared" si="41"/>
        <v>-0.52312024271610369</v>
      </c>
      <c r="Q226" s="94">
        <f t="shared" si="50"/>
        <v>-0.38472010918583716</v>
      </c>
      <c r="R226" s="117" t="str">
        <f t="shared" si="51"/>
        <v>SI</v>
      </c>
      <c r="S226" s="117" t="str">
        <f t="shared" si="52"/>
        <v>SI</v>
      </c>
      <c r="T226" s="117" t="str">
        <f t="shared" si="42"/>
        <v>SI</v>
      </c>
      <c r="U226" s="117" t="str">
        <f t="shared" si="43"/>
        <v>NO</v>
      </c>
      <c r="V226" s="117" t="str">
        <f t="shared" si="44"/>
        <v>NO</v>
      </c>
      <c r="W226" s="117" t="str">
        <f t="shared" si="45"/>
        <v>NO</v>
      </c>
      <c r="X226" s="132" t="b">
        <f t="shared" si="53"/>
        <v>0</v>
      </c>
    </row>
    <row r="227" spans="1:24" s="2" customFormat="1" ht="12" x14ac:dyDescent="0.15">
      <c r="A227" s="125" t="s">
        <v>87</v>
      </c>
      <c r="B227" s="139">
        <v>830132755</v>
      </c>
      <c r="C227" s="137" t="s">
        <v>327</v>
      </c>
      <c r="D227" s="137" t="s">
        <v>531</v>
      </c>
      <c r="E227" s="138">
        <v>4551693</v>
      </c>
      <c r="F227" s="138">
        <v>4558599</v>
      </c>
      <c r="G227" s="138">
        <v>74240</v>
      </c>
      <c r="H227" s="138">
        <v>3915978</v>
      </c>
      <c r="I227" s="138">
        <v>642621</v>
      </c>
      <c r="J227" s="138">
        <v>45815</v>
      </c>
      <c r="K227" s="138"/>
      <c r="L227" s="93">
        <f t="shared" si="46"/>
        <v>4477453</v>
      </c>
      <c r="M227" s="94"/>
      <c r="N227" s="94">
        <f t="shared" si="48"/>
        <v>0.85903103124446789</v>
      </c>
      <c r="O227" s="94" t="s">
        <v>108</v>
      </c>
      <c r="P227" s="94">
        <f t="shared" si="41"/>
        <v>7.1293966428112365E-2</v>
      </c>
      <c r="Q227" s="94">
        <f t="shared" si="50"/>
        <v>1.005023692586253E-2</v>
      </c>
      <c r="R227" s="117" t="str">
        <f t="shared" si="51"/>
        <v>SI</v>
      </c>
      <c r="S227" s="117" t="str">
        <f t="shared" si="52"/>
        <v>NO</v>
      </c>
      <c r="T227" s="117" t="str">
        <f t="shared" si="42"/>
        <v>SI</v>
      </c>
      <c r="U227" s="117" t="str">
        <f t="shared" si="43"/>
        <v>SI</v>
      </c>
      <c r="V227" s="117" t="str">
        <f t="shared" si="44"/>
        <v>NO</v>
      </c>
      <c r="W227" s="117" t="str">
        <f t="shared" si="45"/>
        <v>NO</v>
      </c>
      <c r="X227" s="132" t="b">
        <f t="shared" si="53"/>
        <v>0</v>
      </c>
    </row>
    <row r="228" spans="1:24" s="2" customFormat="1" ht="12" x14ac:dyDescent="0.15">
      <c r="A228" s="125" t="s">
        <v>87</v>
      </c>
      <c r="B228" s="139">
        <v>830138228</v>
      </c>
      <c r="C228" s="137" t="s">
        <v>328</v>
      </c>
      <c r="D228" s="137" t="s">
        <v>531</v>
      </c>
      <c r="E228" s="138">
        <v>21856501</v>
      </c>
      <c r="F228" s="138">
        <v>24518978</v>
      </c>
      <c r="G228" s="138">
        <v>4156820</v>
      </c>
      <c r="H228" s="138">
        <v>4546253</v>
      </c>
      <c r="I228" s="138">
        <v>19972725</v>
      </c>
      <c r="J228" s="138">
        <v>3153030</v>
      </c>
      <c r="K228" s="138">
        <v>607593</v>
      </c>
      <c r="L228" s="93">
        <f t="shared" si="46"/>
        <v>17699681</v>
      </c>
      <c r="M228" s="94"/>
      <c r="N228" s="94">
        <f t="shared" si="48"/>
        <v>0.18541772010236315</v>
      </c>
      <c r="O228" s="94"/>
      <c r="P228" s="94">
        <f t="shared" si="41"/>
        <v>0.15786679083600261</v>
      </c>
      <c r="Q228" s="94">
        <f t="shared" si="50"/>
        <v>0.12859549039931437</v>
      </c>
      <c r="R228" s="117" t="str">
        <f t="shared" si="51"/>
        <v>SI</v>
      </c>
      <c r="S228" s="117" t="str">
        <f t="shared" si="52"/>
        <v>NO</v>
      </c>
      <c r="T228" s="117" t="str">
        <f t="shared" si="42"/>
        <v>SI</v>
      </c>
      <c r="U228" s="117" t="str">
        <f t="shared" si="43"/>
        <v>NO</v>
      </c>
      <c r="V228" s="117" t="str">
        <f t="shared" si="44"/>
        <v>NO</v>
      </c>
      <c r="W228" s="117" t="str">
        <f t="shared" si="45"/>
        <v>SI</v>
      </c>
      <c r="X228" s="132" t="b">
        <f t="shared" si="53"/>
        <v>0</v>
      </c>
    </row>
    <row r="229" spans="1:24" s="2" customFormat="1" ht="12" x14ac:dyDescent="0.15">
      <c r="A229" s="125" t="s">
        <v>87</v>
      </c>
      <c r="B229" s="139">
        <v>830139893</v>
      </c>
      <c r="C229" s="137" t="s">
        <v>329</v>
      </c>
      <c r="D229" s="137" t="s">
        <v>531</v>
      </c>
      <c r="E229" s="138">
        <v>4976964</v>
      </c>
      <c r="F229" s="138">
        <v>6243017</v>
      </c>
      <c r="G229" s="138">
        <v>775109</v>
      </c>
      <c r="H229" s="138">
        <v>2325276</v>
      </c>
      <c r="I229" s="138">
        <v>3917741</v>
      </c>
      <c r="J229" s="138">
        <v>1857764</v>
      </c>
      <c r="K229" s="138">
        <v>260539</v>
      </c>
      <c r="L229" s="93">
        <f t="shared" si="46"/>
        <v>4201855</v>
      </c>
      <c r="M229" s="94">
        <f t="shared" si="47"/>
        <v>6.4209859516532513</v>
      </c>
      <c r="N229" s="94">
        <f t="shared" si="48"/>
        <v>0.37246030244671768</v>
      </c>
      <c r="O229" s="94"/>
      <c r="P229" s="94">
        <f t="shared" si="41"/>
        <v>0.47419265336835692</v>
      </c>
      <c r="Q229" s="94">
        <f t="shared" si="50"/>
        <v>0.29757471427676713</v>
      </c>
      <c r="R229" s="117" t="str">
        <f t="shared" si="51"/>
        <v>SI</v>
      </c>
      <c r="S229" s="117" t="str">
        <f t="shared" si="52"/>
        <v>SI</v>
      </c>
      <c r="T229" s="117" t="str">
        <f t="shared" si="42"/>
        <v>SI</v>
      </c>
      <c r="U229" s="117" t="str">
        <f t="shared" si="43"/>
        <v>NO</v>
      </c>
      <c r="V229" s="117" t="str">
        <f t="shared" si="44"/>
        <v>SI</v>
      </c>
      <c r="W229" s="117" t="str">
        <f t="shared" si="45"/>
        <v>SI</v>
      </c>
      <c r="X229" s="132" t="b">
        <f t="shared" si="53"/>
        <v>0</v>
      </c>
    </row>
    <row r="230" spans="1:24" s="2" customFormat="1" ht="12" x14ac:dyDescent="0.15">
      <c r="A230" s="125" t="s">
        <v>87</v>
      </c>
      <c r="B230" s="139">
        <v>830141132</v>
      </c>
      <c r="C230" s="137" t="s">
        <v>330</v>
      </c>
      <c r="D230" s="137" t="s">
        <v>531</v>
      </c>
      <c r="E230" s="138">
        <v>10663990</v>
      </c>
      <c r="F230" s="138">
        <v>11534564</v>
      </c>
      <c r="G230" s="138">
        <v>6142109</v>
      </c>
      <c r="H230" s="138">
        <v>6594678</v>
      </c>
      <c r="I230" s="138">
        <v>4939886</v>
      </c>
      <c r="J230" s="138">
        <v>2332616</v>
      </c>
      <c r="K230" s="138">
        <v>229298</v>
      </c>
      <c r="L230" s="93">
        <f t="shared" si="46"/>
        <v>4521881</v>
      </c>
      <c r="M230" s="94">
        <f t="shared" si="47"/>
        <v>1.7362098262990775</v>
      </c>
      <c r="N230" s="94">
        <f t="shared" si="48"/>
        <v>0.57173188340712311</v>
      </c>
      <c r="O230" s="94"/>
      <c r="P230" s="94">
        <f t="shared" si="41"/>
        <v>0.47220037061584014</v>
      </c>
      <c r="Q230" s="94">
        <f t="shared" si="50"/>
        <v>0.20222836337810429</v>
      </c>
      <c r="R230" s="117" t="str">
        <f t="shared" si="51"/>
        <v>SI</v>
      </c>
      <c r="S230" s="117" t="str">
        <f t="shared" si="52"/>
        <v>NO</v>
      </c>
      <c r="T230" s="117" t="str">
        <f t="shared" si="42"/>
        <v>SI</v>
      </c>
      <c r="U230" s="117" t="str">
        <f t="shared" si="43"/>
        <v>NO</v>
      </c>
      <c r="V230" s="117" t="str">
        <f t="shared" si="44"/>
        <v>SI</v>
      </c>
      <c r="W230" s="117" t="str">
        <f t="shared" si="45"/>
        <v>SI</v>
      </c>
      <c r="X230" s="132" t="b">
        <f t="shared" si="53"/>
        <v>0</v>
      </c>
    </row>
    <row r="231" spans="1:24" s="2" customFormat="1" ht="12" x14ac:dyDescent="0.15">
      <c r="A231" s="125" t="s">
        <v>87</v>
      </c>
      <c r="B231" s="139">
        <v>830144460</v>
      </c>
      <c r="C231" s="137" t="s">
        <v>331</v>
      </c>
      <c r="D231" s="137" t="s">
        <v>531</v>
      </c>
      <c r="E231" s="138">
        <v>17517366</v>
      </c>
      <c r="F231" s="138">
        <v>21707933</v>
      </c>
      <c r="G231" s="138">
        <v>7118173</v>
      </c>
      <c r="H231" s="138">
        <v>11652435</v>
      </c>
      <c r="I231" s="138">
        <v>10055498</v>
      </c>
      <c r="J231" s="138">
        <v>2669326</v>
      </c>
      <c r="K231" s="138">
        <v>1975005</v>
      </c>
      <c r="L231" s="93">
        <f t="shared" si="46"/>
        <v>10399193</v>
      </c>
      <c r="M231" s="94">
        <f t="shared" si="47"/>
        <v>2.4609356923468986</v>
      </c>
      <c r="N231" s="94">
        <f t="shared" si="48"/>
        <v>0.536782336669272</v>
      </c>
      <c r="O231" s="94">
        <f t="shared" si="49"/>
        <v>1.351554046698616</v>
      </c>
      <c r="P231" s="94">
        <f t="shared" si="41"/>
        <v>0.26545935367895257</v>
      </c>
      <c r="Q231" s="94">
        <f t="shared" si="50"/>
        <v>0.1229654615204497</v>
      </c>
      <c r="R231" s="117" t="str">
        <f t="shared" si="51"/>
        <v>SI</v>
      </c>
      <c r="S231" s="117" t="str">
        <f t="shared" si="52"/>
        <v>SI</v>
      </c>
      <c r="T231" s="117" t="str">
        <f t="shared" si="42"/>
        <v>SI</v>
      </c>
      <c r="U231" s="117" t="str">
        <f t="shared" si="43"/>
        <v>SI</v>
      </c>
      <c r="V231" s="117" t="str">
        <f t="shared" si="44"/>
        <v>SI</v>
      </c>
      <c r="W231" s="117" t="str">
        <f t="shared" si="45"/>
        <v>SI</v>
      </c>
      <c r="X231" s="132" t="str">
        <f t="shared" si="53"/>
        <v>SI</v>
      </c>
    </row>
    <row r="232" spans="1:24" s="2" customFormat="1" ht="12" x14ac:dyDescent="0.15">
      <c r="A232" s="125" t="s">
        <v>87</v>
      </c>
      <c r="B232" s="139">
        <v>830144577</v>
      </c>
      <c r="C232" s="137" t="s">
        <v>332</v>
      </c>
      <c r="D232" s="137" t="s">
        <v>531</v>
      </c>
      <c r="E232" s="138">
        <v>2655168</v>
      </c>
      <c r="F232" s="138">
        <v>3777606</v>
      </c>
      <c r="G232" s="138">
        <v>1695081</v>
      </c>
      <c r="H232" s="138">
        <v>2291784</v>
      </c>
      <c r="I232" s="138">
        <v>1485822</v>
      </c>
      <c r="J232" s="138">
        <v>426758</v>
      </c>
      <c r="K232" s="138">
        <v>179221</v>
      </c>
      <c r="L232" s="93">
        <f t="shared" si="46"/>
        <v>960087</v>
      </c>
      <c r="M232" s="94">
        <f t="shared" si="47"/>
        <v>1.566395942140818</v>
      </c>
      <c r="N232" s="94">
        <f t="shared" si="48"/>
        <v>0.60667629181020999</v>
      </c>
      <c r="O232" s="94">
        <f t="shared" si="49"/>
        <v>2.3811830086875978</v>
      </c>
      <c r="P232" s="94">
        <f t="shared" si="41"/>
        <v>0.28722013807845087</v>
      </c>
      <c r="Q232" s="94">
        <f t="shared" si="50"/>
        <v>0.11297048977579981</v>
      </c>
      <c r="R232" s="117" t="str">
        <f t="shared" si="51"/>
        <v>SI</v>
      </c>
      <c r="S232" s="117" t="str">
        <f t="shared" si="52"/>
        <v>NO</v>
      </c>
      <c r="T232" s="117" t="str">
        <f t="shared" si="42"/>
        <v>SI</v>
      </c>
      <c r="U232" s="117" t="str">
        <f t="shared" si="43"/>
        <v>SI</v>
      </c>
      <c r="V232" s="117" t="str">
        <f t="shared" si="44"/>
        <v>SI</v>
      </c>
      <c r="W232" s="117" t="str">
        <f t="shared" si="45"/>
        <v>SI</v>
      </c>
      <c r="X232" s="132" t="b">
        <f t="shared" si="53"/>
        <v>0</v>
      </c>
    </row>
    <row r="233" spans="1:24" s="2" customFormat="1" ht="12" x14ac:dyDescent="0.15">
      <c r="A233" s="125" t="s">
        <v>87</v>
      </c>
      <c r="B233" s="139">
        <v>830505238</v>
      </c>
      <c r="C233" s="137" t="s">
        <v>333</v>
      </c>
      <c r="D233" s="137" t="s">
        <v>531</v>
      </c>
      <c r="E233" s="138">
        <v>39158964</v>
      </c>
      <c r="F233" s="138">
        <v>39771839</v>
      </c>
      <c r="G233" s="138">
        <v>2560890</v>
      </c>
      <c r="H233" s="138">
        <v>12507477</v>
      </c>
      <c r="I233" s="138">
        <v>27264362</v>
      </c>
      <c r="J233" s="138">
        <v>5025133</v>
      </c>
      <c r="K233" s="138">
        <v>1195</v>
      </c>
      <c r="L233" s="93">
        <f t="shared" si="46"/>
        <v>36598074</v>
      </c>
      <c r="M233" s="94"/>
      <c r="N233" s="94">
        <f t="shared" si="48"/>
        <v>0.31448073095136486</v>
      </c>
      <c r="O233" s="94"/>
      <c r="P233" s="94">
        <f t="shared" si="41"/>
        <v>0.18431140989105119</v>
      </c>
      <c r="Q233" s="94">
        <f t="shared" si="50"/>
        <v>0.12634902298583678</v>
      </c>
      <c r="R233" s="117" t="str">
        <f t="shared" si="51"/>
        <v>SI</v>
      </c>
      <c r="S233" s="117" t="str">
        <f t="shared" si="52"/>
        <v>NO</v>
      </c>
      <c r="T233" s="117" t="str">
        <f t="shared" si="42"/>
        <v>SI</v>
      </c>
      <c r="U233" s="117" t="str">
        <f t="shared" si="43"/>
        <v>NO</v>
      </c>
      <c r="V233" s="117" t="str">
        <f t="shared" si="44"/>
        <v>SI</v>
      </c>
      <c r="W233" s="117" t="str">
        <f t="shared" si="45"/>
        <v>SI</v>
      </c>
      <c r="X233" s="132" t="b">
        <f t="shared" si="53"/>
        <v>0</v>
      </c>
    </row>
    <row r="234" spans="1:24" s="2" customFormat="1" ht="12" x14ac:dyDescent="0.15">
      <c r="A234" s="125" t="s">
        <v>87</v>
      </c>
      <c r="B234" s="139">
        <v>830508713</v>
      </c>
      <c r="C234" s="137" t="s">
        <v>334</v>
      </c>
      <c r="D234" s="137" t="s">
        <v>531</v>
      </c>
      <c r="E234" s="138">
        <v>3207890</v>
      </c>
      <c r="F234" s="138">
        <v>3579787</v>
      </c>
      <c r="G234" s="138">
        <v>869013</v>
      </c>
      <c r="H234" s="138">
        <v>1479391</v>
      </c>
      <c r="I234" s="138">
        <v>2100396</v>
      </c>
      <c r="J234" s="138">
        <v>546314</v>
      </c>
      <c r="K234" s="138">
        <v>154459</v>
      </c>
      <c r="L234" s="93">
        <f t="shared" si="46"/>
        <v>2338877</v>
      </c>
      <c r="M234" s="94">
        <f t="shared" si="47"/>
        <v>3.6914177348325055</v>
      </c>
      <c r="N234" s="94">
        <f t="shared" si="48"/>
        <v>0.41326229744954102</v>
      </c>
      <c r="O234" s="94"/>
      <c r="P234" s="94">
        <f t="shared" si="41"/>
        <v>0.26010047629113747</v>
      </c>
      <c r="Q234" s="94">
        <f t="shared" si="50"/>
        <v>0.15261075589134213</v>
      </c>
      <c r="R234" s="117" t="str">
        <f t="shared" si="51"/>
        <v>SI</v>
      </c>
      <c r="S234" s="117" t="str">
        <f t="shared" si="52"/>
        <v>SI</v>
      </c>
      <c r="T234" s="117" t="str">
        <f t="shared" si="42"/>
        <v>SI</v>
      </c>
      <c r="U234" s="117" t="str">
        <f t="shared" si="43"/>
        <v>NO</v>
      </c>
      <c r="V234" s="117" t="str">
        <f t="shared" si="44"/>
        <v>SI</v>
      </c>
      <c r="W234" s="117" t="str">
        <f t="shared" si="45"/>
        <v>SI</v>
      </c>
      <c r="X234" s="132" t="b">
        <f t="shared" si="53"/>
        <v>0</v>
      </c>
    </row>
    <row r="235" spans="1:24" s="2" customFormat="1" ht="12" x14ac:dyDescent="0.15">
      <c r="A235" s="125" t="s">
        <v>87</v>
      </c>
      <c r="B235" s="139">
        <v>860000065</v>
      </c>
      <c r="C235" s="137" t="s">
        <v>335</v>
      </c>
      <c r="D235" s="137" t="s">
        <v>531</v>
      </c>
      <c r="E235" s="138">
        <v>12694991</v>
      </c>
      <c r="F235" s="138">
        <v>16137726</v>
      </c>
      <c r="G235" s="138">
        <v>2515774</v>
      </c>
      <c r="H235" s="138">
        <v>2903737</v>
      </c>
      <c r="I235" s="138">
        <v>13233989</v>
      </c>
      <c r="J235" s="138">
        <v>699673</v>
      </c>
      <c r="K235" s="138">
        <v>23209</v>
      </c>
      <c r="L235" s="93">
        <f t="shared" si="46"/>
        <v>10179217</v>
      </c>
      <c r="M235" s="94"/>
      <c r="N235" s="94">
        <f t="shared" si="48"/>
        <v>0.17993470703369235</v>
      </c>
      <c r="O235" s="94"/>
      <c r="P235" s="94">
        <f t="shared" si="41"/>
        <v>5.2869395614580005E-2</v>
      </c>
      <c r="Q235" s="94">
        <f t="shared" si="50"/>
        <v>4.3356356403622169E-2</v>
      </c>
      <c r="R235" s="117" t="str">
        <f t="shared" si="51"/>
        <v>SI</v>
      </c>
      <c r="S235" s="117" t="str">
        <f t="shared" si="52"/>
        <v>NO</v>
      </c>
      <c r="T235" s="117" t="str">
        <f t="shared" si="42"/>
        <v>SI</v>
      </c>
      <c r="U235" s="117" t="str">
        <f t="shared" si="43"/>
        <v>NO</v>
      </c>
      <c r="V235" s="117" t="str">
        <f t="shared" si="44"/>
        <v>NO</v>
      </c>
      <c r="W235" s="117" t="str">
        <f t="shared" si="45"/>
        <v>NO</v>
      </c>
      <c r="X235" s="132" t="b">
        <f t="shared" si="53"/>
        <v>0</v>
      </c>
    </row>
    <row r="236" spans="1:24" s="2" customFormat="1" ht="12" x14ac:dyDescent="0.15">
      <c r="A236" s="125" t="s">
        <v>87</v>
      </c>
      <c r="B236" s="139">
        <v>860000091</v>
      </c>
      <c r="C236" s="137" t="s">
        <v>336</v>
      </c>
      <c r="D236" s="137" t="s">
        <v>531</v>
      </c>
      <c r="E236" s="138">
        <v>4815309</v>
      </c>
      <c r="F236" s="138">
        <v>4944351</v>
      </c>
      <c r="G236" s="138">
        <v>2537841</v>
      </c>
      <c r="H236" s="138">
        <v>3080352</v>
      </c>
      <c r="I236" s="138">
        <v>1863999</v>
      </c>
      <c r="J236" s="138">
        <v>301177</v>
      </c>
      <c r="K236" s="138">
        <v>75589</v>
      </c>
      <c r="L236" s="93">
        <f t="shared" si="46"/>
        <v>2277468</v>
      </c>
      <c r="M236" s="94">
        <f t="shared" si="47"/>
        <v>1.8974037380592401</v>
      </c>
      <c r="N236" s="94">
        <f t="shared" si="48"/>
        <v>0.62300431340736129</v>
      </c>
      <c r="O236" s="94"/>
      <c r="P236" s="94">
        <f t="shared" si="41"/>
        <v>0.16157573045908286</v>
      </c>
      <c r="Q236" s="94">
        <f t="shared" si="50"/>
        <v>6.0913353441129081E-2</v>
      </c>
      <c r="R236" s="117" t="str">
        <f t="shared" si="51"/>
        <v>SI</v>
      </c>
      <c r="S236" s="117" t="str">
        <f t="shared" si="52"/>
        <v>SI</v>
      </c>
      <c r="T236" s="117" t="str">
        <f t="shared" si="42"/>
        <v>SI</v>
      </c>
      <c r="U236" s="117" t="str">
        <f t="shared" si="43"/>
        <v>NO</v>
      </c>
      <c r="V236" s="117" t="str">
        <f t="shared" si="44"/>
        <v>NO</v>
      </c>
      <c r="W236" s="117" t="str">
        <f t="shared" si="45"/>
        <v>NO</v>
      </c>
      <c r="X236" s="132" t="b">
        <f t="shared" si="53"/>
        <v>0</v>
      </c>
    </row>
    <row r="237" spans="1:24" s="2" customFormat="1" ht="12" x14ac:dyDescent="0.15">
      <c r="A237" s="125" t="s">
        <v>87</v>
      </c>
      <c r="B237" s="139">
        <v>860000100</v>
      </c>
      <c r="C237" s="137" t="s">
        <v>337</v>
      </c>
      <c r="D237" s="137" t="s">
        <v>531</v>
      </c>
      <c r="E237" s="138">
        <v>21835320</v>
      </c>
      <c r="F237" s="138">
        <v>22822390</v>
      </c>
      <c r="G237" s="138">
        <v>9241953</v>
      </c>
      <c r="H237" s="138">
        <v>9484252</v>
      </c>
      <c r="I237" s="138">
        <v>13338138</v>
      </c>
      <c r="J237" s="138">
        <v>3572563</v>
      </c>
      <c r="K237" s="138">
        <v>751795</v>
      </c>
      <c r="L237" s="93">
        <f t="shared" si="46"/>
        <v>12593367</v>
      </c>
      <c r="M237" s="94">
        <f t="shared" si="47"/>
        <v>2.3626304959568611</v>
      </c>
      <c r="N237" s="94">
        <f t="shared" si="48"/>
        <v>0.41556786997330253</v>
      </c>
      <c r="O237" s="94"/>
      <c r="P237" s="94">
        <f t="shared" si="41"/>
        <v>0.26784570679955477</v>
      </c>
      <c r="Q237" s="94">
        <f t="shared" si="50"/>
        <v>0.15653763694337008</v>
      </c>
      <c r="R237" s="117" t="str">
        <f t="shared" si="51"/>
        <v>SI</v>
      </c>
      <c r="S237" s="117" t="str">
        <f t="shared" si="52"/>
        <v>SI</v>
      </c>
      <c r="T237" s="117" t="str">
        <f t="shared" si="42"/>
        <v>SI</v>
      </c>
      <c r="U237" s="117" t="str">
        <f t="shared" si="43"/>
        <v>NO</v>
      </c>
      <c r="V237" s="117" t="str">
        <f t="shared" si="44"/>
        <v>SI</v>
      </c>
      <c r="W237" s="117" t="str">
        <f t="shared" si="45"/>
        <v>SI</v>
      </c>
      <c r="X237" s="132" t="b">
        <f t="shared" si="53"/>
        <v>0</v>
      </c>
    </row>
    <row r="238" spans="1:24" s="2" customFormat="1" ht="12" x14ac:dyDescent="0.15">
      <c r="A238" s="125" t="s">
        <v>87</v>
      </c>
      <c r="B238" s="139">
        <v>860000368</v>
      </c>
      <c r="C238" s="137" t="s">
        <v>338</v>
      </c>
      <c r="D238" s="137" t="s">
        <v>531</v>
      </c>
      <c r="E238" s="138">
        <v>8279911</v>
      </c>
      <c r="F238" s="138">
        <v>43404236</v>
      </c>
      <c r="G238" s="138">
        <v>2694084</v>
      </c>
      <c r="H238" s="138">
        <v>37943962</v>
      </c>
      <c r="I238" s="138">
        <v>5460274</v>
      </c>
      <c r="J238" s="138">
        <v>152933</v>
      </c>
      <c r="K238" s="138">
        <v>141789</v>
      </c>
      <c r="L238" s="93">
        <f t="shared" si="46"/>
        <v>5585827</v>
      </c>
      <c r="M238" s="94"/>
      <c r="N238" s="94">
        <f t="shared" si="48"/>
        <v>0.87419951361429327</v>
      </c>
      <c r="O238" s="94">
        <f t="shared" si="49"/>
        <v>1.0785956597479354</v>
      </c>
      <c r="P238" s="94">
        <f t="shared" si="41"/>
        <v>2.8008301414910682E-2</v>
      </c>
      <c r="Q238" s="94">
        <f t="shared" si="50"/>
        <v>3.5234579408332405E-3</v>
      </c>
      <c r="R238" s="117" t="str">
        <f t="shared" si="51"/>
        <v>SI</v>
      </c>
      <c r="S238" s="117" t="str">
        <f t="shared" si="52"/>
        <v>NO</v>
      </c>
      <c r="T238" s="117" t="str">
        <f t="shared" si="42"/>
        <v>SI</v>
      </c>
      <c r="U238" s="117" t="str">
        <f t="shared" si="43"/>
        <v>SI</v>
      </c>
      <c r="V238" s="117" t="str">
        <f t="shared" si="44"/>
        <v>NO</v>
      </c>
      <c r="W238" s="117" t="str">
        <f t="shared" si="45"/>
        <v>NO</v>
      </c>
      <c r="X238" s="132" t="b">
        <f t="shared" si="53"/>
        <v>0</v>
      </c>
    </row>
    <row r="239" spans="1:24" s="2" customFormat="1" ht="12" x14ac:dyDescent="0.15">
      <c r="A239" s="125" t="s">
        <v>87</v>
      </c>
      <c r="B239" s="139">
        <v>860000648</v>
      </c>
      <c r="C239" s="137" t="s">
        <v>339</v>
      </c>
      <c r="D239" s="137" t="s">
        <v>531</v>
      </c>
      <c r="E239" s="138">
        <v>22497920</v>
      </c>
      <c r="F239" s="138">
        <v>25743767</v>
      </c>
      <c r="G239" s="138">
        <v>8959088</v>
      </c>
      <c r="H239" s="138">
        <v>12921805</v>
      </c>
      <c r="I239" s="138">
        <v>12821962</v>
      </c>
      <c r="J239" s="138">
        <v>3202493</v>
      </c>
      <c r="K239" s="138">
        <v>641507</v>
      </c>
      <c r="L239" s="93">
        <f t="shared" si="46"/>
        <v>13538832</v>
      </c>
      <c r="M239" s="94">
        <f t="shared" si="47"/>
        <v>2.5111841741034353</v>
      </c>
      <c r="N239" s="94">
        <f t="shared" si="48"/>
        <v>0.50193916842084529</v>
      </c>
      <c r="O239" s="94"/>
      <c r="P239" s="94">
        <f t="shared" si="41"/>
        <v>0.24976622142539495</v>
      </c>
      <c r="Q239" s="94">
        <f t="shared" si="50"/>
        <v>0.12439877194351549</v>
      </c>
      <c r="R239" s="117" t="str">
        <f t="shared" si="51"/>
        <v>SI</v>
      </c>
      <c r="S239" s="117" t="str">
        <f t="shared" si="52"/>
        <v>SI</v>
      </c>
      <c r="T239" s="117" t="str">
        <f t="shared" si="42"/>
        <v>SI</v>
      </c>
      <c r="U239" s="117" t="str">
        <f t="shared" si="43"/>
        <v>NO</v>
      </c>
      <c r="V239" s="117" t="str">
        <f t="shared" si="44"/>
        <v>SI</v>
      </c>
      <c r="W239" s="117" t="str">
        <f t="shared" si="45"/>
        <v>SI</v>
      </c>
      <c r="X239" s="132" t="b">
        <f t="shared" si="53"/>
        <v>0</v>
      </c>
    </row>
    <row r="240" spans="1:24" s="2" customFormat="1" ht="12" x14ac:dyDescent="0.15">
      <c r="A240" s="125" t="s">
        <v>87</v>
      </c>
      <c r="B240" s="139">
        <v>860000888</v>
      </c>
      <c r="C240" s="137" t="s">
        <v>340</v>
      </c>
      <c r="D240" s="137" t="s">
        <v>531</v>
      </c>
      <c r="E240" s="138">
        <v>4733061</v>
      </c>
      <c r="F240" s="138">
        <v>6483355</v>
      </c>
      <c r="G240" s="138">
        <v>574322</v>
      </c>
      <c r="H240" s="138">
        <v>1060018</v>
      </c>
      <c r="I240" s="138">
        <v>5423337</v>
      </c>
      <c r="J240" s="138">
        <v>156979</v>
      </c>
      <c r="K240" s="138"/>
      <c r="L240" s="93">
        <f t="shared" si="46"/>
        <v>4158739</v>
      </c>
      <c r="M240" s="94"/>
      <c r="N240" s="94">
        <f t="shared" si="48"/>
        <v>0.16349837391288924</v>
      </c>
      <c r="O240" s="94" t="s">
        <v>108</v>
      </c>
      <c r="P240" s="94">
        <f t="shared" si="41"/>
        <v>2.8945094136691118E-2</v>
      </c>
      <c r="Q240" s="94">
        <f t="shared" si="50"/>
        <v>2.4212618312586615E-2</v>
      </c>
      <c r="R240" s="117" t="str">
        <f t="shared" si="51"/>
        <v>SI</v>
      </c>
      <c r="S240" s="117" t="str">
        <f t="shared" si="52"/>
        <v>NO</v>
      </c>
      <c r="T240" s="117" t="str">
        <f t="shared" si="42"/>
        <v>SI</v>
      </c>
      <c r="U240" s="117" t="str">
        <f t="shared" si="43"/>
        <v>SI</v>
      </c>
      <c r="V240" s="117" t="str">
        <f t="shared" si="44"/>
        <v>NO</v>
      </c>
      <c r="W240" s="117" t="str">
        <f t="shared" si="45"/>
        <v>NO</v>
      </c>
      <c r="X240" s="132" t="b">
        <f t="shared" si="53"/>
        <v>0</v>
      </c>
    </row>
    <row r="241" spans="1:24" s="2" customFormat="1" ht="12" x14ac:dyDescent="0.15">
      <c r="A241" s="125" t="s">
        <v>87</v>
      </c>
      <c r="B241" s="139">
        <v>860002079</v>
      </c>
      <c r="C241" s="137" t="s">
        <v>341</v>
      </c>
      <c r="D241" s="137" t="s">
        <v>531</v>
      </c>
      <c r="E241" s="138">
        <v>5689886</v>
      </c>
      <c r="F241" s="138">
        <v>7793697</v>
      </c>
      <c r="G241" s="138">
        <v>272565</v>
      </c>
      <c r="H241" s="138">
        <v>705867</v>
      </c>
      <c r="I241" s="138">
        <v>7087830</v>
      </c>
      <c r="J241" s="138">
        <v>69123</v>
      </c>
      <c r="K241" s="138">
        <v>26573</v>
      </c>
      <c r="L241" s="93">
        <f t="shared" si="46"/>
        <v>5417321</v>
      </c>
      <c r="M241" s="94"/>
      <c r="N241" s="94">
        <f t="shared" si="48"/>
        <v>9.0568955913990501E-2</v>
      </c>
      <c r="O241" s="94">
        <f t="shared" si="49"/>
        <v>2.6012493884770254</v>
      </c>
      <c r="P241" s="94">
        <f t="shared" si="41"/>
        <v>9.7523501551250516E-3</v>
      </c>
      <c r="Q241" s="94">
        <f t="shared" si="50"/>
        <v>8.869089983867734E-3</v>
      </c>
      <c r="R241" s="117" t="str">
        <f t="shared" si="51"/>
        <v>SI</v>
      </c>
      <c r="S241" s="117" t="str">
        <f t="shared" si="52"/>
        <v>NO</v>
      </c>
      <c r="T241" s="117" t="str">
        <f t="shared" si="42"/>
        <v>SI</v>
      </c>
      <c r="U241" s="117" t="str">
        <f t="shared" si="43"/>
        <v>SI</v>
      </c>
      <c r="V241" s="117" t="str">
        <f t="shared" si="44"/>
        <v>NO</v>
      </c>
      <c r="W241" s="117" t="str">
        <f t="shared" si="45"/>
        <v>NO</v>
      </c>
      <c r="X241" s="132" t="b">
        <f t="shared" si="53"/>
        <v>0</v>
      </c>
    </row>
    <row r="242" spans="1:24" s="2" customFormat="1" ht="12" x14ac:dyDescent="0.15">
      <c r="A242" s="125" t="s">
        <v>87</v>
      </c>
      <c r="B242" s="139">
        <v>860004270</v>
      </c>
      <c r="C242" s="137" t="s">
        <v>342</v>
      </c>
      <c r="D242" s="137" t="s">
        <v>531</v>
      </c>
      <c r="E242" s="138">
        <v>15670944</v>
      </c>
      <c r="F242" s="138">
        <v>53351863</v>
      </c>
      <c r="G242" s="138">
        <v>5231160</v>
      </c>
      <c r="H242" s="138">
        <v>16461501</v>
      </c>
      <c r="I242" s="138">
        <v>36890362</v>
      </c>
      <c r="J242" s="138">
        <v>2533614</v>
      </c>
      <c r="K242" s="138">
        <v>1660404</v>
      </c>
      <c r="L242" s="93">
        <f t="shared" si="46"/>
        <v>10439784</v>
      </c>
      <c r="M242" s="94"/>
      <c r="N242" s="94">
        <f t="shared" si="48"/>
        <v>0.30854594524656054</v>
      </c>
      <c r="O242" s="94">
        <f t="shared" si="49"/>
        <v>1.5259021298430984</v>
      </c>
      <c r="P242" s="94">
        <f t="shared" si="41"/>
        <v>6.8679564597387249E-2</v>
      </c>
      <c r="Q242" s="94">
        <f t="shared" si="50"/>
        <v>4.7488763419564185E-2</v>
      </c>
      <c r="R242" s="117" t="str">
        <f t="shared" si="51"/>
        <v>SI</v>
      </c>
      <c r="S242" s="117" t="str">
        <f t="shared" si="52"/>
        <v>NO</v>
      </c>
      <c r="T242" s="117" t="str">
        <f t="shared" si="42"/>
        <v>SI</v>
      </c>
      <c r="U242" s="117" t="str">
        <f t="shared" si="43"/>
        <v>SI</v>
      </c>
      <c r="V242" s="117" t="str">
        <f t="shared" si="44"/>
        <v>NO</v>
      </c>
      <c r="W242" s="117" t="str">
        <f t="shared" si="45"/>
        <v>NO</v>
      </c>
      <c r="X242" s="132" t="b">
        <f t="shared" si="53"/>
        <v>0</v>
      </c>
    </row>
    <row r="243" spans="1:24" s="2" customFormat="1" ht="12" x14ac:dyDescent="0.15">
      <c r="A243" s="125" t="s">
        <v>87</v>
      </c>
      <c r="B243" s="139">
        <v>860004755</v>
      </c>
      <c r="C243" s="137" t="s">
        <v>343</v>
      </c>
      <c r="D243" s="137" t="s">
        <v>531</v>
      </c>
      <c r="E243" s="138">
        <v>1743945</v>
      </c>
      <c r="F243" s="138">
        <v>1743945</v>
      </c>
      <c r="G243" s="138">
        <v>342475</v>
      </c>
      <c r="H243" s="138">
        <v>380934</v>
      </c>
      <c r="I243" s="138">
        <v>1363011</v>
      </c>
      <c r="J243" s="138">
        <v>-600746</v>
      </c>
      <c r="K243" s="138">
        <v>165467</v>
      </c>
      <c r="L243" s="93">
        <f t="shared" si="46"/>
        <v>1401470</v>
      </c>
      <c r="M243" s="94">
        <f t="shared" si="47"/>
        <v>5.0921819110884003</v>
      </c>
      <c r="N243" s="94">
        <f t="shared" si="48"/>
        <v>0.21843234735040382</v>
      </c>
      <c r="O243" s="94"/>
      <c r="P243" s="94">
        <f t="shared" si="41"/>
        <v>-0.44074919424714842</v>
      </c>
      <c r="Q243" s="94">
        <f t="shared" si="50"/>
        <v>-0.34447531315494467</v>
      </c>
      <c r="R243" s="117" t="str">
        <f t="shared" si="51"/>
        <v>SI</v>
      </c>
      <c r="S243" s="117" t="str">
        <f t="shared" si="52"/>
        <v>SI</v>
      </c>
      <c r="T243" s="117" t="str">
        <f t="shared" si="42"/>
        <v>SI</v>
      </c>
      <c r="U243" s="117" t="str">
        <f t="shared" si="43"/>
        <v>NO</v>
      </c>
      <c r="V243" s="117" t="str">
        <f t="shared" si="44"/>
        <v>NO</v>
      </c>
      <c r="W243" s="117" t="str">
        <f t="shared" si="45"/>
        <v>NO</v>
      </c>
      <c r="X243" s="132" t="b">
        <f t="shared" si="53"/>
        <v>0</v>
      </c>
    </row>
    <row r="244" spans="1:24" s="2" customFormat="1" ht="12" x14ac:dyDescent="0.15">
      <c r="A244" s="125" t="s">
        <v>87</v>
      </c>
      <c r="B244" s="139">
        <v>860007229</v>
      </c>
      <c r="C244" s="137" t="s">
        <v>344</v>
      </c>
      <c r="D244" s="137" t="s">
        <v>531</v>
      </c>
      <c r="E244" s="138">
        <v>14944241</v>
      </c>
      <c r="F244" s="138">
        <v>33948219</v>
      </c>
      <c r="G244" s="138">
        <v>19507626</v>
      </c>
      <c r="H244" s="138">
        <v>26303165</v>
      </c>
      <c r="I244" s="138">
        <v>7645054</v>
      </c>
      <c r="J244" s="138">
        <v>433681</v>
      </c>
      <c r="K244" s="138"/>
      <c r="L244" s="93">
        <f t="shared" si="46"/>
        <v>-4563385</v>
      </c>
      <c r="M244" s="94">
        <f t="shared" si="47"/>
        <v>0.7660717403542594</v>
      </c>
      <c r="N244" s="94">
        <f t="shared" si="48"/>
        <v>0.77480250142135587</v>
      </c>
      <c r="O244" s="94" t="s">
        <v>108</v>
      </c>
      <c r="P244" s="94">
        <f t="shared" si="41"/>
        <v>5.6727002843930209E-2</v>
      </c>
      <c r="Q244" s="94">
        <f t="shared" si="50"/>
        <v>1.2774779142316714E-2</v>
      </c>
      <c r="R244" s="117" t="str">
        <f t="shared" si="51"/>
        <v>NO</v>
      </c>
      <c r="S244" s="117" t="str">
        <f t="shared" si="52"/>
        <v>NO</v>
      </c>
      <c r="T244" s="117" t="str">
        <f t="shared" si="42"/>
        <v>SI</v>
      </c>
      <c r="U244" s="117" t="str">
        <f t="shared" si="43"/>
        <v>SI</v>
      </c>
      <c r="V244" s="117" t="str">
        <f t="shared" si="44"/>
        <v>NO</v>
      </c>
      <c r="W244" s="117" t="str">
        <f t="shared" si="45"/>
        <v>NO</v>
      </c>
      <c r="X244" s="132" t="b">
        <f t="shared" si="53"/>
        <v>0</v>
      </c>
    </row>
    <row r="245" spans="1:24" s="2" customFormat="1" ht="12" x14ac:dyDescent="0.15">
      <c r="A245" s="125" t="s">
        <v>87</v>
      </c>
      <c r="B245" s="139">
        <v>860008424</v>
      </c>
      <c r="C245" s="137" t="s">
        <v>345</v>
      </c>
      <c r="D245" s="137" t="s">
        <v>531</v>
      </c>
      <c r="E245" s="138">
        <v>13716731</v>
      </c>
      <c r="F245" s="138">
        <v>16305659</v>
      </c>
      <c r="G245" s="138">
        <v>3121838</v>
      </c>
      <c r="H245" s="138">
        <v>3295805</v>
      </c>
      <c r="I245" s="138">
        <v>13009854</v>
      </c>
      <c r="J245" s="138">
        <v>6481939</v>
      </c>
      <c r="K245" s="138">
        <v>497856</v>
      </c>
      <c r="L245" s="93">
        <f t="shared" si="46"/>
        <v>10594893</v>
      </c>
      <c r="M245" s="94">
        <f t="shared" si="47"/>
        <v>4.3937997423312805</v>
      </c>
      <c r="N245" s="94">
        <f t="shared" si="48"/>
        <v>0.20212645192690465</v>
      </c>
      <c r="O245" s="94"/>
      <c r="P245" s="94">
        <f t="shared" si="41"/>
        <v>0.49823303166968669</v>
      </c>
      <c r="Q245" s="94">
        <f t="shared" si="50"/>
        <v>0.39752695674550781</v>
      </c>
      <c r="R245" s="117" t="str">
        <f t="shared" si="51"/>
        <v>SI</v>
      </c>
      <c r="S245" s="117" t="str">
        <f t="shared" si="52"/>
        <v>SI</v>
      </c>
      <c r="T245" s="117" t="str">
        <f t="shared" si="42"/>
        <v>SI</v>
      </c>
      <c r="U245" s="117" t="str">
        <f t="shared" si="43"/>
        <v>NO</v>
      </c>
      <c r="V245" s="117" t="str">
        <f t="shared" si="44"/>
        <v>SI</v>
      </c>
      <c r="W245" s="117" t="str">
        <f t="shared" si="45"/>
        <v>SI</v>
      </c>
      <c r="X245" s="132" t="b">
        <f t="shared" si="53"/>
        <v>0</v>
      </c>
    </row>
    <row r="246" spans="1:24" s="2" customFormat="1" ht="12" x14ac:dyDescent="0.15">
      <c r="A246" s="125" t="s">
        <v>87</v>
      </c>
      <c r="B246" s="139">
        <v>860031068</v>
      </c>
      <c r="C246" s="137" t="s">
        <v>346</v>
      </c>
      <c r="D246" s="137" t="s">
        <v>531</v>
      </c>
      <c r="E246" s="138">
        <v>60641232</v>
      </c>
      <c r="F246" s="138">
        <v>70637613</v>
      </c>
      <c r="G246" s="138">
        <v>20609116</v>
      </c>
      <c r="H246" s="138">
        <v>21680266</v>
      </c>
      <c r="I246" s="138">
        <v>48957347</v>
      </c>
      <c r="J246" s="138">
        <v>33935028</v>
      </c>
      <c r="K246" s="138">
        <v>1251655</v>
      </c>
      <c r="L246" s="93">
        <f t="shared" si="46"/>
        <v>40032116</v>
      </c>
      <c r="M246" s="94">
        <f t="shared" si="47"/>
        <v>2.9424470219877454</v>
      </c>
      <c r="N246" s="94">
        <f t="shared" si="48"/>
        <v>0.30692240407387494</v>
      </c>
      <c r="O246" s="94"/>
      <c r="P246" s="94">
        <f t="shared" si="41"/>
        <v>0.69315496201213678</v>
      </c>
      <c r="Q246" s="94">
        <f t="shared" si="50"/>
        <v>0.48041017467563635</v>
      </c>
      <c r="R246" s="117" t="str">
        <f t="shared" si="51"/>
        <v>SI</v>
      </c>
      <c r="S246" s="117" t="str">
        <f t="shared" si="52"/>
        <v>SI</v>
      </c>
      <c r="T246" s="117" t="str">
        <f t="shared" si="42"/>
        <v>SI</v>
      </c>
      <c r="U246" s="117" t="str">
        <f t="shared" si="43"/>
        <v>NO</v>
      </c>
      <c r="V246" s="117" t="str">
        <f t="shared" si="44"/>
        <v>SI</v>
      </c>
      <c r="W246" s="117" t="str">
        <f t="shared" si="45"/>
        <v>SI</v>
      </c>
      <c r="X246" s="132" t="b">
        <f t="shared" si="53"/>
        <v>0</v>
      </c>
    </row>
    <row r="247" spans="1:24" s="2" customFormat="1" ht="12" x14ac:dyDescent="0.15">
      <c r="A247" s="125" t="s">
        <v>87</v>
      </c>
      <c r="B247" s="139">
        <v>860042811</v>
      </c>
      <c r="C247" s="137" t="s">
        <v>347</v>
      </c>
      <c r="D247" s="137" t="s">
        <v>531</v>
      </c>
      <c r="E247" s="138">
        <v>1199973</v>
      </c>
      <c r="F247" s="138">
        <v>6864023</v>
      </c>
      <c r="G247" s="138">
        <v>81186</v>
      </c>
      <c r="H247" s="138">
        <v>123366</v>
      </c>
      <c r="I247" s="138">
        <v>6740657</v>
      </c>
      <c r="J247" s="138">
        <v>38544</v>
      </c>
      <c r="K247" s="138"/>
      <c r="L247" s="93">
        <f t="shared" si="46"/>
        <v>1118787</v>
      </c>
      <c r="M247" s="94"/>
      <c r="N247" s="94">
        <f t="shared" si="48"/>
        <v>1.7972841874218663E-2</v>
      </c>
      <c r="O247" s="94" t="s">
        <v>108</v>
      </c>
      <c r="P247" s="94">
        <f t="shared" si="41"/>
        <v>5.7181369709213802E-3</v>
      </c>
      <c r="Q247" s="94">
        <f t="shared" si="50"/>
        <v>5.6153657993278866E-3</v>
      </c>
      <c r="R247" s="117" t="str">
        <f t="shared" si="51"/>
        <v>SI</v>
      </c>
      <c r="S247" s="117" t="str">
        <f t="shared" si="52"/>
        <v>NO</v>
      </c>
      <c r="T247" s="117" t="str">
        <f t="shared" si="42"/>
        <v>SI</v>
      </c>
      <c r="U247" s="117" t="str">
        <f t="shared" si="43"/>
        <v>SI</v>
      </c>
      <c r="V247" s="117" t="str">
        <f t="shared" si="44"/>
        <v>NO</v>
      </c>
      <c r="W247" s="117" t="str">
        <f t="shared" si="45"/>
        <v>NO</v>
      </c>
      <c r="X247" s="132" t="b">
        <f t="shared" si="53"/>
        <v>0</v>
      </c>
    </row>
    <row r="248" spans="1:24" s="2" customFormat="1" ht="12" x14ac:dyDescent="0.15">
      <c r="A248" s="125" t="s">
        <v>87</v>
      </c>
      <c r="B248" s="139">
        <v>860043397</v>
      </c>
      <c r="C248" s="137" t="s">
        <v>348</v>
      </c>
      <c r="D248" s="137" t="s">
        <v>531</v>
      </c>
      <c r="E248" s="138">
        <v>4359452</v>
      </c>
      <c r="F248" s="138">
        <v>6525459</v>
      </c>
      <c r="G248" s="138">
        <v>2146219</v>
      </c>
      <c r="H248" s="138">
        <v>2146219</v>
      </c>
      <c r="I248" s="138">
        <v>4379240</v>
      </c>
      <c r="J248" s="138">
        <v>396820</v>
      </c>
      <c r="K248" s="138">
        <v>140658</v>
      </c>
      <c r="L248" s="93">
        <f t="shared" si="46"/>
        <v>2213233</v>
      </c>
      <c r="M248" s="94">
        <f t="shared" si="47"/>
        <v>2.0312242133724472</v>
      </c>
      <c r="N248" s="94">
        <f t="shared" si="48"/>
        <v>0.32889931574162062</v>
      </c>
      <c r="O248" s="94">
        <f t="shared" si="49"/>
        <v>2.8211690767677631</v>
      </c>
      <c r="P248" s="94">
        <f t="shared" si="41"/>
        <v>9.0613896475187472E-2</v>
      </c>
      <c r="Q248" s="94">
        <f t="shared" si="50"/>
        <v>6.0811047927816268E-2</v>
      </c>
      <c r="R248" s="117" t="str">
        <f t="shared" si="51"/>
        <v>SI</v>
      </c>
      <c r="S248" s="117" t="str">
        <f t="shared" si="52"/>
        <v>SI</v>
      </c>
      <c r="T248" s="117" t="str">
        <f t="shared" si="42"/>
        <v>SI</v>
      </c>
      <c r="U248" s="117" t="str">
        <f t="shared" si="43"/>
        <v>SI</v>
      </c>
      <c r="V248" s="117" t="str">
        <f t="shared" si="44"/>
        <v>NO</v>
      </c>
      <c r="W248" s="117" t="str">
        <f t="shared" si="45"/>
        <v>NO</v>
      </c>
      <c r="X248" s="132" t="b">
        <f t="shared" si="53"/>
        <v>0</v>
      </c>
    </row>
    <row r="249" spans="1:24" s="2" customFormat="1" ht="12" x14ac:dyDescent="0.15">
      <c r="A249" s="125" t="s">
        <v>87</v>
      </c>
      <c r="B249" s="139">
        <v>860051814</v>
      </c>
      <c r="C249" s="137" t="s">
        <v>349</v>
      </c>
      <c r="D249" s="137" t="s">
        <v>531</v>
      </c>
      <c r="E249" s="138">
        <v>18638210</v>
      </c>
      <c r="F249" s="138">
        <v>21092426</v>
      </c>
      <c r="G249" s="138">
        <v>10319660</v>
      </c>
      <c r="H249" s="138">
        <v>13249049</v>
      </c>
      <c r="I249" s="138">
        <v>7843377</v>
      </c>
      <c r="J249" s="138">
        <v>691666</v>
      </c>
      <c r="K249" s="138">
        <v>1115583</v>
      </c>
      <c r="L249" s="93">
        <f t="shared" si="46"/>
        <v>8318550</v>
      </c>
      <c r="M249" s="94">
        <f t="shared" si="47"/>
        <v>1.8060876036613609</v>
      </c>
      <c r="N249" s="94">
        <f t="shared" si="48"/>
        <v>0.62814249057931981</v>
      </c>
      <c r="O249" s="94">
        <f t="shared" si="49"/>
        <v>0.62000406962099641</v>
      </c>
      <c r="P249" s="94">
        <f t="shared" si="41"/>
        <v>8.8184719413589324E-2</v>
      </c>
      <c r="Q249" s="94">
        <f t="shared" si="50"/>
        <v>3.2792150130098834E-2</v>
      </c>
      <c r="R249" s="117" t="str">
        <f t="shared" si="51"/>
        <v>SI</v>
      </c>
      <c r="S249" s="117" t="str">
        <f t="shared" si="52"/>
        <v>SI</v>
      </c>
      <c r="T249" s="117" t="str">
        <f t="shared" si="42"/>
        <v>SI</v>
      </c>
      <c r="U249" s="117" t="str">
        <f t="shared" si="43"/>
        <v>NO</v>
      </c>
      <c r="V249" s="117" t="str">
        <f t="shared" si="44"/>
        <v>NO</v>
      </c>
      <c r="W249" s="117" t="str">
        <f t="shared" si="45"/>
        <v>NO</v>
      </c>
      <c r="X249" s="132" t="b">
        <f t="shared" si="53"/>
        <v>0</v>
      </c>
    </row>
    <row r="250" spans="1:24" s="2" customFormat="1" ht="12" x14ac:dyDescent="0.15">
      <c r="A250" s="125" t="s">
        <v>87</v>
      </c>
      <c r="B250" s="139">
        <v>860055371</v>
      </c>
      <c r="C250" s="137" t="s">
        <v>350</v>
      </c>
      <c r="D250" s="137" t="s">
        <v>531</v>
      </c>
      <c r="E250" s="138">
        <v>6917565</v>
      </c>
      <c r="F250" s="138">
        <v>14589354</v>
      </c>
      <c r="G250" s="138">
        <v>2857834</v>
      </c>
      <c r="H250" s="138">
        <v>5141649</v>
      </c>
      <c r="I250" s="138">
        <v>9447705</v>
      </c>
      <c r="J250" s="138">
        <v>110688</v>
      </c>
      <c r="K250" s="138">
        <v>751705</v>
      </c>
      <c r="L250" s="93">
        <f t="shared" si="46"/>
        <v>4059731</v>
      </c>
      <c r="M250" s="94">
        <f t="shared" si="47"/>
        <v>2.4205622159999498</v>
      </c>
      <c r="N250" s="94">
        <f t="shared" si="48"/>
        <v>0.35242472010755238</v>
      </c>
      <c r="O250" s="94">
        <f t="shared" si="49"/>
        <v>0.14724925336401912</v>
      </c>
      <c r="P250" s="94">
        <f t="shared" si="41"/>
        <v>1.1715861153581742E-2</v>
      </c>
      <c r="Q250" s="94">
        <f t="shared" si="50"/>
        <v>7.5869020657117515E-3</v>
      </c>
      <c r="R250" s="117" t="str">
        <f t="shared" si="51"/>
        <v>SI</v>
      </c>
      <c r="S250" s="117" t="str">
        <f t="shared" si="52"/>
        <v>SI</v>
      </c>
      <c r="T250" s="117" t="str">
        <f t="shared" si="42"/>
        <v>SI</v>
      </c>
      <c r="U250" s="117" t="str">
        <f t="shared" si="43"/>
        <v>NO</v>
      </c>
      <c r="V250" s="117" t="str">
        <f t="shared" si="44"/>
        <v>NO</v>
      </c>
      <c r="W250" s="117" t="str">
        <f t="shared" si="45"/>
        <v>NO</v>
      </c>
      <c r="X250" s="132" t="b">
        <f t="shared" si="53"/>
        <v>0</v>
      </c>
    </row>
    <row r="251" spans="1:24" s="2" customFormat="1" ht="12" x14ac:dyDescent="0.15">
      <c r="A251" s="125" t="s">
        <v>87</v>
      </c>
      <c r="B251" s="139">
        <v>860064146</v>
      </c>
      <c r="C251" s="137" t="s">
        <v>351</v>
      </c>
      <c r="D251" s="137" t="s">
        <v>531</v>
      </c>
      <c r="E251" s="138">
        <v>2606471</v>
      </c>
      <c r="F251" s="138">
        <v>3320630</v>
      </c>
      <c r="G251" s="138">
        <v>449358</v>
      </c>
      <c r="H251" s="138">
        <v>651938</v>
      </c>
      <c r="I251" s="138">
        <v>2668692</v>
      </c>
      <c r="J251" s="138">
        <v>283960</v>
      </c>
      <c r="K251" s="138"/>
      <c r="L251" s="93">
        <f t="shared" si="46"/>
        <v>2157113</v>
      </c>
      <c r="M251" s="94"/>
      <c r="N251" s="94">
        <f t="shared" si="48"/>
        <v>0.19632961215191094</v>
      </c>
      <c r="O251" s="94" t="s">
        <v>108</v>
      </c>
      <c r="P251" s="94">
        <f t="shared" si="41"/>
        <v>0.10640418602071726</v>
      </c>
      <c r="Q251" s="94">
        <f t="shared" si="50"/>
        <v>8.5513893447930062E-2</v>
      </c>
      <c r="R251" s="117" t="str">
        <f t="shared" si="51"/>
        <v>SI</v>
      </c>
      <c r="S251" s="117" t="str">
        <f t="shared" si="52"/>
        <v>NO</v>
      </c>
      <c r="T251" s="117" t="str">
        <f t="shared" si="42"/>
        <v>SI</v>
      </c>
      <c r="U251" s="117" t="str">
        <f t="shared" si="43"/>
        <v>SI</v>
      </c>
      <c r="V251" s="117" t="str">
        <f t="shared" si="44"/>
        <v>NO</v>
      </c>
      <c r="W251" s="117" t="str">
        <f t="shared" si="45"/>
        <v>NO</v>
      </c>
      <c r="X251" s="132" t="b">
        <f t="shared" si="53"/>
        <v>0</v>
      </c>
    </row>
    <row r="252" spans="1:24" s="2" customFormat="1" ht="12" x14ac:dyDescent="0.15">
      <c r="A252" s="125" t="s">
        <v>87</v>
      </c>
      <c r="B252" s="139">
        <v>860079475</v>
      </c>
      <c r="C252" s="137" t="s">
        <v>352</v>
      </c>
      <c r="D252" s="137" t="s">
        <v>531</v>
      </c>
      <c r="E252" s="138">
        <v>3180984</v>
      </c>
      <c r="F252" s="138">
        <v>8640625</v>
      </c>
      <c r="G252" s="138">
        <v>217395</v>
      </c>
      <c r="H252" s="138">
        <v>1758115</v>
      </c>
      <c r="I252" s="138">
        <v>6882510</v>
      </c>
      <c r="J252" s="138">
        <v>998505</v>
      </c>
      <c r="K252" s="138"/>
      <c r="L252" s="93">
        <f t="shared" si="46"/>
        <v>2963589</v>
      </c>
      <c r="M252" s="94"/>
      <c r="N252" s="94">
        <f t="shared" si="48"/>
        <v>0.20347081374321882</v>
      </c>
      <c r="O252" s="94" t="s">
        <v>108</v>
      </c>
      <c r="P252" s="94">
        <f t="shared" si="41"/>
        <v>0.1450786123085909</v>
      </c>
      <c r="Q252" s="94">
        <f t="shared" si="50"/>
        <v>0.11555934900542496</v>
      </c>
      <c r="R252" s="117" t="str">
        <f t="shared" si="51"/>
        <v>SI</v>
      </c>
      <c r="S252" s="117" t="str">
        <f t="shared" si="52"/>
        <v>NO</v>
      </c>
      <c r="T252" s="117" t="str">
        <f t="shared" si="42"/>
        <v>SI</v>
      </c>
      <c r="U252" s="117" t="str">
        <f t="shared" si="43"/>
        <v>SI</v>
      </c>
      <c r="V252" s="117" t="str">
        <f t="shared" si="44"/>
        <v>NO</v>
      </c>
      <c r="W252" s="117" t="str">
        <f t="shared" si="45"/>
        <v>SI</v>
      </c>
      <c r="X252" s="132" t="b">
        <f t="shared" si="53"/>
        <v>0</v>
      </c>
    </row>
    <row r="253" spans="1:24" s="2" customFormat="1" ht="12" x14ac:dyDescent="0.15">
      <c r="A253" s="125" t="s">
        <v>87</v>
      </c>
      <c r="B253" s="139">
        <v>860090324</v>
      </c>
      <c r="C253" s="137" t="s">
        <v>353</v>
      </c>
      <c r="D253" s="137" t="s">
        <v>531</v>
      </c>
      <c r="E253" s="138">
        <v>41501609</v>
      </c>
      <c r="F253" s="138">
        <v>44223689</v>
      </c>
      <c r="G253" s="138">
        <v>27616097</v>
      </c>
      <c r="H253" s="138">
        <v>29984633</v>
      </c>
      <c r="I253" s="138">
        <v>14239056</v>
      </c>
      <c r="J253" s="138">
        <v>8460091</v>
      </c>
      <c r="K253" s="138">
        <v>267104</v>
      </c>
      <c r="L253" s="93">
        <f t="shared" si="46"/>
        <v>13885512</v>
      </c>
      <c r="M253" s="94">
        <f t="shared" si="47"/>
        <v>1.5028050125982684</v>
      </c>
      <c r="N253" s="94">
        <f t="shared" si="48"/>
        <v>0.67802197595953606</v>
      </c>
      <c r="O253" s="94"/>
      <c r="P253" s="94">
        <f t="shared" si="41"/>
        <v>0.59414690131143522</v>
      </c>
      <c r="Q253" s="94">
        <f t="shared" si="50"/>
        <v>0.19130224527402045</v>
      </c>
      <c r="R253" s="117" t="str">
        <f t="shared" si="51"/>
        <v>SI</v>
      </c>
      <c r="S253" s="117" t="str">
        <f t="shared" si="52"/>
        <v>NO</v>
      </c>
      <c r="T253" s="117" t="str">
        <f t="shared" si="42"/>
        <v>SI</v>
      </c>
      <c r="U253" s="117" t="str">
        <f t="shared" si="43"/>
        <v>NO</v>
      </c>
      <c r="V253" s="117" t="str">
        <f t="shared" si="44"/>
        <v>SI</v>
      </c>
      <c r="W253" s="117" t="str">
        <f t="shared" si="45"/>
        <v>SI</v>
      </c>
      <c r="X253" s="132" t="b">
        <f t="shared" si="53"/>
        <v>0</v>
      </c>
    </row>
    <row r="254" spans="1:24" s="2" customFormat="1" ht="12" x14ac:dyDescent="0.15">
      <c r="A254" s="125" t="s">
        <v>87</v>
      </c>
      <c r="B254" s="139">
        <v>860351760</v>
      </c>
      <c r="C254" s="137" t="s">
        <v>354</v>
      </c>
      <c r="D254" s="137" t="s">
        <v>531</v>
      </c>
      <c r="E254" s="138">
        <v>188100</v>
      </c>
      <c r="F254" s="138">
        <v>188100</v>
      </c>
      <c r="G254" s="138">
        <v>80283</v>
      </c>
      <c r="H254" s="138">
        <v>80283</v>
      </c>
      <c r="I254" s="138">
        <v>107817</v>
      </c>
      <c r="J254" s="138">
        <v>146686</v>
      </c>
      <c r="K254" s="138"/>
      <c r="L254" s="93">
        <f t="shared" si="46"/>
        <v>107817</v>
      </c>
      <c r="M254" s="94">
        <f t="shared" si="47"/>
        <v>2.3429617727289713</v>
      </c>
      <c r="N254" s="94">
        <f t="shared" si="48"/>
        <v>0.42681020733652314</v>
      </c>
      <c r="O254" s="94" t="s">
        <v>108</v>
      </c>
      <c r="P254" s="94">
        <f t="shared" si="41"/>
        <v>1.3605090106383966</v>
      </c>
      <c r="Q254" s="94">
        <f t="shared" si="50"/>
        <v>0.77982987772461454</v>
      </c>
      <c r="R254" s="117" t="str">
        <f t="shared" si="51"/>
        <v>SI</v>
      </c>
      <c r="S254" s="117" t="str">
        <f t="shared" si="52"/>
        <v>SI</v>
      </c>
      <c r="T254" s="117" t="str">
        <f t="shared" si="42"/>
        <v>SI</v>
      </c>
      <c r="U254" s="117" t="str">
        <f t="shared" si="43"/>
        <v>SI</v>
      </c>
      <c r="V254" s="117" t="str">
        <f t="shared" si="44"/>
        <v>SI</v>
      </c>
      <c r="W254" s="117" t="str">
        <f t="shared" si="45"/>
        <v>SI</v>
      </c>
      <c r="X254" s="132" t="str">
        <f t="shared" si="53"/>
        <v>SI</v>
      </c>
    </row>
    <row r="255" spans="1:24" s="2" customFormat="1" ht="12" x14ac:dyDescent="0.15">
      <c r="A255" s="125" t="s">
        <v>87</v>
      </c>
      <c r="B255" s="139">
        <v>860450913</v>
      </c>
      <c r="C255" s="137" t="s">
        <v>355</v>
      </c>
      <c r="D255" s="137" t="s">
        <v>531</v>
      </c>
      <c r="E255" s="138">
        <v>4281931</v>
      </c>
      <c r="F255" s="138">
        <v>34285691</v>
      </c>
      <c r="G255" s="138">
        <v>2315434</v>
      </c>
      <c r="H255" s="138">
        <v>33543282</v>
      </c>
      <c r="I255" s="138">
        <v>742409</v>
      </c>
      <c r="J255" s="138">
        <v>-651058</v>
      </c>
      <c r="K255" s="138">
        <v>3875527</v>
      </c>
      <c r="L255" s="93">
        <f t="shared" si="46"/>
        <v>1966497</v>
      </c>
      <c r="M255" s="94">
        <f t="shared" si="47"/>
        <v>1.8492995265682373</v>
      </c>
      <c r="N255" s="94">
        <f t="shared" si="48"/>
        <v>0.9783463894602562</v>
      </c>
      <c r="O255" s="94"/>
      <c r="P255" s="94">
        <f t="shared" si="41"/>
        <v>-0.87695326969365939</v>
      </c>
      <c r="Q255" s="94">
        <f t="shared" si="50"/>
        <v>-1.8989204563501432E-2</v>
      </c>
      <c r="R255" s="117" t="str">
        <f t="shared" si="51"/>
        <v>SI</v>
      </c>
      <c r="S255" s="117" t="str">
        <f t="shared" si="52"/>
        <v>SI</v>
      </c>
      <c r="T255" s="117" t="str">
        <f t="shared" si="42"/>
        <v>SI</v>
      </c>
      <c r="U255" s="117" t="str">
        <f t="shared" si="43"/>
        <v>NO</v>
      </c>
      <c r="V255" s="117" t="str">
        <f t="shared" si="44"/>
        <v>NO</v>
      </c>
      <c r="W255" s="117" t="str">
        <f t="shared" si="45"/>
        <v>NO</v>
      </c>
      <c r="X255" s="132" t="b">
        <f t="shared" si="53"/>
        <v>0</v>
      </c>
    </row>
    <row r="256" spans="1:24" s="2" customFormat="1" ht="12" x14ac:dyDescent="0.15">
      <c r="A256" s="125" t="s">
        <v>87</v>
      </c>
      <c r="B256" s="139">
        <v>860500689</v>
      </c>
      <c r="C256" s="137" t="s">
        <v>356</v>
      </c>
      <c r="D256" s="137" t="s">
        <v>531</v>
      </c>
      <c r="E256" s="138">
        <v>9959651</v>
      </c>
      <c r="F256" s="138">
        <v>10667015</v>
      </c>
      <c r="G256" s="138">
        <v>4025270</v>
      </c>
      <c r="H256" s="138">
        <v>4025270</v>
      </c>
      <c r="I256" s="138">
        <v>6641745</v>
      </c>
      <c r="J256" s="138">
        <v>2402754</v>
      </c>
      <c r="K256" s="138">
        <v>420120</v>
      </c>
      <c r="L256" s="93">
        <f t="shared" si="46"/>
        <v>5934381</v>
      </c>
      <c r="M256" s="94">
        <f t="shared" si="47"/>
        <v>2.4742814767705021</v>
      </c>
      <c r="N256" s="94">
        <f t="shared" si="48"/>
        <v>0.37735673944397752</v>
      </c>
      <c r="O256" s="94"/>
      <c r="P256" s="94">
        <f t="shared" si="41"/>
        <v>0.36176546976735785</v>
      </c>
      <c r="Q256" s="94">
        <f t="shared" si="50"/>
        <v>0.22525083165252885</v>
      </c>
      <c r="R256" s="117" t="str">
        <f t="shared" si="51"/>
        <v>SI</v>
      </c>
      <c r="S256" s="117" t="str">
        <f t="shared" si="52"/>
        <v>SI</v>
      </c>
      <c r="T256" s="117" t="str">
        <f t="shared" si="42"/>
        <v>SI</v>
      </c>
      <c r="U256" s="117" t="str">
        <f t="shared" si="43"/>
        <v>NO</v>
      </c>
      <c r="V256" s="117" t="str">
        <f t="shared" si="44"/>
        <v>SI</v>
      </c>
      <c r="W256" s="117" t="str">
        <f t="shared" si="45"/>
        <v>SI</v>
      </c>
      <c r="X256" s="132" t="b">
        <f t="shared" si="53"/>
        <v>0</v>
      </c>
    </row>
    <row r="257" spans="1:24" s="2" customFormat="1" ht="12" x14ac:dyDescent="0.15">
      <c r="A257" s="125" t="s">
        <v>87</v>
      </c>
      <c r="B257" s="139">
        <v>860502682</v>
      </c>
      <c r="C257" s="137" t="s">
        <v>357</v>
      </c>
      <c r="D257" s="137" t="s">
        <v>531</v>
      </c>
      <c r="E257" s="138">
        <v>28689810</v>
      </c>
      <c r="F257" s="138">
        <v>29813175</v>
      </c>
      <c r="G257" s="138">
        <v>2110404</v>
      </c>
      <c r="H257" s="138">
        <v>2954995</v>
      </c>
      <c r="I257" s="138">
        <v>26858180</v>
      </c>
      <c r="J257" s="138">
        <v>4219011</v>
      </c>
      <c r="K257" s="138"/>
      <c r="L257" s="93">
        <f t="shared" si="46"/>
        <v>26579406</v>
      </c>
      <c r="M257" s="94"/>
      <c r="N257" s="94">
        <f t="shared" si="48"/>
        <v>9.911708498004658E-2</v>
      </c>
      <c r="O257" s="94" t="s">
        <v>108</v>
      </c>
      <c r="P257" s="94">
        <f t="shared" si="41"/>
        <v>0.15708476896051779</v>
      </c>
      <c r="Q257" s="94">
        <f t="shared" si="50"/>
        <v>0.14151498456638717</v>
      </c>
      <c r="R257" s="117" t="str">
        <f t="shared" si="51"/>
        <v>SI</v>
      </c>
      <c r="S257" s="117" t="str">
        <f t="shared" si="52"/>
        <v>NO</v>
      </c>
      <c r="T257" s="117" t="str">
        <f t="shared" si="42"/>
        <v>SI</v>
      </c>
      <c r="U257" s="117" t="str">
        <f t="shared" si="43"/>
        <v>SI</v>
      </c>
      <c r="V257" s="117" t="str">
        <f t="shared" si="44"/>
        <v>NO</v>
      </c>
      <c r="W257" s="117" t="str">
        <f t="shared" si="45"/>
        <v>SI</v>
      </c>
      <c r="X257" s="132" t="b">
        <f t="shared" si="53"/>
        <v>0</v>
      </c>
    </row>
    <row r="258" spans="1:24" s="2" customFormat="1" ht="12" x14ac:dyDescent="0.15">
      <c r="A258" s="125" t="s">
        <v>87</v>
      </c>
      <c r="B258" s="139">
        <v>860509225</v>
      </c>
      <c r="C258" s="137" t="s">
        <v>358</v>
      </c>
      <c r="D258" s="137" t="s">
        <v>531</v>
      </c>
      <c r="E258" s="138">
        <v>22267043</v>
      </c>
      <c r="F258" s="138">
        <v>24677838</v>
      </c>
      <c r="G258" s="138">
        <v>15887040</v>
      </c>
      <c r="H258" s="138">
        <v>21291494</v>
      </c>
      <c r="I258" s="138">
        <v>3386344</v>
      </c>
      <c r="J258" s="138">
        <v>3876133</v>
      </c>
      <c r="K258" s="138"/>
      <c r="L258" s="93">
        <f t="shared" si="46"/>
        <v>6380003</v>
      </c>
      <c r="M258" s="94">
        <f t="shared" si="47"/>
        <v>1.4015853802848108</v>
      </c>
      <c r="N258" s="94">
        <f t="shared" si="48"/>
        <v>0.86277793054642793</v>
      </c>
      <c r="O258" s="94" t="s">
        <v>108</v>
      </c>
      <c r="P258" s="94">
        <f t="shared" si="41"/>
        <v>1.1446365165500021</v>
      </c>
      <c r="Q258" s="94">
        <f t="shared" si="50"/>
        <v>0.15706939157311917</v>
      </c>
      <c r="R258" s="117" t="str">
        <f t="shared" si="51"/>
        <v>SI</v>
      </c>
      <c r="S258" s="117" t="str">
        <f t="shared" si="52"/>
        <v>NO</v>
      </c>
      <c r="T258" s="117" t="str">
        <f t="shared" si="42"/>
        <v>SI</v>
      </c>
      <c r="U258" s="117" t="str">
        <f t="shared" si="43"/>
        <v>SI</v>
      </c>
      <c r="V258" s="117" t="str">
        <f t="shared" si="44"/>
        <v>SI</v>
      </c>
      <c r="W258" s="117" t="str">
        <f t="shared" si="45"/>
        <v>SI</v>
      </c>
      <c r="X258" s="132" t="b">
        <f t="shared" si="53"/>
        <v>0</v>
      </c>
    </row>
    <row r="259" spans="1:24" s="2" customFormat="1" ht="12" x14ac:dyDescent="0.15">
      <c r="A259" s="125" t="s">
        <v>87</v>
      </c>
      <c r="B259" s="139">
        <v>860516281</v>
      </c>
      <c r="C259" s="137" t="s">
        <v>359</v>
      </c>
      <c r="D259" s="137" t="s">
        <v>531</v>
      </c>
      <c r="E259" s="138">
        <v>9000932</v>
      </c>
      <c r="F259" s="138">
        <v>10553418</v>
      </c>
      <c r="G259" s="138">
        <v>4982929</v>
      </c>
      <c r="H259" s="138">
        <v>5567884</v>
      </c>
      <c r="I259" s="138">
        <v>4985534</v>
      </c>
      <c r="J259" s="138">
        <v>773630</v>
      </c>
      <c r="K259" s="138"/>
      <c r="L259" s="93">
        <f t="shared" si="46"/>
        <v>4018003</v>
      </c>
      <c r="M259" s="94">
        <f t="shared" si="47"/>
        <v>1.8063536526408464</v>
      </c>
      <c r="N259" s="94">
        <f t="shared" si="48"/>
        <v>0.52759058723912955</v>
      </c>
      <c r="O259" s="94" t="s">
        <v>108</v>
      </c>
      <c r="P259" s="94">
        <f t="shared" si="41"/>
        <v>0.15517495217162294</v>
      </c>
      <c r="Q259" s="94">
        <f t="shared" si="50"/>
        <v>7.3306108030592551E-2</v>
      </c>
      <c r="R259" s="117" t="str">
        <f t="shared" si="51"/>
        <v>SI</v>
      </c>
      <c r="S259" s="117" t="str">
        <f t="shared" si="52"/>
        <v>SI</v>
      </c>
      <c r="T259" s="117" t="str">
        <f t="shared" si="42"/>
        <v>SI</v>
      </c>
      <c r="U259" s="117" t="str">
        <f t="shared" si="43"/>
        <v>SI</v>
      </c>
      <c r="V259" s="117" t="str">
        <f t="shared" si="44"/>
        <v>NO</v>
      </c>
      <c r="W259" s="117" t="str">
        <f t="shared" si="45"/>
        <v>NO</v>
      </c>
      <c r="X259" s="132" t="b">
        <f t="shared" si="53"/>
        <v>0</v>
      </c>
    </row>
    <row r="260" spans="1:24" s="2" customFormat="1" ht="12" x14ac:dyDescent="0.15">
      <c r="A260" s="125" t="s">
        <v>87</v>
      </c>
      <c r="B260" s="139">
        <v>860518299</v>
      </c>
      <c r="C260" s="137" t="s">
        <v>360</v>
      </c>
      <c r="D260" s="137" t="s">
        <v>531</v>
      </c>
      <c r="E260" s="138">
        <v>29322170</v>
      </c>
      <c r="F260" s="138">
        <v>34549622</v>
      </c>
      <c r="G260" s="138">
        <v>15627751</v>
      </c>
      <c r="H260" s="138">
        <v>28000970</v>
      </c>
      <c r="I260" s="138">
        <v>6548652</v>
      </c>
      <c r="J260" s="138">
        <v>291265</v>
      </c>
      <c r="K260" s="138">
        <v>2379787</v>
      </c>
      <c r="L260" s="93">
        <f t="shared" si="46"/>
        <v>13694419</v>
      </c>
      <c r="M260" s="94">
        <f t="shared" si="47"/>
        <v>1.876288533135702</v>
      </c>
      <c r="N260" s="94">
        <f t="shared" si="48"/>
        <v>0.81045662380908245</v>
      </c>
      <c r="O260" s="94">
        <f t="shared" si="49"/>
        <v>0.12239120559949272</v>
      </c>
      <c r="P260" s="94">
        <f t="shared" si="41"/>
        <v>4.4477092384814461E-2</v>
      </c>
      <c r="Q260" s="94">
        <f t="shared" si="50"/>
        <v>8.4303382537730797E-3</v>
      </c>
      <c r="R260" s="117" t="str">
        <f t="shared" si="51"/>
        <v>SI</v>
      </c>
      <c r="S260" s="117" t="str">
        <f t="shared" si="52"/>
        <v>SI</v>
      </c>
      <c r="T260" s="117" t="str">
        <f t="shared" si="42"/>
        <v>SI</v>
      </c>
      <c r="U260" s="117" t="str">
        <f t="shared" si="43"/>
        <v>NO</v>
      </c>
      <c r="V260" s="117" t="str">
        <f t="shared" si="44"/>
        <v>NO</v>
      </c>
      <c r="W260" s="117" t="str">
        <f t="shared" si="45"/>
        <v>NO</v>
      </c>
      <c r="X260" s="132" t="b">
        <f t="shared" si="53"/>
        <v>0</v>
      </c>
    </row>
    <row r="261" spans="1:24" s="2" customFormat="1" ht="12" x14ac:dyDescent="0.15">
      <c r="A261" s="125" t="s">
        <v>87</v>
      </c>
      <c r="B261" s="139">
        <v>860526532</v>
      </c>
      <c r="C261" s="137" t="s">
        <v>361</v>
      </c>
      <c r="D261" s="137" t="s">
        <v>531</v>
      </c>
      <c r="E261" s="138">
        <v>3975391</v>
      </c>
      <c r="F261" s="138">
        <v>6107646</v>
      </c>
      <c r="G261" s="138">
        <v>2958886</v>
      </c>
      <c r="H261" s="138">
        <v>2958886</v>
      </c>
      <c r="I261" s="138">
        <v>3148760</v>
      </c>
      <c r="J261" s="138">
        <v>865321</v>
      </c>
      <c r="K261" s="138">
        <v>97124</v>
      </c>
      <c r="L261" s="93">
        <f t="shared" si="46"/>
        <v>1016505</v>
      </c>
      <c r="M261" s="94">
        <f t="shared" si="47"/>
        <v>1.3435431442779477</v>
      </c>
      <c r="N261" s="94">
        <f t="shared" si="48"/>
        <v>0.48445604083799226</v>
      </c>
      <c r="O261" s="94"/>
      <c r="P261" s="94">
        <f t="shared" si="41"/>
        <v>0.27481325982291444</v>
      </c>
      <c r="Q261" s="94">
        <f t="shared" si="50"/>
        <v>0.14167831599932282</v>
      </c>
      <c r="R261" s="117" t="str">
        <f t="shared" si="51"/>
        <v>SI</v>
      </c>
      <c r="S261" s="117" t="str">
        <f t="shared" si="52"/>
        <v>NO</v>
      </c>
      <c r="T261" s="117" t="str">
        <f t="shared" si="42"/>
        <v>SI</v>
      </c>
      <c r="U261" s="117" t="str">
        <f t="shared" si="43"/>
        <v>NO</v>
      </c>
      <c r="V261" s="117" t="str">
        <f t="shared" si="44"/>
        <v>SI</v>
      </c>
      <c r="W261" s="117" t="str">
        <f t="shared" si="45"/>
        <v>SI</v>
      </c>
      <c r="X261" s="132" t="b">
        <f t="shared" si="53"/>
        <v>0</v>
      </c>
    </row>
    <row r="262" spans="1:24" s="2" customFormat="1" ht="12" x14ac:dyDescent="0.15">
      <c r="A262" s="125" t="s">
        <v>95</v>
      </c>
      <c r="B262" s="139">
        <v>860526809</v>
      </c>
      <c r="C262" s="137" t="s">
        <v>362</v>
      </c>
      <c r="D262" s="137" t="s">
        <v>531</v>
      </c>
      <c r="E262" s="138">
        <v>18638452</v>
      </c>
      <c r="F262" s="138">
        <v>24821312</v>
      </c>
      <c r="G262" s="138">
        <v>10570311</v>
      </c>
      <c r="H262" s="138">
        <v>14850949</v>
      </c>
      <c r="I262" s="138">
        <v>9970363</v>
      </c>
      <c r="J262" s="138">
        <v>3401511</v>
      </c>
      <c r="K262" s="138">
        <v>1705227</v>
      </c>
      <c r="L262" s="93">
        <f t="shared" si="46"/>
        <v>8068141</v>
      </c>
      <c r="M262" s="94">
        <f t="shared" si="47"/>
        <v>1.7632832184407818</v>
      </c>
      <c r="N262" s="94">
        <f t="shared" si="48"/>
        <v>0.59831442431407333</v>
      </c>
      <c r="O262" s="94">
        <f t="shared" si="49"/>
        <v>1.9947555369461074</v>
      </c>
      <c r="P262" s="94">
        <f t="shared" si="41"/>
        <v>0.34116220241931011</v>
      </c>
      <c r="Q262" s="94">
        <f t="shared" si="50"/>
        <v>0.13703993568107922</v>
      </c>
      <c r="R262" s="117" t="str">
        <f t="shared" si="51"/>
        <v>SI</v>
      </c>
      <c r="S262" s="117" t="str">
        <f t="shared" si="52"/>
        <v>NO</v>
      </c>
      <c r="T262" s="117" t="str">
        <f t="shared" si="42"/>
        <v>SI</v>
      </c>
      <c r="U262" s="117" t="str">
        <f t="shared" si="43"/>
        <v>SI</v>
      </c>
      <c r="V262" s="117" t="str">
        <f t="shared" si="44"/>
        <v>SI</v>
      </c>
      <c r="W262" s="117" t="str">
        <f t="shared" si="45"/>
        <v>SI</v>
      </c>
      <c r="X262" s="132" t="b">
        <f t="shared" si="53"/>
        <v>0</v>
      </c>
    </row>
    <row r="263" spans="1:24" s="2" customFormat="1" ht="12" x14ac:dyDescent="0.15">
      <c r="A263" s="125" t="s">
        <v>95</v>
      </c>
      <c r="B263" s="139">
        <v>860534810</v>
      </c>
      <c r="C263" s="137" t="s">
        <v>363</v>
      </c>
      <c r="D263" s="137" t="s">
        <v>531</v>
      </c>
      <c r="E263" s="138">
        <v>9511159</v>
      </c>
      <c r="F263" s="138">
        <v>14096242</v>
      </c>
      <c r="G263" s="138">
        <v>2150417</v>
      </c>
      <c r="H263" s="138">
        <v>8349070</v>
      </c>
      <c r="I263" s="138">
        <v>5747172</v>
      </c>
      <c r="J263" s="138">
        <v>1570182</v>
      </c>
      <c r="K263" s="138"/>
      <c r="L263" s="93">
        <f t="shared" si="46"/>
        <v>7360742</v>
      </c>
      <c r="M263" s="94"/>
      <c r="N263" s="94">
        <f t="shared" si="48"/>
        <v>0.59229048422976849</v>
      </c>
      <c r="O263" s="94" t="s">
        <v>108</v>
      </c>
      <c r="P263" s="94">
        <f t="shared" si="41"/>
        <v>0.27320950199506816</v>
      </c>
      <c r="Q263" s="94">
        <f t="shared" si="50"/>
        <v>0.11139011376223536</v>
      </c>
      <c r="R263" s="117" t="str">
        <f t="shared" si="51"/>
        <v>SI</v>
      </c>
      <c r="S263" s="117" t="str">
        <f t="shared" si="52"/>
        <v>NO</v>
      </c>
      <c r="T263" s="117" t="str">
        <f t="shared" si="42"/>
        <v>SI</v>
      </c>
      <c r="U263" s="117" t="str">
        <f t="shared" si="43"/>
        <v>SI</v>
      </c>
      <c r="V263" s="117" t="str">
        <f t="shared" si="44"/>
        <v>SI</v>
      </c>
      <c r="W263" s="117" t="str">
        <f t="shared" si="45"/>
        <v>SI</v>
      </c>
      <c r="X263" s="132" t="b">
        <f t="shared" si="53"/>
        <v>0</v>
      </c>
    </row>
    <row r="264" spans="1:24" s="2" customFormat="1" ht="12" x14ac:dyDescent="0.15">
      <c r="A264" s="125" t="s">
        <v>95</v>
      </c>
      <c r="B264" s="139">
        <v>890101001</v>
      </c>
      <c r="C264" s="137" t="s">
        <v>364</v>
      </c>
      <c r="D264" s="137" t="s">
        <v>531</v>
      </c>
      <c r="E264" s="138">
        <v>3870599</v>
      </c>
      <c r="F264" s="138">
        <v>5701801</v>
      </c>
      <c r="G264" s="138">
        <v>2355433</v>
      </c>
      <c r="H264" s="138">
        <v>4235556</v>
      </c>
      <c r="I264" s="138">
        <v>1466245</v>
      </c>
      <c r="J264" s="138">
        <v>195927</v>
      </c>
      <c r="K264" s="138"/>
      <c r="L264" s="93">
        <f t="shared" si="46"/>
        <v>1515166</v>
      </c>
      <c r="M264" s="94">
        <f t="shared" si="47"/>
        <v>1.6432643170066821</v>
      </c>
      <c r="N264" s="94">
        <f t="shared" si="48"/>
        <v>0.74284528695406937</v>
      </c>
      <c r="O264" s="94" t="s">
        <v>108</v>
      </c>
      <c r="P264" s="94">
        <f t="shared" si="41"/>
        <v>0.13362500809891936</v>
      </c>
      <c r="Q264" s="94">
        <f t="shared" si="50"/>
        <v>3.4362300613437757E-2</v>
      </c>
      <c r="R264" s="117" t="str">
        <f t="shared" si="51"/>
        <v>SI</v>
      </c>
      <c r="S264" s="117" t="str">
        <f t="shared" si="52"/>
        <v>NO</v>
      </c>
      <c r="T264" s="117" t="str">
        <f t="shared" si="42"/>
        <v>SI</v>
      </c>
      <c r="U264" s="117" t="str">
        <f t="shared" si="43"/>
        <v>SI</v>
      </c>
      <c r="V264" s="117" t="str">
        <f t="shared" si="44"/>
        <v>NO</v>
      </c>
      <c r="W264" s="117" t="str">
        <f t="shared" si="45"/>
        <v>NO</v>
      </c>
      <c r="X264" s="132" t="b">
        <f t="shared" si="53"/>
        <v>0</v>
      </c>
    </row>
    <row r="265" spans="1:24" s="2" customFormat="1" ht="12" x14ac:dyDescent="0.15">
      <c r="A265" s="125" t="s">
        <v>95</v>
      </c>
      <c r="B265" s="139">
        <v>890101977</v>
      </c>
      <c r="C265" s="137" t="s">
        <v>365</v>
      </c>
      <c r="D265" s="137" t="s">
        <v>531</v>
      </c>
      <c r="E265" s="138">
        <v>12183542</v>
      </c>
      <c r="F265" s="138">
        <v>16661320</v>
      </c>
      <c r="G265" s="138">
        <v>3940458</v>
      </c>
      <c r="H265" s="138">
        <v>6543124</v>
      </c>
      <c r="I265" s="138">
        <v>10118196</v>
      </c>
      <c r="J265" s="138">
        <v>2595378</v>
      </c>
      <c r="K265" s="138">
        <v>167920</v>
      </c>
      <c r="L265" s="93">
        <f t="shared" si="46"/>
        <v>8243084</v>
      </c>
      <c r="M265" s="94">
        <f t="shared" si="47"/>
        <v>3.0919101282135224</v>
      </c>
      <c r="N265" s="94">
        <f t="shared" si="48"/>
        <v>0.39271342246592705</v>
      </c>
      <c r="O265" s="94"/>
      <c r="P265" s="94">
        <f t="shared" si="41"/>
        <v>0.25650600166274701</v>
      </c>
      <c r="Q265" s="94">
        <f t="shared" si="50"/>
        <v>0.15577265186671885</v>
      </c>
      <c r="R265" s="117" t="str">
        <f t="shared" si="51"/>
        <v>SI</v>
      </c>
      <c r="S265" s="117" t="str">
        <f t="shared" si="52"/>
        <v>SI</v>
      </c>
      <c r="T265" s="117" t="str">
        <f t="shared" si="42"/>
        <v>SI</v>
      </c>
      <c r="U265" s="117" t="str">
        <f t="shared" si="43"/>
        <v>NO</v>
      </c>
      <c r="V265" s="117" t="str">
        <f t="shared" si="44"/>
        <v>SI</v>
      </c>
      <c r="W265" s="117" t="str">
        <f t="shared" si="45"/>
        <v>SI</v>
      </c>
      <c r="X265" s="132" t="b">
        <f t="shared" si="53"/>
        <v>0</v>
      </c>
    </row>
    <row r="266" spans="1:24" s="2" customFormat="1" ht="12" x14ac:dyDescent="0.15">
      <c r="A266" s="125" t="s">
        <v>95</v>
      </c>
      <c r="B266" s="139">
        <v>890111918</v>
      </c>
      <c r="C266" s="137" t="s">
        <v>366</v>
      </c>
      <c r="D266" s="137" t="s">
        <v>531</v>
      </c>
      <c r="E266" s="138">
        <v>9355384</v>
      </c>
      <c r="F266" s="138">
        <v>13967808</v>
      </c>
      <c r="G266" s="138">
        <v>4505711</v>
      </c>
      <c r="H266" s="138">
        <v>11425578</v>
      </c>
      <c r="I266" s="138">
        <v>2542230</v>
      </c>
      <c r="J266" s="138">
        <v>26086</v>
      </c>
      <c r="K266" s="138">
        <v>2726</v>
      </c>
      <c r="L266" s="93">
        <f t="shared" si="46"/>
        <v>4849673</v>
      </c>
      <c r="M266" s="94">
        <f t="shared" si="47"/>
        <v>2.0763391171781769</v>
      </c>
      <c r="N266" s="94">
        <f t="shared" si="48"/>
        <v>0.81799363221487575</v>
      </c>
      <c r="O266" s="94"/>
      <c r="P266" s="94">
        <f t="shared" si="41"/>
        <v>1.0261070005467641E-2</v>
      </c>
      <c r="Q266" s="94">
        <f t="shared" si="50"/>
        <v>1.8675800812840498E-3</v>
      </c>
      <c r="R266" s="117" t="str">
        <f t="shared" si="51"/>
        <v>SI</v>
      </c>
      <c r="S266" s="117" t="str">
        <f t="shared" si="52"/>
        <v>SI</v>
      </c>
      <c r="T266" s="117" t="str">
        <f t="shared" si="42"/>
        <v>SI</v>
      </c>
      <c r="U266" s="117" t="str">
        <f t="shared" si="43"/>
        <v>NO</v>
      </c>
      <c r="V266" s="117" t="str">
        <f t="shared" si="44"/>
        <v>NO</v>
      </c>
      <c r="W266" s="117" t="str">
        <f t="shared" si="45"/>
        <v>NO</v>
      </c>
      <c r="X266" s="132" t="b">
        <f t="shared" si="53"/>
        <v>0</v>
      </c>
    </row>
    <row r="267" spans="1:24" s="2" customFormat="1" ht="12" x14ac:dyDescent="0.15">
      <c r="A267" s="125" t="s">
        <v>84</v>
      </c>
      <c r="B267" s="139">
        <v>890208730</v>
      </c>
      <c r="C267" s="137" t="s">
        <v>367</v>
      </c>
      <c r="D267" s="137" t="s">
        <v>531</v>
      </c>
      <c r="E267" s="138">
        <v>27070498</v>
      </c>
      <c r="F267" s="138">
        <v>29025293</v>
      </c>
      <c r="G267" s="138">
        <v>20294956</v>
      </c>
      <c r="H267" s="138">
        <v>24865562</v>
      </c>
      <c r="I267" s="138">
        <v>4159731</v>
      </c>
      <c r="J267" s="138">
        <v>-359927</v>
      </c>
      <c r="K267" s="138"/>
      <c r="L267" s="93">
        <f t="shared" si="46"/>
        <v>6775542</v>
      </c>
      <c r="M267" s="94">
        <f t="shared" si="47"/>
        <v>1.3338534954202415</v>
      </c>
      <c r="N267" s="94">
        <f t="shared" si="48"/>
        <v>0.85668599452208805</v>
      </c>
      <c r="O267" s="94" t="s">
        <v>108</v>
      </c>
      <c r="P267" s="94">
        <f t="shared" si="41"/>
        <v>-8.6526508565097124E-2</v>
      </c>
      <c r="Q267" s="94">
        <f t="shared" si="50"/>
        <v>-1.2400460522482925E-2</v>
      </c>
      <c r="R267" s="117" t="str">
        <f t="shared" si="51"/>
        <v>SI</v>
      </c>
      <c r="S267" s="117" t="str">
        <f t="shared" si="52"/>
        <v>NO</v>
      </c>
      <c r="T267" s="117" t="str">
        <f t="shared" si="42"/>
        <v>SI</v>
      </c>
      <c r="U267" s="117" t="str">
        <f t="shared" si="43"/>
        <v>SI</v>
      </c>
      <c r="V267" s="117" t="str">
        <f t="shared" si="44"/>
        <v>NO</v>
      </c>
      <c r="W267" s="117" t="str">
        <f t="shared" si="45"/>
        <v>NO</v>
      </c>
      <c r="X267" s="132" t="b">
        <f t="shared" si="53"/>
        <v>0</v>
      </c>
    </row>
    <row r="268" spans="1:24" s="2" customFormat="1" ht="12" x14ac:dyDescent="0.15">
      <c r="A268" s="125" t="s">
        <v>84</v>
      </c>
      <c r="B268" s="139">
        <v>890306166</v>
      </c>
      <c r="C268" s="137" t="s">
        <v>368</v>
      </c>
      <c r="D268" s="137" t="s">
        <v>531</v>
      </c>
      <c r="E268" s="138">
        <v>2716548</v>
      </c>
      <c r="F268" s="138">
        <v>2785011</v>
      </c>
      <c r="G268" s="138">
        <v>268298</v>
      </c>
      <c r="H268" s="138">
        <v>341374</v>
      </c>
      <c r="I268" s="138">
        <v>2443637</v>
      </c>
      <c r="J268" s="138">
        <v>39893</v>
      </c>
      <c r="K268" s="138"/>
      <c r="L268" s="93">
        <f t="shared" si="46"/>
        <v>2448250</v>
      </c>
      <c r="M268" s="94"/>
      <c r="N268" s="94">
        <f t="shared" si="48"/>
        <v>0.12257545840932046</v>
      </c>
      <c r="O268" s="94" t="s">
        <v>108</v>
      </c>
      <c r="P268" s="94">
        <f t="shared" si="41"/>
        <v>1.6325256165297872E-2</v>
      </c>
      <c r="Q268" s="94">
        <f t="shared" si="50"/>
        <v>1.4324180407186901E-2</v>
      </c>
      <c r="R268" s="117" t="str">
        <f t="shared" si="51"/>
        <v>SI</v>
      </c>
      <c r="S268" s="117" t="str">
        <f t="shared" si="52"/>
        <v>NO</v>
      </c>
      <c r="T268" s="117" t="str">
        <f t="shared" si="42"/>
        <v>SI</v>
      </c>
      <c r="U268" s="117" t="str">
        <f t="shared" si="43"/>
        <v>SI</v>
      </c>
      <c r="V268" s="117" t="str">
        <f t="shared" si="44"/>
        <v>NO</v>
      </c>
      <c r="W268" s="117" t="str">
        <f t="shared" si="45"/>
        <v>NO</v>
      </c>
      <c r="X268" s="132" t="b">
        <f t="shared" si="53"/>
        <v>0</v>
      </c>
    </row>
    <row r="269" spans="1:24" s="2" customFormat="1" ht="12" x14ac:dyDescent="0.15">
      <c r="A269" s="125" t="s">
        <v>84</v>
      </c>
      <c r="B269" s="139">
        <v>890315310</v>
      </c>
      <c r="C269" s="137" t="s">
        <v>369</v>
      </c>
      <c r="D269" s="137" t="s">
        <v>531</v>
      </c>
      <c r="E269" s="138">
        <v>2234888</v>
      </c>
      <c r="F269" s="138">
        <v>4967069</v>
      </c>
      <c r="G269" s="138">
        <v>833988</v>
      </c>
      <c r="H269" s="138">
        <v>1886059</v>
      </c>
      <c r="I269" s="138">
        <v>3081010</v>
      </c>
      <c r="J269" s="138">
        <v>-419985</v>
      </c>
      <c r="K269" s="138">
        <v>0</v>
      </c>
      <c r="L269" s="93">
        <f t="shared" si="46"/>
        <v>1400900</v>
      </c>
      <c r="M269" s="94">
        <f t="shared" si="47"/>
        <v>2.6797603802452792</v>
      </c>
      <c r="N269" s="94">
        <f t="shared" si="48"/>
        <v>0.37971266354463767</v>
      </c>
      <c r="O269" s="94" t="s">
        <v>108</v>
      </c>
      <c r="P269" s="94">
        <f t="shared" si="41"/>
        <v>-0.13631406584204531</v>
      </c>
      <c r="Q269" s="94">
        <f t="shared" si="50"/>
        <v>-8.4553888822563164E-2</v>
      </c>
      <c r="R269" s="117" t="str">
        <f t="shared" si="51"/>
        <v>SI</v>
      </c>
      <c r="S269" s="117" t="str">
        <f t="shared" si="52"/>
        <v>SI</v>
      </c>
      <c r="T269" s="117" t="str">
        <f t="shared" si="42"/>
        <v>SI</v>
      </c>
      <c r="U269" s="117" t="str">
        <f t="shared" si="43"/>
        <v>SI</v>
      </c>
      <c r="V269" s="117" t="str">
        <f t="shared" si="44"/>
        <v>NO</v>
      </c>
      <c r="W269" s="117" t="str">
        <f t="shared" si="45"/>
        <v>NO</v>
      </c>
      <c r="X269" s="132" t="b">
        <f t="shared" si="53"/>
        <v>0</v>
      </c>
    </row>
    <row r="270" spans="1:24" s="2" customFormat="1" ht="12" x14ac:dyDescent="0.15">
      <c r="A270" s="125" t="s">
        <v>84</v>
      </c>
      <c r="B270" s="139">
        <v>890316233</v>
      </c>
      <c r="C270" s="137" t="s">
        <v>370</v>
      </c>
      <c r="D270" s="137" t="s">
        <v>531</v>
      </c>
      <c r="E270" s="138">
        <v>32379057</v>
      </c>
      <c r="F270" s="138">
        <v>36581679</v>
      </c>
      <c r="G270" s="138">
        <v>15225936</v>
      </c>
      <c r="H270" s="138">
        <v>23280520</v>
      </c>
      <c r="I270" s="138">
        <v>13301159</v>
      </c>
      <c r="J270" s="138">
        <v>3152455</v>
      </c>
      <c r="K270" s="138">
        <v>2085129</v>
      </c>
      <c r="L270" s="93">
        <f t="shared" si="46"/>
        <v>17153121</v>
      </c>
      <c r="M270" s="94">
        <f t="shared" si="47"/>
        <v>2.1265725141626759</v>
      </c>
      <c r="N270" s="94">
        <f t="shared" si="48"/>
        <v>0.63639834574022691</v>
      </c>
      <c r="O270" s="94">
        <f t="shared" si="49"/>
        <v>1.5118752844548227</v>
      </c>
      <c r="P270" s="94">
        <f t="shared" si="41"/>
        <v>0.23700603834598172</v>
      </c>
      <c r="Q270" s="94">
        <f t="shared" si="50"/>
        <v>8.6175787612154164E-2</v>
      </c>
      <c r="R270" s="117" t="str">
        <f t="shared" si="51"/>
        <v>SI</v>
      </c>
      <c r="S270" s="117" t="str">
        <f t="shared" si="52"/>
        <v>SI</v>
      </c>
      <c r="T270" s="117" t="str">
        <f t="shared" si="42"/>
        <v>SI</v>
      </c>
      <c r="U270" s="117" t="str">
        <f t="shared" si="43"/>
        <v>SI</v>
      </c>
      <c r="V270" s="117" t="str">
        <f t="shared" si="44"/>
        <v>SI</v>
      </c>
      <c r="W270" s="117" t="str">
        <f t="shared" si="45"/>
        <v>NO</v>
      </c>
      <c r="X270" s="132" t="str">
        <f t="shared" si="53"/>
        <v>NO</v>
      </c>
    </row>
    <row r="271" spans="1:24" s="2" customFormat="1" ht="12" x14ac:dyDescent="0.15">
      <c r="A271" s="125" t="s">
        <v>84</v>
      </c>
      <c r="B271" s="139">
        <v>890317851</v>
      </c>
      <c r="C271" s="137" t="s">
        <v>371</v>
      </c>
      <c r="D271" s="137" t="s">
        <v>531</v>
      </c>
      <c r="E271" s="138">
        <v>3896824</v>
      </c>
      <c r="F271" s="138">
        <v>3897209</v>
      </c>
      <c r="G271" s="138">
        <v>2222543</v>
      </c>
      <c r="H271" s="138">
        <v>2222543</v>
      </c>
      <c r="I271" s="138">
        <v>1674666</v>
      </c>
      <c r="J271" s="138">
        <v>522811</v>
      </c>
      <c r="K271" s="138">
        <v>70471</v>
      </c>
      <c r="L271" s="93">
        <f t="shared" si="46"/>
        <v>1674281</v>
      </c>
      <c r="M271" s="94">
        <f t="shared" si="47"/>
        <v>1.7533177085887652</v>
      </c>
      <c r="N271" s="94">
        <f t="shared" si="48"/>
        <v>0.57029094410897641</v>
      </c>
      <c r="O271" s="94"/>
      <c r="P271" s="94">
        <f t="shared" si="41"/>
        <v>0.31218822141250852</v>
      </c>
      <c r="Q271" s="94">
        <f t="shared" si="50"/>
        <v>0.13415010588346685</v>
      </c>
      <c r="R271" s="117" t="str">
        <f t="shared" si="51"/>
        <v>SI</v>
      </c>
      <c r="S271" s="117" t="str">
        <f t="shared" si="52"/>
        <v>NO</v>
      </c>
      <c r="T271" s="117" t="str">
        <f t="shared" si="42"/>
        <v>SI</v>
      </c>
      <c r="U271" s="117" t="str">
        <f t="shared" si="43"/>
        <v>NO</v>
      </c>
      <c r="V271" s="117" t="str">
        <f t="shared" si="44"/>
        <v>SI</v>
      </c>
      <c r="W271" s="117" t="str">
        <f t="shared" si="45"/>
        <v>SI</v>
      </c>
      <c r="X271" s="132" t="b">
        <f t="shared" si="53"/>
        <v>0</v>
      </c>
    </row>
    <row r="272" spans="1:24" s="2" customFormat="1" ht="12" x14ac:dyDescent="0.15">
      <c r="A272" s="125" t="s">
        <v>84</v>
      </c>
      <c r="B272" s="139">
        <v>890322642</v>
      </c>
      <c r="C272" s="137" t="s">
        <v>372</v>
      </c>
      <c r="D272" s="137" t="s">
        <v>531</v>
      </c>
      <c r="E272" s="138">
        <v>4928524</v>
      </c>
      <c r="F272" s="138">
        <v>7389930</v>
      </c>
      <c r="G272" s="138">
        <v>5815878</v>
      </c>
      <c r="H272" s="138">
        <v>5815878</v>
      </c>
      <c r="I272" s="138">
        <v>1574052</v>
      </c>
      <c r="J272" s="138">
        <v>-579828</v>
      </c>
      <c r="K272" s="138"/>
      <c r="L272" s="93">
        <f t="shared" si="46"/>
        <v>-887354</v>
      </c>
      <c r="M272" s="94">
        <f t="shared" si="47"/>
        <v>0.84742561656210813</v>
      </c>
      <c r="N272" s="94">
        <f t="shared" si="48"/>
        <v>0.78700041813657229</v>
      </c>
      <c r="O272" s="94" t="s">
        <v>108</v>
      </c>
      <c r="P272" s="94">
        <f t="shared" ref="P272:P335" si="54">J272/I272</f>
        <v>-0.36836648344527373</v>
      </c>
      <c r="Q272" s="94">
        <f t="shared" si="50"/>
        <v>-7.8461906946344556E-2</v>
      </c>
      <c r="R272" s="117" t="str">
        <f t="shared" si="51"/>
        <v>NO</v>
      </c>
      <c r="S272" s="117" t="str">
        <f t="shared" si="52"/>
        <v>NO</v>
      </c>
      <c r="T272" s="117" t="str">
        <f t="shared" ref="T272:T335" si="55">+IF(N272&lt;=$G$542,"SI","NO")</f>
        <v>SI</v>
      </c>
      <c r="U272" s="117" t="str">
        <f t="shared" ref="U272:U335" si="56">+IF(O272&gt;=$H$542,"SI","NO")</f>
        <v>SI</v>
      </c>
      <c r="V272" s="117" t="str">
        <f t="shared" ref="V272:V335" si="57">+IF(P272&gt;=$I$542,"SI","NO")</f>
        <v>NO</v>
      </c>
      <c r="W272" s="117" t="str">
        <f t="shared" ref="W272:W335" si="58">+IF(Q272&gt;=$J$542,"SI","NO")</f>
        <v>NO</v>
      </c>
      <c r="X272" s="132" t="b">
        <f t="shared" si="53"/>
        <v>0</v>
      </c>
    </row>
    <row r="273" spans="1:24" s="2" customFormat="1" ht="12" x14ac:dyDescent="0.15">
      <c r="A273" s="125" t="s">
        <v>86</v>
      </c>
      <c r="B273" s="139">
        <v>890331634</v>
      </c>
      <c r="C273" s="137" t="s">
        <v>373</v>
      </c>
      <c r="D273" s="137" t="s">
        <v>531</v>
      </c>
      <c r="E273" s="138">
        <v>23860681</v>
      </c>
      <c r="F273" s="138">
        <v>28784840</v>
      </c>
      <c r="G273" s="138">
        <v>6329563</v>
      </c>
      <c r="H273" s="138">
        <v>7334711</v>
      </c>
      <c r="I273" s="138">
        <v>21450129</v>
      </c>
      <c r="J273" s="138">
        <v>2478280</v>
      </c>
      <c r="K273" s="138"/>
      <c r="L273" s="93">
        <f t="shared" ref="L273:L336" si="59">E273-G273</f>
        <v>17531118</v>
      </c>
      <c r="M273" s="94"/>
      <c r="N273" s="94">
        <f t="shared" ref="N273:N336" si="60">H273/F273</f>
        <v>0.25481159527028813</v>
      </c>
      <c r="O273" s="94" t="s">
        <v>108</v>
      </c>
      <c r="P273" s="94">
        <f t="shared" si="54"/>
        <v>0.11553683430062356</v>
      </c>
      <c r="Q273" s="94">
        <f t="shared" ref="Q273:Q336" si="61">J273/F273</f>
        <v>8.609670924000272E-2</v>
      </c>
      <c r="R273" s="117" t="str">
        <f t="shared" ref="R273:R336" si="62">+IF(L273&gt;=$R$14,"SI","NO")</f>
        <v>SI</v>
      </c>
      <c r="S273" s="117" t="str">
        <f t="shared" ref="S273:S336" si="63">+IF(M273&gt;=$F$542,"SI","NO")</f>
        <v>NO</v>
      </c>
      <c r="T273" s="117" t="str">
        <f t="shared" si="55"/>
        <v>SI</v>
      </c>
      <c r="U273" s="117" t="str">
        <f t="shared" si="56"/>
        <v>SI</v>
      </c>
      <c r="V273" s="117" t="str">
        <f t="shared" si="57"/>
        <v>NO</v>
      </c>
      <c r="W273" s="117" t="str">
        <f t="shared" si="58"/>
        <v>NO</v>
      </c>
      <c r="X273" s="132" t="b">
        <f t="shared" ref="X273:X336" si="64">+IF(R273="SI",IF(S273="SI",IF(T273="SI",IF(U273="SI",IF(V273="SI",IF(W273="SI","SI","NO"))))))</f>
        <v>0</v>
      </c>
    </row>
    <row r="274" spans="1:24" s="2" customFormat="1" ht="12" x14ac:dyDescent="0.15">
      <c r="A274" s="125" t="s">
        <v>86</v>
      </c>
      <c r="B274" s="139">
        <v>890406136</v>
      </c>
      <c r="C274" s="137" t="s">
        <v>374</v>
      </c>
      <c r="D274" s="137" t="s">
        <v>531</v>
      </c>
      <c r="E274" s="138">
        <v>38591801</v>
      </c>
      <c r="F274" s="138">
        <v>48643069</v>
      </c>
      <c r="G274" s="138">
        <v>18922582</v>
      </c>
      <c r="H274" s="138">
        <v>20148727</v>
      </c>
      <c r="I274" s="138">
        <v>28494342</v>
      </c>
      <c r="J274" s="138">
        <v>2361496</v>
      </c>
      <c r="K274" s="138">
        <v>3225857</v>
      </c>
      <c r="L274" s="93">
        <f t="shared" si="59"/>
        <v>19669219</v>
      </c>
      <c r="M274" s="94">
        <f t="shared" ref="M274:M336" si="65">E274/G274</f>
        <v>2.0394574588182524</v>
      </c>
      <c r="N274" s="94">
        <f t="shared" si="60"/>
        <v>0.41421578478117815</v>
      </c>
      <c r="O274" s="94">
        <f t="shared" ref="O274:O334" si="66">J274/K274</f>
        <v>0.73205228874063544</v>
      </c>
      <c r="P274" s="94">
        <f t="shared" si="54"/>
        <v>8.2875961831299708E-2</v>
      </c>
      <c r="Q274" s="94">
        <f t="shared" si="61"/>
        <v>4.8547430261852924E-2</v>
      </c>
      <c r="R274" s="117" t="str">
        <f t="shared" si="62"/>
        <v>SI</v>
      </c>
      <c r="S274" s="117" t="str">
        <f t="shared" si="63"/>
        <v>SI</v>
      </c>
      <c r="T274" s="117" t="str">
        <f t="shared" si="55"/>
        <v>SI</v>
      </c>
      <c r="U274" s="117" t="str">
        <f t="shared" si="56"/>
        <v>NO</v>
      </c>
      <c r="V274" s="117" t="str">
        <f t="shared" si="57"/>
        <v>NO</v>
      </c>
      <c r="W274" s="117" t="str">
        <f t="shared" si="58"/>
        <v>NO</v>
      </c>
      <c r="X274" s="132" t="b">
        <f t="shared" si="64"/>
        <v>0</v>
      </c>
    </row>
    <row r="275" spans="1:24" s="2" customFormat="1" ht="12" x14ac:dyDescent="0.15">
      <c r="A275" s="125" t="s">
        <v>87</v>
      </c>
      <c r="B275" s="139">
        <v>890911267</v>
      </c>
      <c r="C275" s="137" t="s">
        <v>375</v>
      </c>
      <c r="D275" s="137" t="s">
        <v>531</v>
      </c>
      <c r="E275" s="138">
        <v>2839445</v>
      </c>
      <c r="F275" s="138">
        <v>4268460</v>
      </c>
      <c r="G275" s="138">
        <v>604972</v>
      </c>
      <c r="H275" s="138">
        <v>2751239</v>
      </c>
      <c r="I275" s="138">
        <v>1517221</v>
      </c>
      <c r="J275" s="138">
        <v>-164094</v>
      </c>
      <c r="K275" s="138">
        <v>63373</v>
      </c>
      <c r="L275" s="93">
        <f t="shared" si="59"/>
        <v>2234473</v>
      </c>
      <c r="M275" s="94"/>
      <c r="N275" s="94">
        <f t="shared" si="60"/>
        <v>0.64455072789718071</v>
      </c>
      <c r="O275" s="94"/>
      <c r="P275" s="94">
        <f t="shared" si="54"/>
        <v>-0.10815431634547637</v>
      </c>
      <c r="Q275" s="94">
        <f t="shared" si="61"/>
        <v>-3.8443373019777627E-2</v>
      </c>
      <c r="R275" s="117" t="str">
        <f t="shared" si="62"/>
        <v>SI</v>
      </c>
      <c r="S275" s="117" t="str">
        <f t="shared" si="63"/>
        <v>NO</v>
      </c>
      <c r="T275" s="117" t="str">
        <f t="shared" si="55"/>
        <v>SI</v>
      </c>
      <c r="U275" s="117" t="str">
        <f t="shared" si="56"/>
        <v>NO</v>
      </c>
      <c r="V275" s="117" t="str">
        <f t="shared" si="57"/>
        <v>NO</v>
      </c>
      <c r="W275" s="117" t="str">
        <f t="shared" si="58"/>
        <v>NO</v>
      </c>
      <c r="X275" s="132" t="b">
        <f t="shared" si="64"/>
        <v>0</v>
      </c>
    </row>
    <row r="276" spans="1:24" s="2" customFormat="1" ht="12" x14ac:dyDescent="0.15">
      <c r="A276" s="125" t="s">
        <v>87</v>
      </c>
      <c r="B276" s="139">
        <v>890912306</v>
      </c>
      <c r="C276" s="137" t="s">
        <v>376</v>
      </c>
      <c r="D276" s="137" t="s">
        <v>531</v>
      </c>
      <c r="E276" s="138">
        <v>4821594</v>
      </c>
      <c r="F276" s="138">
        <v>6533185</v>
      </c>
      <c r="G276" s="138">
        <v>2241277</v>
      </c>
      <c r="H276" s="138">
        <v>4814433</v>
      </c>
      <c r="I276" s="138">
        <v>1718752</v>
      </c>
      <c r="J276" s="138">
        <v>575552</v>
      </c>
      <c r="K276" s="138">
        <v>439081</v>
      </c>
      <c r="L276" s="93">
        <f t="shared" si="59"/>
        <v>2580317</v>
      </c>
      <c r="M276" s="94">
        <f t="shared" si="65"/>
        <v>2.1512709049349992</v>
      </c>
      <c r="N276" s="94">
        <f t="shared" si="60"/>
        <v>0.73691974129004456</v>
      </c>
      <c r="O276" s="94">
        <f t="shared" si="66"/>
        <v>1.3108105338195002</v>
      </c>
      <c r="P276" s="94">
        <f t="shared" si="54"/>
        <v>0.3348662285192977</v>
      </c>
      <c r="Q276" s="94">
        <f t="shared" si="61"/>
        <v>8.8096694032083894E-2</v>
      </c>
      <c r="R276" s="117" t="str">
        <f t="shared" si="62"/>
        <v>SI</v>
      </c>
      <c r="S276" s="117" t="str">
        <f t="shared" si="63"/>
        <v>SI</v>
      </c>
      <c r="T276" s="117" t="str">
        <f t="shared" si="55"/>
        <v>SI</v>
      </c>
      <c r="U276" s="117" t="str">
        <f t="shared" si="56"/>
        <v>SI</v>
      </c>
      <c r="V276" s="117" t="str">
        <f t="shared" si="57"/>
        <v>SI</v>
      </c>
      <c r="W276" s="117" t="str">
        <f t="shared" si="58"/>
        <v>NO</v>
      </c>
      <c r="X276" s="132" t="str">
        <f t="shared" si="64"/>
        <v>NO</v>
      </c>
    </row>
    <row r="277" spans="1:24" s="2" customFormat="1" ht="12" x14ac:dyDescent="0.15">
      <c r="A277" s="125" t="s">
        <v>87</v>
      </c>
      <c r="B277" s="139">
        <v>890913321</v>
      </c>
      <c r="C277" s="137" t="s">
        <v>377</v>
      </c>
      <c r="D277" s="137" t="s">
        <v>531</v>
      </c>
      <c r="E277" s="138">
        <v>9385468</v>
      </c>
      <c r="F277" s="138">
        <v>10242983</v>
      </c>
      <c r="G277" s="138">
        <v>3761378</v>
      </c>
      <c r="H277" s="138">
        <v>6697950</v>
      </c>
      <c r="I277" s="138">
        <v>3545033</v>
      </c>
      <c r="J277" s="138">
        <v>1716290</v>
      </c>
      <c r="K277" s="138">
        <v>1178686</v>
      </c>
      <c r="L277" s="93">
        <f t="shared" si="59"/>
        <v>5624090</v>
      </c>
      <c r="M277" s="94">
        <f t="shared" si="65"/>
        <v>2.4952206345653107</v>
      </c>
      <c r="N277" s="94">
        <f t="shared" si="60"/>
        <v>0.65390619119449866</v>
      </c>
      <c r="O277" s="94">
        <f t="shared" si="66"/>
        <v>1.4561045095979761</v>
      </c>
      <c r="P277" s="94">
        <f t="shared" si="54"/>
        <v>0.48413935780005435</v>
      </c>
      <c r="Q277" s="94">
        <f t="shared" si="61"/>
        <v>0.16755763433367019</v>
      </c>
      <c r="R277" s="117" t="str">
        <f t="shared" si="62"/>
        <v>SI</v>
      </c>
      <c r="S277" s="117" t="str">
        <f t="shared" si="63"/>
        <v>SI</v>
      </c>
      <c r="T277" s="117" t="str">
        <f t="shared" si="55"/>
        <v>SI</v>
      </c>
      <c r="U277" s="117" t="str">
        <f t="shared" si="56"/>
        <v>SI</v>
      </c>
      <c r="V277" s="117" t="str">
        <f t="shared" si="57"/>
        <v>SI</v>
      </c>
      <c r="W277" s="117" t="str">
        <f t="shared" si="58"/>
        <v>SI</v>
      </c>
      <c r="X277" s="132" t="str">
        <f t="shared" si="64"/>
        <v>SI</v>
      </c>
    </row>
    <row r="278" spans="1:24" s="2" customFormat="1" ht="12" x14ac:dyDescent="0.15">
      <c r="A278" s="125" t="s">
        <v>87</v>
      </c>
      <c r="B278" s="139">
        <v>890919283</v>
      </c>
      <c r="C278" s="137" t="s">
        <v>378</v>
      </c>
      <c r="D278" s="137" t="s">
        <v>531</v>
      </c>
      <c r="E278" s="138">
        <v>15245780</v>
      </c>
      <c r="F278" s="138">
        <v>19330008</v>
      </c>
      <c r="G278" s="138">
        <v>3162168</v>
      </c>
      <c r="H278" s="138">
        <v>3653169</v>
      </c>
      <c r="I278" s="138">
        <v>15676839</v>
      </c>
      <c r="J278" s="138">
        <v>1752147</v>
      </c>
      <c r="K278" s="138">
        <v>151362</v>
      </c>
      <c r="L278" s="93">
        <f t="shared" si="59"/>
        <v>12083612</v>
      </c>
      <c r="M278" s="94"/>
      <c r="N278" s="94">
        <f t="shared" si="60"/>
        <v>0.18898952343941089</v>
      </c>
      <c r="O278" s="94"/>
      <c r="P278" s="94">
        <f t="shared" si="54"/>
        <v>0.11176660039692951</v>
      </c>
      <c r="Q278" s="94">
        <f t="shared" si="61"/>
        <v>9.0643883851470736E-2</v>
      </c>
      <c r="R278" s="117" t="str">
        <f t="shared" si="62"/>
        <v>SI</v>
      </c>
      <c r="S278" s="117" t="str">
        <f t="shared" si="63"/>
        <v>NO</v>
      </c>
      <c r="T278" s="117" t="str">
        <f t="shared" si="55"/>
        <v>SI</v>
      </c>
      <c r="U278" s="117" t="str">
        <f t="shared" si="56"/>
        <v>NO</v>
      </c>
      <c r="V278" s="117" t="str">
        <f t="shared" si="57"/>
        <v>NO</v>
      </c>
      <c r="W278" s="117" t="str">
        <f t="shared" si="58"/>
        <v>SI</v>
      </c>
      <c r="X278" s="132" t="b">
        <f t="shared" si="64"/>
        <v>0</v>
      </c>
    </row>
    <row r="279" spans="1:24" s="2" customFormat="1" ht="12" x14ac:dyDescent="0.15">
      <c r="A279" s="125" t="s">
        <v>87</v>
      </c>
      <c r="B279" s="139">
        <v>890924197</v>
      </c>
      <c r="C279" s="137" t="s">
        <v>379</v>
      </c>
      <c r="D279" s="137" t="s">
        <v>531</v>
      </c>
      <c r="E279" s="138">
        <v>10998938</v>
      </c>
      <c r="F279" s="138">
        <v>15981412</v>
      </c>
      <c r="G279" s="138">
        <v>3209499</v>
      </c>
      <c r="H279" s="138">
        <v>3765402</v>
      </c>
      <c r="I279" s="138">
        <v>12216010</v>
      </c>
      <c r="J279" s="138">
        <v>1609218</v>
      </c>
      <c r="K279" s="138">
        <v>322943</v>
      </c>
      <c r="L279" s="93">
        <f t="shared" si="59"/>
        <v>7789439</v>
      </c>
      <c r="M279" s="94"/>
      <c r="N279" s="94">
        <f t="shared" si="60"/>
        <v>0.2356113464817752</v>
      </c>
      <c r="O279" s="94"/>
      <c r="P279" s="94">
        <f t="shared" si="54"/>
        <v>0.13173024580038817</v>
      </c>
      <c r="Q279" s="94">
        <f t="shared" si="61"/>
        <v>0.10069310521498351</v>
      </c>
      <c r="R279" s="117" t="str">
        <f t="shared" si="62"/>
        <v>SI</v>
      </c>
      <c r="S279" s="117" t="str">
        <f t="shared" si="63"/>
        <v>NO</v>
      </c>
      <c r="T279" s="117" t="str">
        <f t="shared" si="55"/>
        <v>SI</v>
      </c>
      <c r="U279" s="117" t="str">
        <f t="shared" si="56"/>
        <v>NO</v>
      </c>
      <c r="V279" s="117" t="str">
        <f t="shared" si="57"/>
        <v>NO</v>
      </c>
      <c r="W279" s="117" t="str">
        <f t="shared" si="58"/>
        <v>SI</v>
      </c>
      <c r="X279" s="132" t="b">
        <f t="shared" si="64"/>
        <v>0</v>
      </c>
    </row>
    <row r="280" spans="1:24" s="2" customFormat="1" ht="12" x14ac:dyDescent="0.15">
      <c r="A280" s="125" t="s">
        <v>87</v>
      </c>
      <c r="B280" s="139">
        <v>890927986</v>
      </c>
      <c r="C280" s="137" t="s">
        <v>380</v>
      </c>
      <c r="D280" s="137" t="s">
        <v>531</v>
      </c>
      <c r="E280" s="138">
        <v>2347839</v>
      </c>
      <c r="F280" s="138">
        <v>2392061</v>
      </c>
      <c r="G280" s="138">
        <v>430431</v>
      </c>
      <c r="H280" s="138">
        <v>430431</v>
      </c>
      <c r="I280" s="138">
        <v>1961630</v>
      </c>
      <c r="J280" s="138">
        <v>60175</v>
      </c>
      <c r="K280" s="138"/>
      <c r="L280" s="93">
        <f t="shared" si="59"/>
        <v>1917408</v>
      </c>
      <c r="M280" s="94"/>
      <c r="N280" s="94">
        <f t="shared" si="60"/>
        <v>0.17994148142543187</v>
      </c>
      <c r="O280" s="94" t="s">
        <v>108</v>
      </c>
      <c r="P280" s="94">
        <f t="shared" si="54"/>
        <v>3.0676019432818627E-2</v>
      </c>
      <c r="Q280" s="94">
        <f t="shared" si="61"/>
        <v>2.5156131051841904E-2</v>
      </c>
      <c r="R280" s="117" t="str">
        <f t="shared" si="62"/>
        <v>SI</v>
      </c>
      <c r="S280" s="117" t="str">
        <f t="shared" si="63"/>
        <v>NO</v>
      </c>
      <c r="T280" s="117" t="str">
        <f t="shared" si="55"/>
        <v>SI</v>
      </c>
      <c r="U280" s="117" t="str">
        <f t="shared" si="56"/>
        <v>SI</v>
      </c>
      <c r="V280" s="117" t="str">
        <f t="shared" si="57"/>
        <v>NO</v>
      </c>
      <c r="W280" s="117" t="str">
        <f t="shared" si="58"/>
        <v>NO</v>
      </c>
      <c r="X280" s="132" t="b">
        <f t="shared" si="64"/>
        <v>0</v>
      </c>
    </row>
    <row r="281" spans="1:24" s="2" customFormat="1" ht="12" x14ac:dyDescent="0.15">
      <c r="A281" s="125" t="s">
        <v>87</v>
      </c>
      <c r="B281" s="139">
        <v>890935401</v>
      </c>
      <c r="C281" s="137" t="s">
        <v>381</v>
      </c>
      <c r="D281" s="137" t="s">
        <v>531</v>
      </c>
      <c r="E281" s="138">
        <v>12978426</v>
      </c>
      <c r="F281" s="138">
        <v>14434996</v>
      </c>
      <c r="G281" s="138">
        <v>5542489</v>
      </c>
      <c r="H281" s="138">
        <v>8520950</v>
      </c>
      <c r="I281" s="138">
        <v>5914046</v>
      </c>
      <c r="J281" s="138">
        <v>1319481</v>
      </c>
      <c r="K281" s="138">
        <v>0</v>
      </c>
      <c r="L281" s="93">
        <f t="shared" si="59"/>
        <v>7435937</v>
      </c>
      <c r="M281" s="94">
        <f t="shared" si="65"/>
        <v>2.341624133128636</v>
      </c>
      <c r="N281" s="94">
        <f t="shared" si="60"/>
        <v>0.59029805065411867</v>
      </c>
      <c r="O281" s="94" t="s">
        <v>108</v>
      </c>
      <c r="P281" s="94">
        <f t="shared" si="54"/>
        <v>0.22310969512242548</v>
      </c>
      <c r="Q281" s="94">
        <f t="shared" si="61"/>
        <v>9.1408477009622999E-2</v>
      </c>
      <c r="R281" s="117" t="str">
        <f t="shared" si="62"/>
        <v>SI</v>
      </c>
      <c r="S281" s="117" t="str">
        <f t="shared" si="63"/>
        <v>SI</v>
      </c>
      <c r="T281" s="117" t="str">
        <f t="shared" si="55"/>
        <v>SI</v>
      </c>
      <c r="U281" s="117" t="str">
        <f t="shared" si="56"/>
        <v>SI</v>
      </c>
      <c r="V281" s="117" t="str">
        <f t="shared" si="57"/>
        <v>SI</v>
      </c>
      <c r="W281" s="117" t="str">
        <f t="shared" si="58"/>
        <v>SI</v>
      </c>
      <c r="X281" s="132" t="str">
        <f t="shared" si="64"/>
        <v>SI</v>
      </c>
    </row>
    <row r="282" spans="1:24" s="2" customFormat="1" ht="12" x14ac:dyDescent="0.15">
      <c r="A282" s="125" t="s">
        <v>87</v>
      </c>
      <c r="B282" s="139">
        <v>890943055</v>
      </c>
      <c r="C282" s="137" t="s">
        <v>382</v>
      </c>
      <c r="D282" s="137" t="s">
        <v>531</v>
      </c>
      <c r="E282" s="138">
        <v>4564667</v>
      </c>
      <c r="F282" s="138">
        <v>4605473</v>
      </c>
      <c r="G282" s="138">
        <v>881205</v>
      </c>
      <c r="H282" s="138">
        <v>881205</v>
      </c>
      <c r="I282" s="138">
        <v>3724268</v>
      </c>
      <c r="J282" s="138">
        <v>620142</v>
      </c>
      <c r="K282" s="138"/>
      <c r="L282" s="93">
        <f t="shared" si="59"/>
        <v>3683462</v>
      </c>
      <c r="M282" s="94"/>
      <c r="N282" s="94">
        <f t="shared" si="60"/>
        <v>0.19133865294617947</v>
      </c>
      <c r="O282" s="94" t="s">
        <v>108</v>
      </c>
      <c r="P282" s="94">
        <f t="shared" si="54"/>
        <v>0.16651379546262512</v>
      </c>
      <c r="Q282" s="94">
        <f t="shared" si="61"/>
        <v>0.1346532701418508</v>
      </c>
      <c r="R282" s="117" t="str">
        <f t="shared" si="62"/>
        <v>SI</v>
      </c>
      <c r="S282" s="117" t="str">
        <f t="shared" si="63"/>
        <v>NO</v>
      </c>
      <c r="T282" s="117" t="str">
        <f t="shared" si="55"/>
        <v>SI</v>
      </c>
      <c r="U282" s="117" t="str">
        <f t="shared" si="56"/>
        <v>SI</v>
      </c>
      <c r="V282" s="117" t="str">
        <f t="shared" si="57"/>
        <v>NO</v>
      </c>
      <c r="W282" s="117" t="str">
        <f t="shared" si="58"/>
        <v>SI</v>
      </c>
      <c r="X282" s="132" t="b">
        <f t="shared" si="64"/>
        <v>0</v>
      </c>
    </row>
    <row r="283" spans="1:24" s="2" customFormat="1" ht="12" x14ac:dyDescent="0.15">
      <c r="A283" s="125" t="s">
        <v>87</v>
      </c>
      <c r="B283" s="139">
        <v>892002085</v>
      </c>
      <c r="C283" s="137" t="s">
        <v>383</v>
      </c>
      <c r="D283" s="137" t="s">
        <v>531</v>
      </c>
      <c r="E283" s="138">
        <v>8755318</v>
      </c>
      <c r="F283" s="138">
        <v>12339411</v>
      </c>
      <c r="G283" s="138">
        <v>2277934</v>
      </c>
      <c r="H283" s="138">
        <v>2708128</v>
      </c>
      <c r="I283" s="138">
        <v>9631283</v>
      </c>
      <c r="J283" s="138">
        <v>2726336</v>
      </c>
      <c r="K283" s="138">
        <v>0</v>
      </c>
      <c r="L283" s="93">
        <f t="shared" si="59"/>
        <v>6477384</v>
      </c>
      <c r="M283" s="94"/>
      <c r="N283" s="94">
        <f t="shared" si="60"/>
        <v>0.21946979479004305</v>
      </c>
      <c r="O283" s="94" t="s">
        <v>108</v>
      </c>
      <c r="P283" s="94">
        <f t="shared" si="54"/>
        <v>0.28307090550656644</v>
      </c>
      <c r="Q283" s="94">
        <f t="shared" si="61"/>
        <v>0.22094539196400864</v>
      </c>
      <c r="R283" s="117" t="str">
        <f t="shared" si="62"/>
        <v>SI</v>
      </c>
      <c r="S283" s="117" t="str">
        <f t="shared" si="63"/>
        <v>NO</v>
      </c>
      <c r="T283" s="117" t="str">
        <f t="shared" si="55"/>
        <v>SI</v>
      </c>
      <c r="U283" s="117" t="str">
        <f t="shared" si="56"/>
        <v>SI</v>
      </c>
      <c r="V283" s="117" t="str">
        <f t="shared" si="57"/>
        <v>SI</v>
      </c>
      <c r="W283" s="117" t="str">
        <f t="shared" si="58"/>
        <v>SI</v>
      </c>
      <c r="X283" s="132" t="b">
        <f t="shared" si="64"/>
        <v>0</v>
      </c>
    </row>
    <row r="284" spans="1:24" s="2" customFormat="1" ht="12" x14ac:dyDescent="0.15">
      <c r="A284" s="125" t="s">
        <v>87</v>
      </c>
      <c r="B284" s="139">
        <v>900007095</v>
      </c>
      <c r="C284" s="137" t="s">
        <v>384</v>
      </c>
      <c r="D284" s="137" t="s">
        <v>531</v>
      </c>
      <c r="E284" s="138">
        <v>2736354</v>
      </c>
      <c r="F284" s="138">
        <v>3614868</v>
      </c>
      <c r="G284" s="138">
        <v>1428901</v>
      </c>
      <c r="H284" s="138">
        <v>1906628</v>
      </c>
      <c r="I284" s="138">
        <v>1708240</v>
      </c>
      <c r="J284" s="138">
        <v>358767</v>
      </c>
      <c r="K284" s="138">
        <v>133332</v>
      </c>
      <c r="L284" s="93">
        <f t="shared" si="59"/>
        <v>1307453</v>
      </c>
      <c r="M284" s="94">
        <f t="shared" si="65"/>
        <v>1.9150060081139282</v>
      </c>
      <c r="N284" s="94">
        <f t="shared" si="60"/>
        <v>0.52744055937865508</v>
      </c>
      <c r="O284" s="94">
        <f t="shared" si="66"/>
        <v>2.6907794077940781</v>
      </c>
      <c r="P284" s="94">
        <f t="shared" si="54"/>
        <v>0.21002142556081113</v>
      </c>
      <c r="Q284" s="94">
        <f t="shared" si="61"/>
        <v>9.9247607381514349E-2</v>
      </c>
      <c r="R284" s="117" t="str">
        <f t="shared" si="62"/>
        <v>SI</v>
      </c>
      <c r="S284" s="117" t="str">
        <f t="shared" si="63"/>
        <v>SI</v>
      </c>
      <c r="T284" s="117" t="str">
        <f t="shared" si="55"/>
        <v>SI</v>
      </c>
      <c r="U284" s="117" t="str">
        <f t="shared" si="56"/>
        <v>SI</v>
      </c>
      <c r="V284" s="117" t="str">
        <f t="shared" si="57"/>
        <v>SI</v>
      </c>
      <c r="W284" s="117" t="str">
        <f t="shared" si="58"/>
        <v>SI</v>
      </c>
      <c r="X284" s="132" t="str">
        <f t="shared" si="64"/>
        <v>SI</v>
      </c>
    </row>
    <row r="285" spans="1:24" s="2" customFormat="1" ht="12" x14ac:dyDescent="0.15">
      <c r="A285" s="125" t="s">
        <v>87</v>
      </c>
      <c r="B285" s="139">
        <v>900013119</v>
      </c>
      <c r="C285" s="137" t="s">
        <v>385</v>
      </c>
      <c r="D285" s="137" t="s">
        <v>531</v>
      </c>
      <c r="E285" s="138">
        <v>8467155</v>
      </c>
      <c r="F285" s="138">
        <v>12235891</v>
      </c>
      <c r="G285" s="138">
        <v>3111808</v>
      </c>
      <c r="H285" s="138">
        <v>10122299</v>
      </c>
      <c r="I285" s="138">
        <v>2113592</v>
      </c>
      <c r="J285" s="138">
        <v>669580</v>
      </c>
      <c r="K285" s="138">
        <v>547693</v>
      </c>
      <c r="L285" s="93">
        <f t="shared" si="59"/>
        <v>5355347</v>
      </c>
      <c r="M285" s="94">
        <f t="shared" si="65"/>
        <v>2.7209760370819795</v>
      </c>
      <c r="N285" s="94">
        <f t="shared" si="60"/>
        <v>0.82726292674558799</v>
      </c>
      <c r="O285" s="94">
        <f t="shared" si="66"/>
        <v>1.2225462074556366</v>
      </c>
      <c r="P285" s="94">
        <f t="shared" si="54"/>
        <v>0.31679718696891357</v>
      </c>
      <c r="Q285" s="94">
        <f t="shared" si="61"/>
        <v>5.4722618892240865E-2</v>
      </c>
      <c r="R285" s="117" t="str">
        <f t="shared" si="62"/>
        <v>SI</v>
      </c>
      <c r="S285" s="117" t="str">
        <f t="shared" si="63"/>
        <v>SI</v>
      </c>
      <c r="T285" s="117" t="str">
        <f t="shared" si="55"/>
        <v>SI</v>
      </c>
      <c r="U285" s="117" t="str">
        <f t="shared" si="56"/>
        <v>SI</v>
      </c>
      <c r="V285" s="117" t="str">
        <f t="shared" si="57"/>
        <v>SI</v>
      </c>
      <c r="W285" s="117" t="str">
        <f t="shared" si="58"/>
        <v>NO</v>
      </c>
      <c r="X285" s="132" t="str">
        <f t="shared" si="64"/>
        <v>NO</v>
      </c>
    </row>
    <row r="286" spans="1:24" s="2" customFormat="1" ht="12" x14ac:dyDescent="0.15">
      <c r="A286" s="125" t="s">
        <v>87</v>
      </c>
      <c r="B286" s="139">
        <v>900013343</v>
      </c>
      <c r="C286" s="137" t="s">
        <v>386</v>
      </c>
      <c r="D286" s="137" t="s">
        <v>531</v>
      </c>
      <c r="E286" s="138">
        <v>1918050</v>
      </c>
      <c r="F286" s="138">
        <v>1953398</v>
      </c>
      <c r="G286" s="138">
        <v>844671</v>
      </c>
      <c r="H286" s="138">
        <v>1163134</v>
      </c>
      <c r="I286" s="138">
        <v>790264</v>
      </c>
      <c r="J286" s="138">
        <v>275191</v>
      </c>
      <c r="K286" s="138">
        <v>279094</v>
      </c>
      <c r="L286" s="93">
        <f t="shared" si="59"/>
        <v>1073379</v>
      </c>
      <c r="M286" s="94">
        <f t="shared" si="65"/>
        <v>2.2707657774447094</v>
      </c>
      <c r="N286" s="94">
        <f t="shared" si="60"/>
        <v>0.59544137958572707</v>
      </c>
      <c r="O286" s="94">
        <f t="shared" si="66"/>
        <v>0.9860154643238479</v>
      </c>
      <c r="P286" s="94">
        <f t="shared" si="54"/>
        <v>0.34822666855633055</v>
      </c>
      <c r="Q286" s="94">
        <f t="shared" si="61"/>
        <v>0.14087810062260736</v>
      </c>
      <c r="R286" s="117" t="str">
        <f t="shared" si="62"/>
        <v>SI</v>
      </c>
      <c r="S286" s="117" t="str">
        <f t="shared" si="63"/>
        <v>SI</v>
      </c>
      <c r="T286" s="117" t="str">
        <f t="shared" si="55"/>
        <v>SI</v>
      </c>
      <c r="U286" s="117" t="str">
        <f t="shared" si="56"/>
        <v>NO</v>
      </c>
      <c r="V286" s="117" t="str">
        <f t="shared" si="57"/>
        <v>SI</v>
      </c>
      <c r="W286" s="117" t="str">
        <f t="shared" si="58"/>
        <v>SI</v>
      </c>
      <c r="X286" s="132" t="b">
        <f t="shared" si="64"/>
        <v>0</v>
      </c>
    </row>
    <row r="287" spans="1:24" s="2" customFormat="1" ht="12" x14ac:dyDescent="0.15">
      <c r="A287" s="125" t="s">
        <v>87</v>
      </c>
      <c r="B287" s="139">
        <v>900016958</v>
      </c>
      <c r="C287" s="137" t="s">
        <v>387</v>
      </c>
      <c r="D287" s="137" t="s">
        <v>531</v>
      </c>
      <c r="E287" s="138">
        <v>1635501</v>
      </c>
      <c r="F287" s="138">
        <v>3827159</v>
      </c>
      <c r="G287" s="138">
        <v>1238989</v>
      </c>
      <c r="H287" s="138">
        <v>1738989</v>
      </c>
      <c r="I287" s="138">
        <v>2088170</v>
      </c>
      <c r="J287" s="138">
        <v>312597</v>
      </c>
      <c r="K287" s="138">
        <v>105115</v>
      </c>
      <c r="L287" s="93">
        <f t="shared" si="59"/>
        <v>396512</v>
      </c>
      <c r="M287" s="94">
        <f t="shared" si="65"/>
        <v>1.3200286685353946</v>
      </c>
      <c r="N287" s="94">
        <f t="shared" si="60"/>
        <v>0.45438117412942602</v>
      </c>
      <c r="O287" s="94">
        <f t="shared" si="66"/>
        <v>2.9738572040146507</v>
      </c>
      <c r="P287" s="94">
        <f t="shared" si="54"/>
        <v>0.14969901875805131</v>
      </c>
      <c r="Q287" s="94">
        <f t="shared" si="61"/>
        <v>8.167860284874498E-2</v>
      </c>
      <c r="R287" s="117" t="str">
        <f t="shared" si="62"/>
        <v>SI</v>
      </c>
      <c r="S287" s="117" t="str">
        <f t="shared" si="63"/>
        <v>NO</v>
      </c>
      <c r="T287" s="117" t="str">
        <f t="shared" si="55"/>
        <v>SI</v>
      </c>
      <c r="U287" s="117" t="str">
        <f t="shared" si="56"/>
        <v>SI</v>
      </c>
      <c r="V287" s="117" t="str">
        <f t="shared" si="57"/>
        <v>NO</v>
      </c>
      <c r="W287" s="117" t="str">
        <f t="shared" si="58"/>
        <v>NO</v>
      </c>
      <c r="X287" s="132" t="b">
        <f t="shared" si="64"/>
        <v>0</v>
      </c>
    </row>
    <row r="288" spans="1:24" s="2" customFormat="1" ht="12" x14ac:dyDescent="0.15">
      <c r="A288" s="125" t="s">
        <v>87</v>
      </c>
      <c r="B288" s="139">
        <v>900027619</v>
      </c>
      <c r="C288" s="137" t="s">
        <v>388</v>
      </c>
      <c r="D288" s="137" t="s">
        <v>531</v>
      </c>
      <c r="E288" s="138">
        <v>3451533</v>
      </c>
      <c r="F288" s="138">
        <v>9860837</v>
      </c>
      <c r="G288" s="138">
        <v>1249677</v>
      </c>
      <c r="H288" s="138">
        <v>1249677</v>
      </c>
      <c r="I288" s="138">
        <v>8611160</v>
      </c>
      <c r="J288" s="138">
        <v>987827</v>
      </c>
      <c r="K288" s="138">
        <v>247230</v>
      </c>
      <c r="L288" s="93">
        <f t="shared" si="59"/>
        <v>2201856</v>
      </c>
      <c r="M288" s="94">
        <f t="shared" si="65"/>
        <v>2.761940085318046</v>
      </c>
      <c r="N288" s="94">
        <f t="shared" si="60"/>
        <v>0.1267313312247226</v>
      </c>
      <c r="O288" s="94"/>
      <c r="P288" s="94">
        <f t="shared" si="54"/>
        <v>0.11471474226468908</v>
      </c>
      <c r="Q288" s="94">
        <f t="shared" si="61"/>
        <v>0.10017679026638408</v>
      </c>
      <c r="R288" s="117" t="str">
        <f t="shared" si="62"/>
        <v>SI</v>
      </c>
      <c r="S288" s="117" t="str">
        <f t="shared" si="63"/>
        <v>SI</v>
      </c>
      <c r="T288" s="117" t="str">
        <f t="shared" si="55"/>
        <v>SI</v>
      </c>
      <c r="U288" s="117" t="str">
        <f t="shared" si="56"/>
        <v>NO</v>
      </c>
      <c r="V288" s="117" t="str">
        <f t="shared" si="57"/>
        <v>NO</v>
      </c>
      <c r="W288" s="117" t="str">
        <f t="shared" si="58"/>
        <v>SI</v>
      </c>
      <c r="X288" s="132" t="b">
        <f t="shared" si="64"/>
        <v>0</v>
      </c>
    </row>
    <row r="289" spans="1:24" s="2" customFormat="1" ht="12" x14ac:dyDescent="0.15">
      <c r="A289" s="125" t="s">
        <v>87</v>
      </c>
      <c r="B289" s="139">
        <v>900039051</v>
      </c>
      <c r="C289" s="137" t="s">
        <v>389</v>
      </c>
      <c r="D289" s="137" t="s">
        <v>531</v>
      </c>
      <c r="E289" s="138">
        <v>3221550</v>
      </c>
      <c r="F289" s="138">
        <v>4120238</v>
      </c>
      <c r="G289" s="138">
        <v>2115935</v>
      </c>
      <c r="H289" s="138">
        <v>2533731</v>
      </c>
      <c r="I289" s="138">
        <v>1586507</v>
      </c>
      <c r="J289" s="138">
        <v>470640</v>
      </c>
      <c r="K289" s="138">
        <v>355205</v>
      </c>
      <c r="L289" s="93">
        <f t="shared" si="59"/>
        <v>1105615</v>
      </c>
      <c r="M289" s="94">
        <f t="shared" si="65"/>
        <v>1.5225184138454158</v>
      </c>
      <c r="N289" s="94">
        <f t="shared" si="60"/>
        <v>0.61494772874770831</v>
      </c>
      <c r="O289" s="94">
        <f t="shared" si="66"/>
        <v>1.3249813487985811</v>
      </c>
      <c r="P289" s="94">
        <f t="shared" si="54"/>
        <v>0.29665170087494097</v>
      </c>
      <c r="Q289" s="94">
        <f t="shared" si="61"/>
        <v>0.11422641119275148</v>
      </c>
      <c r="R289" s="117" t="str">
        <f t="shared" si="62"/>
        <v>SI</v>
      </c>
      <c r="S289" s="117" t="str">
        <f t="shared" si="63"/>
        <v>NO</v>
      </c>
      <c r="T289" s="117" t="str">
        <f t="shared" si="55"/>
        <v>SI</v>
      </c>
      <c r="U289" s="117" t="str">
        <f t="shared" si="56"/>
        <v>SI</v>
      </c>
      <c r="V289" s="117" t="str">
        <f t="shared" si="57"/>
        <v>SI</v>
      </c>
      <c r="W289" s="117" t="str">
        <f t="shared" si="58"/>
        <v>SI</v>
      </c>
      <c r="X289" s="132" t="b">
        <f t="shared" si="64"/>
        <v>0</v>
      </c>
    </row>
    <row r="290" spans="1:24" s="2" customFormat="1" ht="12" x14ac:dyDescent="0.15">
      <c r="A290" s="125" t="s">
        <v>87</v>
      </c>
      <c r="B290" s="139">
        <v>900042898</v>
      </c>
      <c r="C290" s="137" t="s">
        <v>390</v>
      </c>
      <c r="D290" s="137" t="s">
        <v>531</v>
      </c>
      <c r="E290" s="138">
        <v>4750760</v>
      </c>
      <c r="F290" s="138">
        <v>19063293</v>
      </c>
      <c r="G290" s="138">
        <v>4667994</v>
      </c>
      <c r="H290" s="138">
        <v>6882511</v>
      </c>
      <c r="I290" s="138">
        <v>12180782</v>
      </c>
      <c r="J290" s="138">
        <v>-2305618</v>
      </c>
      <c r="K290" s="138">
        <v>115098</v>
      </c>
      <c r="L290" s="93">
        <f t="shared" si="59"/>
        <v>82766</v>
      </c>
      <c r="M290" s="94">
        <f t="shared" si="65"/>
        <v>1.0177305283597193</v>
      </c>
      <c r="N290" s="94">
        <f t="shared" si="60"/>
        <v>0.36103473833193456</v>
      </c>
      <c r="O290" s="94"/>
      <c r="P290" s="94">
        <f t="shared" si="54"/>
        <v>-0.18928324963044244</v>
      </c>
      <c r="Q290" s="94">
        <f t="shared" si="61"/>
        <v>-0.12094542112949741</v>
      </c>
      <c r="R290" s="117" t="str">
        <f t="shared" si="62"/>
        <v>SI</v>
      </c>
      <c r="S290" s="117" t="str">
        <f t="shared" si="63"/>
        <v>NO</v>
      </c>
      <c r="T290" s="117" t="str">
        <f t="shared" si="55"/>
        <v>SI</v>
      </c>
      <c r="U290" s="117" t="str">
        <f t="shared" si="56"/>
        <v>NO</v>
      </c>
      <c r="V290" s="117" t="str">
        <f t="shared" si="57"/>
        <v>NO</v>
      </c>
      <c r="W290" s="117" t="str">
        <f t="shared" si="58"/>
        <v>NO</v>
      </c>
      <c r="X290" s="132" t="b">
        <f t="shared" si="64"/>
        <v>0</v>
      </c>
    </row>
    <row r="291" spans="1:24" s="2" customFormat="1" ht="12" x14ac:dyDescent="0.15">
      <c r="A291" s="125" t="s">
        <v>87</v>
      </c>
      <c r="B291" s="139">
        <v>900064762</v>
      </c>
      <c r="C291" s="137" t="s">
        <v>391</v>
      </c>
      <c r="D291" s="137" t="s">
        <v>531</v>
      </c>
      <c r="E291" s="138">
        <v>1650756</v>
      </c>
      <c r="F291" s="138">
        <v>1692070</v>
      </c>
      <c r="G291" s="138">
        <v>454354</v>
      </c>
      <c r="H291" s="138">
        <v>965264</v>
      </c>
      <c r="I291" s="138">
        <v>726806</v>
      </c>
      <c r="J291" s="138">
        <v>267695</v>
      </c>
      <c r="K291" s="138">
        <v>99898</v>
      </c>
      <c r="L291" s="93">
        <f t="shared" si="59"/>
        <v>1196402</v>
      </c>
      <c r="M291" s="94"/>
      <c r="N291" s="94">
        <f t="shared" si="60"/>
        <v>0.57046339690438341</v>
      </c>
      <c r="O291" s="94">
        <f t="shared" si="66"/>
        <v>2.6796832769424812</v>
      </c>
      <c r="P291" s="94">
        <f t="shared" si="54"/>
        <v>0.36831699242989191</v>
      </c>
      <c r="Q291" s="94">
        <f t="shared" si="61"/>
        <v>0.15820562979072969</v>
      </c>
      <c r="R291" s="117" t="str">
        <f t="shared" si="62"/>
        <v>SI</v>
      </c>
      <c r="S291" s="117" t="str">
        <f t="shared" si="63"/>
        <v>NO</v>
      </c>
      <c r="T291" s="117" t="str">
        <f t="shared" si="55"/>
        <v>SI</v>
      </c>
      <c r="U291" s="117" t="str">
        <f t="shared" si="56"/>
        <v>SI</v>
      </c>
      <c r="V291" s="117" t="str">
        <f t="shared" si="57"/>
        <v>SI</v>
      </c>
      <c r="W291" s="117" t="str">
        <f t="shared" si="58"/>
        <v>SI</v>
      </c>
      <c r="X291" s="132" t="b">
        <f t="shared" si="64"/>
        <v>0</v>
      </c>
    </row>
    <row r="292" spans="1:24" s="2" customFormat="1" ht="12" x14ac:dyDescent="0.15">
      <c r="A292" s="125" t="s">
        <v>87</v>
      </c>
      <c r="B292" s="139">
        <v>900068178</v>
      </c>
      <c r="C292" s="137" t="s">
        <v>392</v>
      </c>
      <c r="D292" s="137" t="s">
        <v>531</v>
      </c>
      <c r="E292" s="138">
        <v>4254966</v>
      </c>
      <c r="F292" s="138">
        <v>4452480</v>
      </c>
      <c r="G292" s="138">
        <v>856621</v>
      </c>
      <c r="H292" s="138">
        <v>2329239</v>
      </c>
      <c r="I292" s="138">
        <v>2123241</v>
      </c>
      <c r="J292" s="138">
        <v>244390</v>
      </c>
      <c r="K292" s="138"/>
      <c r="L292" s="93">
        <f t="shared" si="59"/>
        <v>3398345</v>
      </c>
      <c r="M292" s="94">
        <f t="shared" si="65"/>
        <v>4.9671511672022985</v>
      </c>
      <c r="N292" s="94">
        <f t="shared" si="60"/>
        <v>0.52313295062526954</v>
      </c>
      <c r="O292" s="94" t="s">
        <v>108</v>
      </c>
      <c r="P292" s="94">
        <f t="shared" si="54"/>
        <v>0.1151023364752282</v>
      </c>
      <c r="Q292" s="94">
        <f t="shared" si="61"/>
        <v>5.488851157107949E-2</v>
      </c>
      <c r="R292" s="117" t="str">
        <f t="shared" si="62"/>
        <v>SI</v>
      </c>
      <c r="S292" s="117" t="str">
        <f t="shared" si="63"/>
        <v>SI</v>
      </c>
      <c r="T292" s="117" t="str">
        <f t="shared" si="55"/>
        <v>SI</v>
      </c>
      <c r="U292" s="117" t="str">
        <f t="shared" si="56"/>
        <v>SI</v>
      </c>
      <c r="V292" s="117" t="str">
        <f t="shared" si="57"/>
        <v>NO</v>
      </c>
      <c r="W292" s="117" t="str">
        <f t="shared" si="58"/>
        <v>NO</v>
      </c>
      <c r="X292" s="132" t="b">
        <f t="shared" si="64"/>
        <v>0</v>
      </c>
    </row>
    <row r="293" spans="1:24" s="2" customFormat="1" ht="12" x14ac:dyDescent="0.15">
      <c r="A293" s="125" t="s">
        <v>87</v>
      </c>
      <c r="B293" s="139">
        <v>900070751</v>
      </c>
      <c r="C293" s="137" t="s">
        <v>393</v>
      </c>
      <c r="D293" s="137" t="s">
        <v>531</v>
      </c>
      <c r="E293" s="138">
        <v>4599437</v>
      </c>
      <c r="F293" s="138">
        <v>5622245</v>
      </c>
      <c r="G293" s="138">
        <v>1917854</v>
      </c>
      <c r="H293" s="138">
        <v>1944101</v>
      </c>
      <c r="I293" s="138">
        <v>3678144</v>
      </c>
      <c r="J293" s="138">
        <v>687006</v>
      </c>
      <c r="K293" s="138">
        <v>31185</v>
      </c>
      <c r="L293" s="93">
        <f t="shared" si="59"/>
        <v>2681583</v>
      </c>
      <c r="M293" s="94">
        <f t="shared" si="65"/>
        <v>2.3982206153335968</v>
      </c>
      <c r="N293" s="94">
        <f t="shared" si="60"/>
        <v>0.34578731449803413</v>
      </c>
      <c r="O293" s="94"/>
      <c r="P293" s="94">
        <f t="shared" si="54"/>
        <v>0.18678061544083102</v>
      </c>
      <c r="Q293" s="94">
        <f t="shared" si="61"/>
        <v>0.12219424802725602</v>
      </c>
      <c r="R293" s="117" t="str">
        <f t="shared" si="62"/>
        <v>SI</v>
      </c>
      <c r="S293" s="117" t="str">
        <f t="shared" si="63"/>
        <v>SI</v>
      </c>
      <c r="T293" s="117" t="str">
        <f t="shared" si="55"/>
        <v>SI</v>
      </c>
      <c r="U293" s="117" t="str">
        <f t="shared" si="56"/>
        <v>NO</v>
      </c>
      <c r="V293" s="117" t="str">
        <f t="shared" si="57"/>
        <v>SI</v>
      </c>
      <c r="W293" s="117" t="str">
        <f t="shared" si="58"/>
        <v>SI</v>
      </c>
      <c r="X293" s="132" t="b">
        <f t="shared" si="64"/>
        <v>0</v>
      </c>
    </row>
    <row r="294" spans="1:24" s="2" customFormat="1" ht="12" x14ac:dyDescent="0.15">
      <c r="A294" s="125" t="s">
        <v>87</v>
      </c>
      <c r="B294" s="139">
        <v>900075189</v>
      </c>
      <c r="C294" s="137" t="s">
        <v>394</v>
      </c>
      <c r="D294" s="137" t="s">
        <v>531</v>
      </c>
      <c r="E294" s="138">
        <v>12086813</v>
      </c>
      <c r="F294" s="138">
        <v>16712792</v>
      </c>
      <c r="G294" s="138">
        <v>4676241</v>
      </c>
      <c r="H294" s="138">
        <v>6438141</v>
      </c>
      <c r="I294" s="138">
        <v>10274651</v>
      </c>
      <c r="J294" s="138">
        <v>1711813</v>
      </c>
      <c r="K294" s="138">
        <v>540384</v>
      </c>
      <c r="L294" s="93">
        <f t="shared" si="59"/>
        <v>7410572</v>
      </c>
      <c r="M294" s="94">
        <f t="shared" si="65"/>
        <v>2.5847284175473422</v>
      </c>
      <c r="N294" s="94">
        <f t="shared" si="60"/>
        <v>0.38522234944346823</v>
      </c>
      <c r="O294" s="94">
        <f t="shared" si="66"/>
        <v>3.1677714366080418</v>
      </c>
      <c r="P294" s="94">
        <f t="shared" si="54"/>
        <v>0.16660546426345771</v>
      </c>
      <c r="Q294" s="94">
        <f t="shared" si="61"/>
        <v>0.10242531588976875</v>
      </c>
      <c r="R294" s="117" t="str">
        <f t="shared" si="62"/>
        <v>SI</v>
      </c>
      <c r="S294" s="117" t="str">
        <f t="shared" si="63"/>
        <v>SI</v>
      </c>
      <c r="T294" s="117" t="str">
        <f t="shared" si="55"/>
        <v>SI</v>
      </c>
      <c r="U294" s="117" t="str">
        <f t="shared" si="56"/>
        <v>SI</v>
      </c>
      <c r="V294" s="117" t="str">
        <f t="shared" si="57"/>
        <v>NO</v>
      </c>
      <c r="W294" s="117" t="str">
        <f t="shared" si="58"/>
        <v>SI</v>
      </c>
      <c r="X294" s="132" t="b">
        <f t="shared" si="64"/>
        <v>0</v>
      </c>
    </row>
    <row r="295" spans="1:24" s="2" customFormat="1" ht="12" x14ac:dyDescent="0.15">
      <c r="A295" s="125" t="s">
        <v>87</v>
      </c>
      <c r="B295" s="139">
        <v>900075980</v>
      </c>
      <c r="C295" s="137" t="s">
        <v>395</v>
      </c>
      <c r="D295" s="137" t="s">
        <v>531</v>
      </c>
      <c r="E295" s="138">
        <v>12097821</v>
      </c>
      <c r="F295" s="138">
        <v>12247420</v>
      </c>
      <c r="G295" s="138">
        <v>4747271</v>
      </c>
      <c r="H295" s="138">
        <v>7918719</v>
      </c>
      <c r="I295" s="138">
        <v>4328701</v>
      </c>
      <c r="J295" s="138">
        <v>87522</v>
      </c>
      <c r="K295" s="138"/>
      <c r="L295" s="93">
        <f t="shared" si="59"/>
        <v>7350550</v>
      </c>
      <c r="M295" s="94">
        <f t="shared" si="65"/>
        <v>2.5483737920165082</v>
      </c>
      <c r="N295" s="94">
        <f t="shared" si="60"/>
        <v>0.64656221473583819</v>
      </c>
      <c r="O295" s="94" t="s">
        <v>108</v>
      </c>
      <c r="P295" s="94">
        <f t="shared" si="54"/>
        <v>2.0218998725021663E-2</v>
      </c>
      <c r="Q295" s="94">
        <f t="shared" si="61"/>
        <v>7.1461581296305672E-3</v>
      </c>
      <c r="R295" s="117" t="str">
        <f t="shared" si="62"/>
        <v>SI</v>
      </c>
      <c r="S295" s="117" t="str">
        <f t="shared" si="63"/>
        <v>SI</v>
      </c>
      <c r="T295" s="117" t="str">
        <f t="shared" si="55"/>
        <v>SI</v>
      </c>
      <c r="U295" s="117" t="str">
        <f t="shared" si="56"/>
        <v>SI</v>
      </c>
      <c r="V295" s="117" t="str">
        <f t="shared" si="57"/>
        <v>NO</v>
      </c>
      <c r="W295" s="117" t="str">
        <f t="shared" si="58"/>
        <v>NO</v>
      </c>
      <c r="X295" s="132" t="b">
        <f t="shared" si="64"/>
        <v>0</v>
      </c>
    </row>
    <row r="296" spans="1:24" s="2" customFormat="1" ht="12" x14ac:dyDescent="0.15">
      <c r="A296" s="125" t="s">
        <v>87</v>
      </c>
      <c r="B296" s="139">
        <v>900076424</v>
      </c>
      <c r="C296" s="137" t="s">
        <v>396</v>
      </c>
      <c r="D296" s="137" t="s">
        <v>531</v>
      </c>
      <c r="E296" s="138">
        <v>59695256</v>
      </c>
      <c r="F296" s="138">
        <v>70025835</v>
      </c>
      <c r="G296" s="138">
        <v>44929323</v>
      </c>
      <c r="H296" s="138">
        <v>46977500</v>
      </c>
      <c r="I296" s="138">
        <v>23048335</v>
      </c>
      <c r="J296" s="138">
        <v>8756640</v>
      </c>
      <c r="K296" s="138">
        <v>2700475</v>
      </c>
      <c r="L296" s="93">
        <f t="shared" si="59"/>
        <v>14765933</v>
      </c>
      <c r="M296" s="94">
        <f t="shared" si="65"/>
        <v>1.3286480190231222</v>
      </c>
      <c r="N296" s="94">
        <f t="shared" si="60"/>
        <v>0.67085954776547829</v>
      </c>
      <c r="O296" s="94">
        <f t="shared" si="66"/>
        <v>3.2426295373961986</v>
      </c>
      <c r="P296" s="94">
        <f t="shared" si="54"/>
        <v>0.37992505749330702</v>
      </c>
      <c r="Q296" s="94">
        <f t="shared" si="61"/>
        <v>0.12504870523857373</v>
      </c>
      <c r="R296" s="117" t="str">
        <f t="shared" si="62"/>
        <v>SI</v>
      </c>
      <c r="S296" s="117" t="str">
        <f t="shared" si="63"/>
        <v>NO</v>
      </c>
      <c r="T296" s="117" t="str">
        <f t="shared" si="55"/>
        <v>SI</v>
      </c>
      <c r="U296" s="117" t="str">
        <f t="shared" si="56"/>
        <v>SI</v>
      </c>
      <c r="V296" s="117" t="str">
        <f t="shared" si="57"/>
        <v>SI</v>
      </c>
      <c r="W296" s="117" t="str">
        <f t="shared" si="58"/>
        <v>SI</v>
      </c>
      <c r="X296" s="132" t="b">
        <f t="shared" si="64"/>
        <v>0</v>
      </c>
    </row>
    <row r="297" spans="1:24" s="2" customFormat="1" ht="12" x14ac:dyDescent="0.15">
      <c r="A297" s="125" t="s">
        <v>87</v>
      </c>
      <c r="B297" s="139">
        <v>900080090</v>
      </c>
      <c r="C297" s="137" t="s">
        <v>397</v>
      </c>
      <c r="D297" s="137" t="s">
        <v>531</v>
      </c>
      <c r="E297" s="138">
        <v>4321873</v>
      </c>
      <c r="F297" s="138">
        <v>4518053</v>
      </c>
      <c r="G297" s="138">
        <v>2247411</v>
      </c>
      <c r="H297" s="138">
        <v>2247471</v>
      </c>
      <c r="I297" s="138">
        <v>2270582</v>
      </c>
      <c r="J297" s="138">
        <v>2098511</v>
      </c>
      <c r="K297" s="138">
        <v>104596</v>
      </c>
      <c r="L297" s="93">
        <f t="shared" si="59"/>
        <v>2074462</v>
      </c>
      <c r="M297" s="94">
        <f t="shared" si="65"/>
        <v>1.9230452284873572</v>
      </c>
      <c r="N297" s="94">
        <f t="shared" si="60"/>
        <v>0.49744237174729911</v>
      </c>
      <c r="O297" s="94"/>
      <c r="P297" s="94">
        <f t="shared" si="54"/>
        <v>0.92421722712502785</v>
      </c>
      <c r="Q297" s="94">
        <f t="shared" si="61"/>
        <v>0.4644724176542418</v>
      </c>
      <c r="R297" s="117" t="str">
        <f t="shared" si="62"/>
        <v>SI</v>
      </c>
      <c r="S297" s="117" t="str">
        <f t="shared" si="63"/>
        <v>SI</v>
      </c>
      <c r="T297" s="117" t="str">
        <f t="shared" si="55"/>
        <v>SI</v>
      </c>
      <c r="U297" s="117" t="str">
        <f t="shared" si="56"/>
        <v>NO</v>
      </c>
      <c r="V297" s="117" t="str">
        <f t="shared" si="57"/>
        <v>SI</v>
      </c>
      <c r="W297" s="117" t="str">
        <f t="shared" si="58"/>
        <v>SI</v>
      </c>
      <c r="X297" s="132" t="b">
        <f t="shared" si="64"/>
        <v>0</v>
      </c>
    </row>
    <row r="298" spans="1:24" s="2" customFormat="1" ht="12" x14ac:dyDescent="0.15">
      <c r="A298" s="125" t="s">
        <v>87</v>
      </c>
      <c r="B298" s="139">
        <v>900081215</v>
      </c>
      <c r="C298" s="137" t="s">
        <v>398</v>
      </c>
      <c r="D298" s="137" t="s">
        <v>531</v>
      </c>
      <c r="E298" s="138">
        <v>3655708</v>
      </c>
      <c r="F298" s="138">
        <v>3655838</v>
      </c>
      <c r="G298" s="138">
        <v>1135318</v>
      </c>
      <c r="H298" s="138">
        <v>1324533</v>
      </c>
      <c r="I298" s="138">
        <v>2331305</v>
      </c>
      <c r="J298" s="138">
        <v>77651</v>
      </c>
      <c r="K298" s="138"/>
      <c r="L298" s="93">
        <f t="shared" si="59"/>
        <v>2520390</v>
      </c>
      <c r="M298" s="94"/>
      <c r="N298" s="94">
        <f t="shared" si="60"/>
        <v>0.3623062619295494</v>
      </c>
      <c r="O298" s="94" t="s">
        <v>108</v>
      </c>
      <c r="P298" s="94">
        <f t="shared" si="54"/>
        <v>3.3307954128696159E-2</v>
      </c>
      <c r="Q298" s="94">
        <f t="shared" si="61"/>
        <v>2.1240273775807353E-2</v>
      </c>
      <c r="R298" s="117" t="str">
        <f t="shared" si="62"/>
        <v>SI</v>
      </c>
      <c r="S298" s="117" t="str">
        <f t="shared" si="63"/>
        <v>NO</v>
      </c>
      <c r="T298" s="117" t="str">
        <f t="shared" si="55"/>
        <v>SI</v>
      </c>
      <c r="U298" s="117" t="str">
        <f t="shared" si="56"/>
        <v>SI</v>
      </c>
      <c r="V298" s="117" t="str">
        <f t="shared" si="57"/>
        <v>NO</v>
      </c>
      <c r="W298" s="117" t="str">
        <f t="shared" si="58"/>
        <v>NO</v>
      </c>
      <c r="X298" s="132" t="b">
        <f t="shared" si="64"/>
        <v>0</v>
      </c>
    </row>
    <row r="299" spans="1:24" s="2" customFormat="1" ht="12" x14ac:dyDescent="0.15">
      <c r="A299" s="125" t="s">
        <v>87</v>
      </c>
      <c r="B299" s="139">
        <v>900084822</v>
      </c>
      <c r="C299" s="137" t="s">
        <v>399</v>
      </c>
      <c r="D299" s="137" t="s">
        <v>531</v>
      </c>
      <c r="E299" s="138">
        <v>45149051</v>
      </c>
      <c r="F299" s="138">
        <v>46278647</v>
      </c>
      <c r="G299" s="138">
        <v>29627771</v>
      </c>
      <c r="H299" s="138">
        <v>29627771</v>
      </c>
      <c r="I299" s="138">
        <v>16650876</v>
      </c>
      <c r="J299" s="138">
        <v>2136483</v>
      </c>
      <c r="K299" s="138">
        <v>3729888</v>
      </c>
      <c r="L299" s="93">
        <f t="shared" si="59"/>
        <v>15521280</v>
      </c>
      <c r="M299" s="94">
        <f t="shared" si="65"/>
        <v>1.5238760620905298</v>
      </c>
      <c r="N299" s="94">
        <f t="shared" si="60"/>
        <v>0.64020391520953501</v>
      </c>
      <c r="O299" s="94">
        <f t="shared" si="66"/>
        <v>0.57280084549455645</v>
      </c>
      <c r="P299" s="94">
        <f t="shared" si="54"/>
        <v>0.12831054654421786</v>
      </c>
      <c r="Q299" s="94">
        <f t="shared" si="61"/>
        <v>4.6165632283934319E-2</v>
      </c>
      <c r="R299" s="117" t="str">
        <f t="shared" si="62"/>
        <v>SI</v>
      </c>
      <c r="S299" s="117" t="str">
        <f t="shared" si="63"/>
        <v>NO</v>
      </c>
      <c r="T299" s="117" t="str">
        <f t="shared" si="55"/>
        <v>SI</v>
      </c>
      <c r="U299" s="117" t="str">
        <f t="shared" si="56"/>
        <v>NO</v>
      </c>
      <c r="V299" s="117" t="str">
        <f t="shared" si="57"/>
        <v>NO</v>
      </c>
      <c r="W299" s="117" t="str">
        <f t="shared" si="58"/>
        <v>NO</v>
      </c>
      <c r="X299" s="132" t="b">
        <f t="shared" si="64"/>
        <v>0</v>
      </c>
    </row>
    <row r="300" spans="1:24" s="2" customFormat="1" ht="12" x14ac:dyDescent="0.15">
      <c r="A300" s="125" t="s">
        <v>87</v>
      </c>
      <c r="B300" s="139">
        <v>900085739</v>
      </c>
      <c r="C300" s="137" t="s">
        <v>400</v>
      </c>
      <c r="D300" s="137" t="s">
        <v>531</v>
      </c>
      <c r="E300" s="138">
        <v>2656667</v>
      </c>
      <c r="F300" s="138">
        <v>2954284</v>
      </c>
      <c r="G300" s="138">
        <v>1669312</v>
      </c>
      <c r="H300" s="138">
        <v>1669312</v>
      </c>
      <c r="I300" s="138">
        <v>1284972</v>
      </c>
      <c r="J300" s="138">
        <v>717401</v>
      </c>
      <c r="K300" s="138">
        <v>92665</v>
      </c>
      <c r="L300" s="93">
        <f t="shared" si="59"/>
        <v>987355</v>
      </c>
      <c r="M300" s="94">
        <f t="shared" si="65"/>
        <v>1.5914742121305065</v>
      </c>
      <c r="N300" s="94">
        <f t="shared" si="60"/>
        <v>0.56504791008582789</v>
      </c>
      <c r="O300" s="94"/>
      <c r="P300" s="94">
        <f t="shared" si="54"/>
        <v>0.55830088126433886</v>
      </c>
      <c r="Q300" s="94">
        <f t="shared" si="61"/>
        <v>0.24283413510684823</v>
      </c>
      <c r="R300" s="117" t="str">
        <f t="shared" si="62"/>
        <v>SI</v>
      </c>
      <c r="S300" s="117" t="str">
        <f t="shared" si="63"/>
        <v>NO</v>
      </c>
      <c r="T300" s="117" t="str">
        <f t="shared" si="55"/>
        <v>SI</v>
      </c>
      <c r="U300" s="117" t="str">
        <f t="shared" si="56"/>
        <v>NO</v>
      </c>
      <c r="V300" s="117" t="str">
        <f t="shared" si="57"/>
        <v>SI</v>
      </c>
      <c r="W300" s="117" t="str">
        <f t="shared" si="58"/>
        <v>SI</v>
      </c>
      <c r="X300" s="132" t="b">
        <f t="shared" si="64"/>
        <v>0</v>
      </c>
    </row>
    <row r="301" spans="1:24" s="2" customFormat="1" ht="12" x14ac:dyDescent="0.15">
      <c r="A301" s="125" t="s">
        <v>87</v>
      </c>
      <c r="B301" s="139">
        <v>900089543</v>
      </c>
      <c r="C301" s="137" t="s">
        <v>401</v>
      </c>
      <c r="D301" s="137" t="s">
        <v>531</v>
      </c>
      <c r="E301" s="138">
        <v>2834025</v>
      </c>
      <c r="F301" s="138">
        <v>3118164</v>
      </c>
      <c r="G301" s="138">
        <v>762084</v>
      </c>
      <c r="H301" s="138">
        <v>762084</v>
      </c>
      <c r="I301" s="138">
        <v>2356080</v>
      </c>
      <c r="J301" s="138">
        <v>150668</v>
      </c>
      <c r="K301" s="138"/>
      <c r="L301" s="93">
        <f t="shared" si="59"/>
        <v>2071941</v>
      </c>
      <c r="M301" s="94"/>
      <c r="N301" s="94">
        <f t="shared" si="60"/>
        <v>0.24440151319815123</v>
      </c>
      <c r="O301" s="94" t="s">
        <v>108</v>
      </c>
      <c r="P301" s="94">
        <f t="shared" si="54"/>
        <v>6.3948592577501615E-2</v>
      </c>
      <c r="Q301" s="94">
        <f t="shared" si="61"/>
        <v>4.8319459784668159E-2</v>
      </c>
      <c r="R301" s="117" t="str">
        <f t="shared" si="62"/>
        <v>SI</v>
      </c>
      <c r="S301" s="117" t="str">
        <f t="shared" si="63"/>
        <v>NO</v>
      </c>
      <c r="T301" s="117" t="str">
        <f t="shared" si="55"/>
        <v>SI</v>
      </c>
      <c r="U301" s="117" t="str">
        <f t="shared" si="56"/>
        <v>SI</v>
      </c>
      <c r="V301" s="117" t="str">
        <f t="shared" si="57"/>
        <v>NO</v>
      </c>
      <c r="W301" s="117" t="str">
        <f t="shared" si="58"/>
        <v>NO</v>
      </c>
      <c r="X301" s="132" t="b">
        <f t="shared" si="64"/>
        <v>0</v>
      </c>
    </row>
    <row r="302" spans="1:24" s="2" customFormat="1" ht="12" x14ac:dyDescent="0.15">
      <c r="A302" s="125" t="s">
        <v>87</v>
      </c>
      <c r="B302" s="139">
        <v>900095423</v>
      </c>
      <c r="C302" s="137" t="s">
        <v>402</v>
      </c>
      <c r="D302" s="137" t="s">
        <v>531</v>
      </c>
      <c r="E302" s="138">
        <v>21864160</v>
      </c>
      <c r="F302" s="138">
        <v>36847079</v>
      </c>
      <c r="G302" s="138">
        <v>15131948</v>
      </c>
      <c r="H302" s="138">
        <v>25069832</v>
      </c>
      <c r="I302" s="138">
        <v>11777247</v>
      </c>
      <c r="J302" s="138">
        <v>5689855</v>
      </c>
      <c r="K302" s="138">
        <v>1605162</v>
      </c>
      <c r="L302" s="93">
        <f t="shared" si="59"/>
        <v>6732212</v>
      </c>
      <c r="M302" s="94">
        <f t="shared" si="65"/>
        <v>1.4449005508081312</v>
      </c>
      <c r="N302" s="94">
        <f t="shared" si="60"/>
        <v>0.68037501697217306</v>
      </c>
      <c r="O302" s="94"/>
      <c r="P302" s="94">
        <f t="shared" si="54"/>
        <v>0.48312266865083153</v>
      </c>
      <c r="Q302" s="94">
        <f t="shared" si="61"/>
        <v>0.15441807476788053</v>
      </c>
      <c r="R302" s="117" t="str">
        <f t="shared" si="62"/>
        <v>SI</v>
      </c>
      <c r="S302" s="117" t="str">
        <f t="shared" si="63"/>
        <v>NO</v>
      </c>
      <c r="T302" s="117" t="str">
        <f t="shared" si="55"/>
        <v>SI</v>
      </c>
      <c r="U302" s="117" t="str">
        <f t="shared" si="56"/>
        <v>NO</v>
      </c>
      <c r="V302" s="117" t="str">
        <f t="shared" si="57"/>
        <v>SI</v>
      </c>
      <c r="W302" s="117" t="str">
        <f t="shared" si="58"/>
        <v>SI</v>
      </c>
      <c r="X302" s="132" t="b">
        <f t="shared" si="64"/>
        <v>0</v>
      </c>
    </row>
    <row r="303" spans="1:24" s="2" customFormat="1" ht="12" x14ac:dyDescent="0.15">
      <c r="A303" s="125" t="s">
        <v>87</v>
      </c>
      <c r="B303" s="139">
        <v>900098348</v>
      </c>
      <c r="C303" s="137" t="s">
        <v>403</v>
      </c>
      <c r="D303" s="137" t="s">
        <v>531</v>
      </c>
      <c r="E303" s="138">
        <v>11121336</v>
      </c>
      <c r="F303" s="138">
        <v>11603871</v>
      </c>
      <c r="G303" s="138">
        <v>6183895</v>
      </c>
      <c r="H303" s="138">
        <v>6183895</v>
      </c>
      <c r="I303" s="138">
        <v>5419976</v>
      </c>
      <c r="J303" s="138">
        <v>1807416</v>
      </c>
      <c r="K303" s="138"/>
      <c r="L303" s="93">
        <f t="shared" si="59"/>
        <v>4937441</v>
      </c>
      <c r="M303" s="94">
        <f t="shared" si="65"/>
        <v>1.7984354520896619</v>
      </c>
      <c r="N303" s="94">
        <f t="shared" si="60"/>
        <v>0.53291655862082576</v>
      </c>
      <c r="O303" s="94" t="s">
        <v>108</v>
      </c>
      <c r="P303" s="94">
        <f t="shared" si="54"/>
        <v>0.333473063349358</v>
      </c>
      <c r="Q303" s="94">
        <f t="shared" si="61"/>
        <v>0.15575974603647352</v>
      </c>
      <c r="R303" s="117" t="str">
        <f t="shared" si="62"/>
        <v>SI</v>
      </c>
      <c r="S303" s="117" t="str">
        <f t="shared" si="63"/>
        <v>NO</v>
      </c>
      <c r="T303" s="117" t="str">
        <f t="shared" si="55"/>
        <v>SI</v>
      </c>
      <c r="U303" s="117" t="str">
        <f t="shared" si="56"/>
        <v>SI</v>
      </c>
      <c r="V303" s="117" t="str">
        <f t="shared" si="57"/>
        <v>SI</v>
      </c>
      <c r="W303" s="117" t="str">
        <f t="shared" si="58"/>
        <v>SI</v>
      </c>
      <c r="X303" s="132" t="b">
        <f t="shared" si="64"/>
        <v>0</v>
      </c>
    </row>
    <row r="304" spans="1:24" s="2" customFormat="1" ht="12" x14ac:dyDescent="0.15">
      <c r="A304" s="125" t="s">
        <v>87</v>
      </c>
      <c r="B304" s="139">
        <v>900110270</v>
      </c>
      <c r="C304" s="137" t="s">
        <v>404</v>
      </c>
      <c r="D304" s="137" t="s">
        <v>531</v>
      </c>
      <c r="E304" s="138">
        <v>2558667</v>
      </c>
      <c r="F304" s="138">
        <v>2966299</v>
      </c>
      <c r="G304" s="138">
        <v>1665655</v>
      </c>
      <c r="H304" s="138">
        <v>1665655</v>
      </c>
      <c r="I304" s="138">
        <v>1300644</v>
      </c>
      <c r="J304" s="138">
        <v>144803</v>
      </c>
      <c r="K304" s="138"/>
      <c r="L304" s="93">
        <f t="shared" si="59"/>
        <v>893012</v>
      </c>
      <c r="M304" s="94">
        <f t="shared" si="65"/>
        <v>1.5361326325079323</v>
      </c>
      <c r="N304" s="94">
        <f t="shared" si="60"/>
        <v>0.56152633298261567</v>
      </c>
      <c r="O304" s="94" t="s">
        <v>108</v>
      </c>
      <c r="P304" s="94">
        <f t="shared" si="54"/>
        <v>0.11133177103035112</v>
      </c>
      <c r="Q304" s="94">
        <f t="shared" si="61"/>
        <v>4.8816049899217846E-2</v>
      </c>
      <c r="R304" s="117" t="str">
        <f t="shared" si="62"/>
        <v>SI</v>
      </c>
      <c r="S304" s="117" t="str">
        <f t="shared" si="63"/>
        <v>NO</v>
      </c>
      <c r="T304" s="117" t="str">
        <f t="shared" si="55"/>
        <v>SI</v>
      </c>
      <c r="U304" s="117" t="str">
        <f t="shared" si="56"/>
        <v>SI</v>
      </c>
      <c r="V304" s="117" t="str">
        <f t="shared" si="57"/>
        <v>NO</v>
      </c>
      <c r="W304" s="117" t="str">
        <f t="shared" si="58"/>
        <v>NO</v>
      </c>
      <c r="X304" s="132" t="b">
        <f t="shared" si="64"/>
        <v>0</v>
      </c>
    </row>
    <row r="305" spans="1:24" s="2" customFormat="1" ht="12" x14ac:dyDescent="0.15">
      <c r="A305" s="125" t="s">
        <v>87</v>
      </c>
      <c r="B305" s="139">
        <v>900114653</v>
      </c>
      <c r="C305" s="137" t="s">
        <v>405</v>
      </c>
      <c r="D305" s="137" t="s">
        <v>531</v>
      </c>
      <c r="E305" s="138">
        <v>15404396</v>
      </c>
      <c r="F305" s="138">
        <v>19535855</v>
      </c>
      <c r="G305" s="138">
        <v>1211302</v>
      </c>
      <c r="H305" s="138">
        <v>2220327</v>
      </c>
      <c r="I305" s="138">
        <v>17315528</v>
      </c>
      <c r="J305" s="138">
        <v>713392</v>
      </c>
      <c r="K305" s="138">
        <v>8282</v>
      </c>
      <c r="L305" s="93">
        <f t="shared" si="59"/>
        <v>14193094</v>
      </c>
      <c r="M305" s="94"/>
      <c r="N305" s="94">
        <f t="shared" si="60"/>
        <v>0.11365394552733935</v>
      </c>
      <c r="O305" s="94"/>
      <c r="P305" s="94">
        <f t="shared" si="54"/>
        <v>4.1199552216946544E-2</v>
      </c>
      <c r="Q305" s="94">
        <f t="shared" si="61"/>
        <v>3.6517060553530933E-2</v>
      </c>
      <c r="R305" s="117" t="str">
        <f t="shared" si="62"/>
        <v>SI</v>
      </c>
      <c r="S305" s="117" t="str">
        <f t="shared" si="63"/>
        <v>NO</v>
      </c>
      <c r="T305" s="117" t="str">
        <f t="shared" si="55"/>
        <v>SI</v>
      </c>
      <c r="U305" s="117" t="str">
        <f t="shared" si="56"/>
        <v>NO</v>
      </c>
      <c r="V305" s="117" t="str">
        <f t="shared" si="57"/>
        <v>NO</v>
      </c>
      <c r="W305" s="117" t="str">
        <f t="shared" si="58"/>
        <v>NO</v>
      </c>
      <c r="X305" s="132" t="b">
        <f t="shared" si="64"/>
        <v>0</v>
      </c>
    </row>
    <row r="306" spans="1:24" s="2" customFormat="1" ht="12" x14ac:dyDescent="0.15">
      <c r="A306" s="125" t="s">
        <v>87</v>
      </c>
      <c r="B306" s="139">
        <v>900117307</v>
      </c>
      <c r="C306" s="137" t="s">
        <v>406</v>
      </c>
      <c r="D306" s="137" t="s">
        <v>531</v>
      </c>
      <c r="E306" s="138">
        <v>2085820</v>
      </c>
      <c r="F306" s="138">
        <v>4407273</v>
      </c>
      <c r="G306" s="138">
        <v>742575</v>
      </c>
      <c r="H306" s="138">
        <v>2365055</v>
      </c>
      <c r="I306" s="138">
        <v>2042218</v>
      </c>
      <c r="J306" s="138">
        <v>305690</v>
      </c>
      <c r="K306" s="138">
        <v>11053</v>
      </c>
      <c r="L306" s="93">
        <f t="shared" si="59"/>
        <v>1343245</v>
      </c>
      <c r="M306" s="94">
        <f t="shared" si="65"/>
        <v>2.8089014577652089</v>
      </c>
      <c r="N306" s="94">
        <f t="shared" si="60"/>
        <v>0.53662548246954522</v>
      </c>
      <c r="O306" s="94"/>
      <c r="P306" s="94">
        <f t="shared" si="54"/>
        <v>0.1496852931469608</v>
      </c>
      <c r="Q306" s="94">
        <f t="shared" si="61"/>
        <v>6.9360350493377645E-2</v>
      </c>
      <c r="R306" s="117" t="str">
        <f t="shared" si="62"/>
        <v>SI</v>
      </c>
      <c r="S306" s="117" t="str">
        <f t="shared" si="63"/>
        <v>SI</v>
      </c>
      <c r="T306" s="117" t="str">
        <f t="shared" si="55"/>
        <v>SI</v>
      </c>
      <c r="U306" s="117" t="str">
        <f t="shared" si="56"/>
        <v>NO</v>
      </c>
      <c r="V306" s="117" t="str">
        <f t="shared" si="57"/>
        <v>NO</v>
      </c>
      <c r="W306" s="117" t="str">
        <f t="shared" si="58"/>
        <v>NO</v>
      </c>
      <c r="X306" s="132" t="b">
        <f t="shared" si="64"/>
        <v>0</v>
      </c>
    </row>
    <row r="307" spans="1:24" s="2" customFormat="1" ht="12" x14ac:dyDescent="0.15">
      <c r="A307" s="125" t="s">
        <v>87</v>
      </c>
      <c r="B307" s="139">
        <v>900130896</v>
      </c>
      <c r="C307" s="137" t="s">
        <v>407</v>
      </c>
      <c r="D307" s="137" t="s">
        <v>531</v>
      </c>
      <c r="E307" s="138">
        <v>3553258</v>
      </c>
      <c r="F307" s="138">
        <v>4859761</v>
      </c>
      <c r="G307" s="138">
        <v>2302504</v>
      </c>
      <c r="H307" s="138">
        <v>3112618</v>
      </c>
      <c r="I307" s="138">
        <v>1747143</v>
      </c>
      <c r="J307" s="138">
        <v>430143</v>
      </c>
      <c r="K307" s="138">
        <v>200421</v>
      </c>
      <c r="L307" s="93">
        <f t="shared" si="59"/>
        <v>1250754</v>
      </c>
      <c r="M307" s="94">
        <f t="shared" si="65"/>
        <v>1.5432146914837064</v>
      </c>
      <c r="N307" s="94">
        <f t="shared" si="60"/>
        <v>0.64048787584410016</v>
      </c>
      <c r="O307" s="94">
        <f t="shared" si="66"/>
        <v>2.1461972547786909</v>
      </c>
      <c r="P307" s="94">
        <f t="shared" si="54"/>
        <v>0.2461979357156226</v>
      </c>
      <c r="Q307" s="94">
        <f t="shared" si="61"/>
        <v>8.8511142831921158E-2</v>
      </c>
      <c r="R307" s="117" t="str">
        <f t="shared" si="62"/>
        <v>SI</v>
      </c>
      <c r="S307" s="117" t="str">
        <f t="shared" si="63"/>
        <v>NO</v>
      </c>
      <c r="T307" s="117" t="str">
        <f t="shared" si="55"/>
        <v>SI</v>
      </c>
      <c r="U307" s="117" t="str">
        <f t="shared" si="56"/>
        <v>SI</v>
      </c>
      <c r="V307" s="117" t="str">
        <f t="shared" si="57"/>
        <v>SI</v>
      </c>
      <c r="W307" s="117" t="str">
        <f t="shared" si="58"/>
        <v>NO</v>
      </c>
      <c r="X307" s="132" t="b">
        <f t="shared" si="64"/>
        <v>0</v>
      </c>
    </row>
    <row r="308" spans="1:24" s="2" customFormat="1" ht="12" x14ac:dyDescent="0.15">
      <c r="A308" s="125" t="s">
        <v>87</v>
      </c>
      <c r="B308" s="139">
        <v>900132012</v>
      </c>
      <c r="C308" s="137" t="s">
        <v>408</v>
      </c>
      <c r="D308" s="137" t="s">
        <v>531</v>
      </c>
      <c r="E308" s="138">
        <v>15704163</v>
      </c>
      <c r="F308" s="138">
        <v>21581131</v>
      </c>
      <c r="G308" s="138">
        <v>15822008</v>
      </c>
      <c r="H308" s="138">
        <v>18167476</v>
      </c>
      <c r="I308" s="138">
        <v>3413655</v>
      </c>
      <c r="J308" s="138">
        <v>1199499</v>
      </c>
      <c r="K308" s="138">
        <v>365467</v>
      </c>
      <c r="L308" s="93">
        <f t="shared" si="59"/>
        <v>-117845</v>
      </c>
      <c r="M308" s="94">
        <f t="shared" si="65"/>
        <v>0.99255183033657923</v>
      </c>
      <c r="N308" s="94">
        <f t="shared" si="60"/>
        <v>0.84182223813941914</v>
      </c>
      <c r="O308" s="94">
        <f t="shared" si="66"/>
        <v>3.2820993413906043</v>
      </c>
      <c r="P308" s="94">
        <f t="shared" si="54"/>
        <v>0.35138260896312018</v>
      </c>
      <c r="Q308" s="94">
        <f t="shared" si="61"/>
        <v>5.5580914642518041E-2</v>
      </c>
      <c r="R308" s="117" t="str">
        <f t="shared" si="62"/>
        <v>NO</v>
      </c>
      <c r="S308" s="117" t="str">
        <f t="shared" si="63"/>
        <v>NO</v>
      </c>
      <c r="T308" s="117" t="str">
        <f t="shared" si="55"/>
        <v>SI</v>
      </c>
      <c r="U308" s="117" t="str">
        <f t="shared" si="56"/>
        <v>SI</v>
      </c>
      <c r="V308" s="117" t="str">
        <f t="shared" si="57"/>
        <v>SI</v>
      </c>
      <c r="W308" s="117" t="str">
        <f t="shared" si="58"/>
        <v>NO</v>
      </c>
      <c r="X308" s="132" t="b">
        <f t="shared" si="64"/>
        <v>0</v>
      </c>
    </row>
    <row r="309" spans="1:24" s="2" customFormat="1" ht="12" x14ac:dyDescent="0.15">
      <c r="A309" s="125" t="s">
        <v>87</v>
      </c>
      <c r="B309" s="139">
        <v>900135826</v>
      </c>
      <c r="C309" s="137" t="s">
        <v>409</v>
      </c>
      <c r="D309" s="137" t="s">
        <v>531</v>
      </c>
      <c r="E309" s="138">
        <v>1526375</v>
      </c>
      <c r="F309" s="138">
        <v>2215276</v>
      </c>
      <c r="G309" s="138">
        <v>432484</v>
      </c>
      <c r="H309" s="138">
        <v>728241</v>
      </c>
      <c r="I309" s="138">
        <v>1487035</v>
      </c>
      <c r="J309" s="138">
        <v>-173150</v>
      </c>
      <c r="K309" s="138"/>
      <c r="L309" s="93">
        <f t="shared" si="59"/>
        <v>1093891</v>
      </c>
      <c r="M309" s="94"/>
      <c r="N309" s="94">
        <f t="shared" si="60"/>
        <v>0.32873601302952771</v>
      </c>
      <c r="O309" s="94" t="s">
        <v>108</v>
      </c>
      <c r="P309" s="94">
        <f t="shared" si="54"/>
        <v>-0.11643976100091794</v>
      </c>
      <c r="Q309" s="94">
        <f t="shared" si="61"/>
        <v>-7.8161818211365086E-2</v>
      </c>
      <c r="R309" s="117" t="str">
        <f t="shared" si="62"/>
        <v>SI</v>
      </c>
      <c r="S309" s="117" t="str">
        <f t="shared" si="63"/>
        <v>NO</v>
      </c>
      <c r="T309" s="117" t="str">
        <f t="shared" si="55"/>
        <v>SI</v>
      </c>
      <c r="U309" s="117" t="str">
        <f t="shared" si="56"/>
        <v>SI</v>
      </c>
      <c r="V309" s="117" t="str">
        <f t="shared" si="57"/>
        <v>NO</v>
      </c>
      <c r="W309" s="117" t="str">
        <f t="shared" si="58"/>
        <v>NO</v>
      </c>
      <c r="X309" s="132" t="b">
        <f t="shared" si="64"/>
        <v>0</v>
      </c>
    </row>
    <row r="310" spans="1:24" s="2" customFormat="1" ht="12" x14ac:dyDescent="0.15">
      <c r="A310" s="125" t="s">
        <v>87</v>
      </c>
      <c r="B310" s="139">
        <v>900136532</v>
      </c>
      <c r="C310" s="137" t="s">
        <v>410</v>
      </c>
      <c r="D310" s="137" t="s">
        <v>531</v>
      </c>
      <c r="E310" s="138">
        <v>27587168</v>
      </c>
      <c r="F310" s="138">
        <v>28007365</v>
      </c>
      <c r="G310" s="138">
        <v>13150977</v>
      </c>
      <c r="H310" s="138">
        <v>13153803</v>
      </c>
      <c r="I310" s="138">
        <v>14853562</v>
      </c>
      <c r="J310" s="138">
        <v>8768294</v>
      </c>
      <c r="K310" s="138">
        <v>3528600</v>
      </c>
      <c r="L310" s="93">
        <f t="shared" si="59"/>
        <v>14436191</v>
      </c>
      <c r="M310" s="94">
        <f t="shared" si="65"/>
        <v>2.0977276441134372</v>
      </c>
      <c r="N310" s="94">
        <f t="shared" si="60"/>
        <v>0.46965514249555429</v>
      </c>
      <c r="O310" s="94">
        <f t="shared" si="66"/>
        <v>2.4849214986113473</v>
      </c>
      <c r="P310" s="94">
        <f t="shared" si="54"/>
        <v>0.5903159121024304</v>
      </c>
      <c r="Q310" s="94">
        <f t="shared" si="61"/>
        <v>0.31307100828657036</v>
      </c>
      <c r="R310" s="117" t="str">
        <f t="shared" si="62"/>
        <v>SI</v>
      </c>
      <c r="S310" s="117" t="str">
        <f t="shared" si="63"/>
        <v>SI</v>
      </c>
      <c r="T310" s="117" t="str">
        <f t="shared" si="55"/>
        <v>SI</v>
      </c>
      <c r="U310" s="117" t="str">
        <f t="shared" si="56"/>
        <v>SI</v>
      </c>
      <c r="V310" s="117" t="str">
        <f t="shared" si="57"/>
        <v>SI</v>
      </c>
      <c r="W310" s="117" t="str">
        <f t="shared" si="58"/>
        <v>SI</v>
      </c>
      <c r="X310" s="132" t="str">
        <f t="shared" si="64"/>
        <v>SI</v>
      </c>
    </row>
    <row r="311" spans="1:24" s="2" customFormat="1" ht="12" x14ac:dyDescent="0.15">
      <c r="A311" s="125" t="s">
        <v>87</v>
      </c>
      <c r="B311" s="139">
        <v>900138096</v>
      </c>
      <c r="C311" s="137" t="s">
        <v>411</v>
      </c>
      <c r="D311" s="137" t="s">
        <v>531</v>
      </c>
      <c r="E311" s="138">
        <v>3160548</v>
      </c>
      <c r="F311" s="138">
        <v>4252513</v>
      </c>
      <c r="G311" s="138">
        <v>2968367</v>
      </c>
      <c r="H311" s="138">
        <v>3258496</v>
      </c>
      <c r="I311" s="138">
        <v>994017</v>
      </c>
      <c r="J311" s="138">
        <v>718568</v>
      </c>
      <c r="K311" s="138">
        <v>132589</v>
      </c>
      <c r="L311" s="93">
        <f t="shared" si="59"/>
        <v>192181</v>
      </c>
      <c r="M311" s="94">
        <f t="shared" si="65"/>
        <v>1.06474300516075</v>
      </c>
      <c r="N311" s="94">
        <f t="shared" si="60"/>
        <v>0.76625186095844977</v>
      </c>
      <c r="O311" s="94"/>
      <c r="P311" s="94">
        <f t="shared" si="54"/>
        <v>0.72289306923322239</v>
      </c>
      <c r="Q311" s="94">
        <f t="shared" si="61"/>
        <v>0.16897490965930029</v>
      </c>
      <c r="R311" s="117" t="str">
        <f t="shared" si="62"/>
        <v>SI</v>
      </c>
      <c r="S311" s="117" t="str">
        <f t="shared" si="63"/>
        <v>NO</v>
      </c>
      <c r="T311" s="117" t="str">
        <f t="shared" si="55"/>
        <v>SI</v>
      </c>
      <c r="U311" s="117" t="str">
        <f t="shared" si="56"/>
        <v>NO</v>
      </c>
      <c r="V311" s="117" t="str">
        <f t="shared" si="57"/>
        <v>SI</v>
      </c>
      <c r="W311" s="117" t="str">
        <f t="shared" si="58"/>
        <v>SI</v>
      </c>
      <c r="X311" s="132" t="b">
        <f t="shared" si="64"/>
        <v>0</v>
      </c>
    </row>
    <row r="312" spans="1:24" s="2" customFormat="1" ht="12" x14ac:dyDescent="0.15">
      <c r="A312" s="125" t="s">
        <v>87</v>
      </c>
      <c r="B312" s="139">
        <v>900140082</v>
      </c>
      <c r="C312" s="137" t="s">
        <v>412</v>
      </c>
      <c r="D312" s="137" t="s">
        <v>531</v>
      </c>
      <c r="E312" s="138">
        <v>14071693</v>
      </c>
      <c r="F312" s="138">
        <v>23784103</v>
      </c>
      <c r="G312" s="138">
        <v>9562796</v>
      </c>
      <c r="H312" s="138">
        <v>17479087</v>
      </c>
      <c r="I312" s="138">
        <v>6305016</v>
      </c>
      <c r="J312" s="138">
        <v>-1324795</v>
      </c>
      <c r="K312" s="138">
        <v>1012096</v>
      </c>
      <c r="L312" s="93">
        <f t="shared" si="59"/>
        <v>4508897</v>
      </c>
      <c r="M312" s="94">
        <f t="shared" si="65"/>
        <v>1.4715040454695467</v>
      </c>
      <c r="N312" s="94">
        <f t="shared" si="60"/>
        <v>0.73490629434290622</v>
      </c>
      <c r="O312" s="94"/>
      <c r="P312" s="94">
        <f t="shared" si="54"/>
        <v>-0.21011762698143827</v>
      </c>
      <c r="Q312" s="94">
        <f t="shared" si="61"/>
        <v>-5.5700860360384415E-2</v>
      </c>
      <c r="R312" s="117" t="str">
        <f t="shared" si="62"/>
        <v>SI</v>
      </c>
      <c r="S312" s="117" t="str">
        <f t="shared" si="63"/>
        <v>NO</v>
      </c>
      <c r="T312" s="117" t="str">
        <f t="shared" si="55"/>
        <v>SI</v>
      </c>
      <c r="U312" s="117" t="str">
        <f t="shared" si="56"/>
        <v>NO</v>
      </c>
      <c r="V312" s="117" t="str">
        <f t="shared" si="57"/>
        <v>NO</v>
      </c>
      <c r="W312" s="117" t="str">
        <f t="shared" si="58"/>
        <v>NO</v>
      </c>
      <c r="X312" s="132" t="b">
        <f t="shared" si="64"/>
        <v>0</v>
      </c>
    </row>
    <row r="313" spans="1:24" s="2" customFormat="1" ht="12" x14ac:dyDescent="0.15">
      <c r="A313" s="125" t="s">
        <v>87</v>
      </c>
      <c r="B313" s="139">
        <v>900141567</v>
      </c>
      <c r="C313" s="137" t="s">
        <v>413</v>
      </c>
      <c r="D313" s="137" t="s">
        <v>531</v>
      </c>
      <c r="E313" s="138">
        <v>7617833</v>
      </c>
      <c r="F313" s="138">
        <v>8237921</v>
      </c>
      <c r="G313" s="138">
        <v>4025088</v>
      </c>
      <c r="H313" s="138">
        <v>4025088</v>
      </c>
      <c r="I313" s="138">
        <v>4212833</v>
      </c>
      <c r="J313" s="138">
        <v>494863</v>
      </c>
      <c r="K313" s="138">
        <v>66005</v>
      </c>
      <c r="L313" s="93">
        <f t="shared" si="59"/>
        <v>3592745</v>
      </c>
      <c r="M313" s="94">
        <f t="shared" si="65"/>
        <v>1.8925879384500413</v>
      </c>
      <c r="N313" s="94">
        <f t="shared" si="60"/>
        <v>0.48860483124322263</v>
      </c>
      <c r="O313" s="94"/>
      <c r="P313" s="94">
        <f t="shared" si="54"/>
        <v>0.11746561043364406</v>
      </c>
      <c r="Q313" s="94">
        <f t="shared" si="61"/>
        <v>6.0071345670831271E-2</v>
      </c>
      <c r="R313" s="117" t="str">
        <f t="shared" si="62"/>
        <v>SI</v>
      </c>
      <c r="S313" s="117" t="str">
        <f t="shared" si="63"/>
        <v>SI</v>
      </c>
      <c r="T313" s="117" t="str">
        <f t="shared" si="55"/>
        <v>SI</v>
      </c>
      <c r="U313" s="117" t="str">
        <f t="shared" si="56"/>
        <v>NO</v>
      </c>
      <c r="V313" s="117" t="str">
        <f t="shared" si="57"/>
        <v>NO</v>
      </c>
      <c r="W313" s="117" t="str">
        <f t="shared" si="58"/>
        <v>NO</v>
      </c>
      <c r="X313" s="132" t="b">
        <f t="shared" si="64"/>
        <v>0</v>
      </c>
    </row>
    <row r="314" spans="1:24" s="2" customFormat="1" ht="12" x14ac:dyDescent="0.15">
      <c r="A314" s="125" t="s">
        <v>87</v>
      </c>
      <c r="B314" s="139">
        <v>900147252</v>
      </c>
      <c r="C314" s="137" t="s">
        <v>414</v>
      </c>
      <c r="D314" s="137" t="s">
        <v>531</v>
      </c>
      <c r="E314" s="138">
        <v>12355594</v>
      </c>
      <c r="F314" s="138">
        <v>14029892</v>
      </c>
      <c r="G314" s="138">
        <v>4343382</v>
      </c>
      <c r="H314" s="138">
        <v>6380236</v>
      </c>
      <c r="I314" s="138">
        <v>7649656</v>
      </c>
      <c r="J314" s="138">
        <v>3365246</v>
      </c>
      <c r="K314" s="138">
        <v>797124</v>
      </c>
      <c r="L314" s="93">
        <f t="shared" si="59"/>
        <v>8012212</v>
      </c>
      <c r="M314" s="94">
        <f t="shared" si="65"/>
        <v>2.8446942958275372</v>
      </c>
      <c r="N314" s="94">
        <f t="shared" si="60"/>
        <v>0.45476016493925969</v>
      </c>
      <c r="O314" s="94"/>
      <c r="P314" s="94">
        <f t="shared" si="54"/>
        <v>0.43992121998688566</v>
      </c>
      <c r="Q314" s="94">
        <f t="shared" si="61"/>
        <v>0.23986257342536921</v>
      </c>
      <c r="R314" s="117" t="str">
        <f t="shared" si="62"/>
        <v>SI</v>
      </c>
      <c r="S314" s="117" t="str">
        <f t="shared" si="63"/>
        <v>SI</v>
      </c>
      <c r="T314" s="117" t="str">
        <f t="shared" si="55"/>
        <v>SI</v>
      </c>
      <c r="U314" s="117" t="str">
        <f t="shared" si="56"/>
        <v>NO</v>
      </c>
      <c r="V314" s="117" t="str">
        <f t="shared" si="57"/>
        <v>SI</v>
      </c>
      <c r="W314" s="117" t="str">
        <f t="shared" si="58"/>
        <v>SI</v>
      </c>
      <c r="X314" s="132" t="b">
        <f t="shared" si="64"/>
        <v>0</v>
      </c>
    </row>
    <row r="315" spans="1:24" s="2" customFormat="1" ht="12" x14ac:dyDescent="0.15">
      <c r="A315" s="125" t="s">
        <v>87</v>
      </c>
      <c r="B315" s="139">
        <v>900148010</v>
      </c>
      <c r="C315" s="137" t="s">
        <v>415</v>
      </c>
      <c r="D315" s="137" t="s">
        <v>531</v>
      </c>
      <c r="E315" s="138">
        <v>6987830</v>
      </c>
      <c r="F315" s="138">
        <v>6987830</v>
      </c>
      <c r="G315" s="138">
        <v>22239</v>
      </c>
      <c r="H315" s="138">
        <v>22315792</v>
      </c>
      <c r="I315" s="138">
        <v>-15327962</v>
      </c>
      <c r="J315" s="138">
        <v>24116</v>
      </c>
      <c r="K315" s="138">
        <v>2778293</v>
      </c>
      <c r="L315" s="93">
        <f t="shared" si="59"/>
        <v>6965591</v>
      </c>
      <c r="M315" s="94"/>
      <c r="N315" s="94">
        <f t="shared" si="60"/>
        <v>3.1935224526068895</v>
      </c>
      <c r="O315" s="94">
        <f t="shared" si="66"/>
        <v>8.6801500057769286E-3</v>
      </c>
      <c r="P315" s="94">
        <f t="shared" si="54"/>
        <v>-1.5733337543503826E-3</v>
      </c>
      <c r="Q315" s="94">
        <f t="shared" si="61"/>
        <v>3.4511429156118567E-3</v>
      </c>
      <c r="R315" s="117" t="str">
        <f t="shared" si="62"/>
        <v>SI</v>
      </c>
      <c r="S315" s="117" t="str">
        <f t="shared" si="63"/>
        <v>NO</v>
      </c>
      <c r="T315" s="117" t="str">
        <f t="shared" si="55"/>
        <v>NO</v>
      </c>
      <c r="U315" s="117" t="str">
        <f t="shared" si="56"/>
        <v>NO</v>
      </c>
      <c r="V315" s="117" t="str">
        <f t="shared" si="57"/>
        <v>NO</v>
      </c>
      <c r="W315" s="117" t="str">
        <f t="shared" si="58"/>
        <v>NO</v>
      </c>
      <c r="X315" s="132" t="b">
        <f t="shared" si="64"/>
        <v>0</v>
      </c>
    </row>
    <row r="316" spans="1:24" s="2" customFormat="1" ht="12" x14ac:dyDescent="0.15">
      <c r="A316" s="125" t="s">
        <v>87</v>
      </c>
      <c r="B316" s="139">
        <v>900150235</v>
      </c>
      <c r="C316" s="137" t="s">
        <v>416</v>
      </c>
      <c r="D316" s="137" t="s">
        <v>531</v>
      </c>
      <c r="E316" s="138">
        <v>2879892</v>
      </c>
      <c r="F316" s="138">
        <v>3090536</v>
      </c>
      <c r="G316" s="138">
        <v>1578553</v>
      </c>
      <c r="H316" s="138">
        <v>1578553</v>
      </c>
      <c r="I316" s="138">
        <v>1511983</v>
      </c>
      <c r="J316" s="138">
        <v>511517</v>
      </c>
      <c r="K316" s="138">
        <v>85807</v>
      </c>
      <c r="L316" s="93">
        <f t="shared" si="59"/>
        <v>1301339</v>
      </c>
      <c r="M316" s="94">
        <f t="shared" si="65"/>
        <v>1.8243872711274185</v>
      </c>
      <c r="N316" s="94">
        <f t="shared" si="60"/>
        <v>0.51076997647010103</v>
      </c>
      <c r="O316" s="94"/>
      <c r="P316" s="94">
        <f t="shared" si="54"/>
        <v>0.33830869791525436</v>
      </c>
      <c r="Q316" s="94">
        <f t="shared" si="61"/>
        <v>0.16551077224144939</v>
      </c>
      <c r="R316" s="117" t="str">
        <f t="shared" si="62"/>
        <v>SI</v>
      </c>
      <c r="S316" s="117" t="str">
        <f t="shared" si="63"/>
        <v>SI</v>
      </c>
      <c r="T316" s="117" t="str">
        <f t="shared" si="55"/>
        <v>SI</v>
      </c>
      <c r="U316" s="117" t="str">
        <f t="shared" si="56"/>
        <v>NO</v>
      </c>
      <c r="V316" s="117" t="str">
        <f t="shared" si="57"/>
        <v>SI</v>
      </c>
      <c r="W316" s="117" t="str">
        <f t="shared" si="58"/>
        <v>SI</v>
      </c>
      <c r="X316" s="132" t="b">
        <f t="shared" si="64"/>
        <v>0</v>
      </c>
    </row>
    <row r="317" spans="1:24" s="2" customFormat="1" ht="12" x14ac:dyDescent="0.15">
      <c r="A317" s="125" t="s">
        <v>87</v>
      </c>
      <c r="B317" s="139">
        <v>900157534</v>
      </c>
      <c r="C317" s="137" t="s">
        <v>417</v>
      </c>
      <c r="D317" s="137" t="s">
        <v>531</v>
      </c>
      <c r="E317" s="138">
        <v>20748000</v>
      </c>
      <c r="F317" s="138">
        <v>27014990</v>
      </c>
      <c r="G317" s="138">
        <v>4205122</v>
      </c>
      <c r="H317" s="138">
        <v>4861557</v>
      </c>
      <c r="I317" s="138">
        <v>22153433</v>
      </c>
      <c r="J317" s="138">
        <v>3106573</v>
      </c>
      <c r="K317" s="138">
        <v>490</v>
      </c>
      <c r="L317" s="93">
        <f t="shared" si="59"/>
        <v>16542878</v>
      </c>
      <c r="M317" s="94"/>
      <c r="N317" s="94">
        <f t="shared" si="60"/>
        <v>0.17995775678613984</v>
      </c>
      <c r="O317" s="94"/>
      <c r="P317" s="94">
        <f t="shared" si="54"/>
        <v>0.14022986866189091</v>
      </c>
      <c r="Q317" s="94">
        <f t="shared" si="61"/>
        <v>0.11499441606308201</v>
      </c>
      <c r="R317" s="117" t="str">
        <f t="shared" si="62"/>
        <v>SI</v>
      </c>
      <c r="S317" s="117" t="str">
        <f t="shared" si="63"/>
        <v>NO</v>
      </c>
      <c r="T317" s="117" t="str">
        <f t="shared" si="55"/>
        <v>SI</v>
      </c>
      <c r="U317" s="117" t="str">
        <f t="shared" si="56"/>
        <v>NO</v>
      </c>
      <c r="V317" s="117" t="str">
        <f t="shared" si="57"/>
        <v>NO</v>
      </c>
      <c r="W317" s="117" t="str">
        <f t="shared" si="58"/>
        <v>SI</v>
      </c>
      <c r="X317" s="132" t="b">
        <f t="shared" si="64"/>
        <v>0</v>
      </c>
    </row>
    <row r="318" spans="1:24" s="2" customFormat="1" ht="12" x14ac:dyDescent="0.15">
      <c r="A318" s="125" t="s">
        <v>87</v>
      </c>
      <c r="B318" s="139">
        <v>900157835</v>
      </c>
      <c r="C318" s="137" t="s">
        <v>418</v>
      </c>
      <c r="D318" s="137" t="s">
        <v>531</v>
      </c>
      <c r="E318" s="138">
        <v>2439137</v>
      </c>
      <c r="F318" s="138">
        <v>2757653</v>
      </c>
      <c r="G318" s="138">
        <v>1840339</v>
      </c>
      <c r="H318" s="138">
        <v>1840339</v>
      </c>
      <c r="I318" s="138">
        <v>917314</v>
      </c>
      <c r="J318" s="138">
        <v>198844</v>
      </c>
      <c r="K318" s="138">
        <v>114323</v>
      </c>
      <c r="L318" s="93">
        <f t="shared" si="59"/>
        <v>598798</v>
      </c>
      <c r="M318" s="94">
        <f t="shared" si="65"/>
        <v>1.3253737490755779</v>
      </c>
      <c r="N318" s="94">
        <f t="shared" si="60"/>
        <v>0.66735698798942433</v>
      </c>
      <c r="O318" s="94">
        <f t="shared" si="66"/>
        <v>1.7393175476500791</v>
      </c>
      <c r="P318" s="94">
        <f t="shared" si="54"/>
        <v>0.21676764989959818</v>
      </c>
      <c r="Q318" s="94">
        <f t="shared" si="61"/>
        <v>7.2106243969056294E-2</v>
      </c>
      <c r="R318" s="117" t="str">
        <f t="shared" si="62"/>
        <v>SI</v>
      </c>
      <c r="S318" s="117" t="str">
        <f t="shared" si="63"/>
        <v>NO</v>
      </c>
      <c r="T318" s="117" t="str">
        <f t="shared" si="55"/>
        <v>SI</v>
      </c>
      <c r="U318" s="117" t="str">
        <f t="shared" si="56"/>
        <v>SI</v>
      </c>
      <c r="V318" s="117" t="str">
        <f t="shared" si="57"/>
        <v>SI</v>
      </c>
      <c r="W318" s="117" t="str">
        <f t="shared" si="58"/>
        <v>NO</v>
      </c>
      <c r="X318" s="132" t="b">
        <f t="shared" si="64"/>
        <v>0</v>
      </c>
    </row>
    <row r="319" spans="1:24" s="2" customFormat="1" ht="12" x14ac:dyDescent="0.15">
      <c r="A319" s="125" t="s">
        <v>84</v>
      </c>
      <c r="B319" s="139">
        <v>900163958</v>
      </c>
      <c r="C319" s="137" t="s">
        <v>419</v>
      </c>
      <c r="D319" s="137" t="s">
        <v>531</v>
      </c>
      <c r="E319" s="138">
        <v>3941124</v>
      </c>
      <c r="F319" s="138">
        <v>6923223</v>
      </c>
      <c r="G319" s="138">
        <v>747456</v>
      </c>
      <c r="H319" s="138">
        <v>3179734</v>
      </c>
      <c r="I319" s="138">
        <v>3743489</v>
      </c>
      <c r="J319" s="138">
        <v>748342</v>
      </c>
      <c r="K319" s="138">
        <v>422140</v>
      </c>
      <c r="L319" s="93">
        <f t="shared" si="59"/>
        <v>3193668</v>
      </c>
      <c r="M319" s="94"/>
      <c r="N319" s="94">
        <f t="shared" si="60"/>
        <v>0.45928522019296503</v>
      </c>
      <c r="O319" s="94">
        <f t="shared" si="66"/>
        <v>1.7727341640214147</v>
      </c>
      <c r="P319" s="94">
        <f t="shared" si="54"/>
        <v>0.19990495497649385</v>
      </c>
      <c r="Q319" s="94">
        <f t="shared" si="61"/>
        <v>0.10809156371245011</v>
      </c>
      <c r="R319" s="117" t="str">
        <f t="shared" si="62"/>
        <v>SI</v>
      </c>
      <c r="S319" s="117" t="str">
        <f t="shared" si="63"/>
        <v>NO</v>
      </c>
      <c r="T319" s="117" t="str">
        <f t="shared" si="55"/>
        <v>SI</v>
      </c>
      <c r="U319" s="117" t="str">
        <f t="shared" si="56"/>
        <v>SI</v>
      </c>
      <c r="V319" s="117" t="str">
        <f t="shared" si="57"/>
        <v>SI</v>
      </c>
      <c r="W319" s="117" t="str">
        <f t="shared" si="58"/>
        <v>SI</v>
      </c>
      <c r="X319" s="132" t="b">
        <f t="shared" si="64"/>
        <v>0</v>
      </c>
    </row>
    <row r="320" spans="1:24" s="2" customFormat="1" ht="12" x14ac:dyDescent="0.15">
      <c r="A320" s="125" t="s">
        <v>84</v>
      </c>
      <c r="B320" s="139">
        <v>900164399</v>
      </c>
      <c r="C320" s="137" t="s">
        <v>420</v>
      </c>
      <c r="D320" s="137" t="s">
        <v>531</v>
      </c>
      <c r="E320" s="138">
        <v>17515336</v>
      </c>
      <c r="F320" s="138">
        <v>18130738</v>
      </c>
      <c r="G320" s="138">
        <v>3442554</v>
      </c>
      <c r="H320" s="138">
        <v>3442554</v>
      </c>
      <c r="I320" s="138">
        <v>14688184</v>
      </c>
      <c r="J320" s="138">
        <v>3477733</v>
      </c>
      <c r="K320" s="138"/>
      <c r="L320" s="93">
        <f t="shared" si="59"/>
        <v>14072782</v>
      </c>
      <c r="M320" s="94"/>
      <c r="N320" s="94">
        <f t="shared" si="60"/>
        <v>0.18987390364363546</v>
      </c>
      <c r="O320" s="94" t="s">
        <v>108</v>
      </c>
      <c r="P320" s="94">
        <f t="shared" si="54"/>
        <v>0.23677079481030466</v>
      </c>
      <c r="Q320" s="94">
        <f t="shared" si="61"/>
        <v>0.19181419973086589</v>
      </c>
      <c r="R320" s="117" t="str">
        <f t="shared" si="62"/>
        <v>SI</v>
      </c>
      <c r="S320" s="117" t="str">
        <f t="shared" si="63"/>
        <v>NO</v>
      </c>
      <c r="T320" s="117" t="str">
        <f t="shared" si="55"/>
        <v>SI</v>
      </c>
      <c r="U320" s="117" t="str">
        <f t="shared" si="56"/>
        <v>SI</v>
      </c>
      <c r="V320" s="117" t="str">
        <f t="shared" si="57"/>
        <v>SI</v>
      </c>
      <c r="W320" s="117" t="str">
        <f t="shared" si="58"/>
        <v>SI</v>
      </c>
      <c r="X320" s="132" t="b">
        <f t="shared" si="64"/>
        <v>0</v>
      </c>
    </row>
    <row r="321" spans="1:24" s="2" customFormat="1" ht="12" x14ac:dyDescent="0.15">
      <c r="A321" s="125" t="s">
        <v>84</v>
      </c>
      <c r="B321" s="139">
        <v>900170399</v>
      </c>
      <c r="C321" s="137" t="s">
        <v>421</v>
      </c>
      <c r="D321" s="137" t="s">
        <v>531</v>
      </c>
      <c r="E321" s="138">
        <v>44557447</v>
      </c>
      <c r="F321" s="138">
        <v>46254536</v>
      </c>
      <c r="G321" s="138">
        <v>14374497</v>
      </c>
      <c r="H321" s="138">
        <v>33954968</v>
      </c>
      <c r="I321" s="138">
        <v>12299568</v>
      </c>
      <c r="J321" s="138">
        <v>5748954</v>
      </c>
      <c r="K321" s="138">
        <v>3045722</v>
      </c>
      <c r="L321" s="93">
        <f t="shared" si="59"/>
        <v>30182950</v>
      </c>
      <c r="M321" s="94">
        <f t="shared" si="65"/>
        <v>3.099756951495416</v>
      </c>
      <c r="N321" s="94">
        <f t="shared" si="60"/>
        <v>0.73408947394910629</v>
      </c>
      <c r="O321" s="94">
        <f t="shared" si="66"/>
        <v>1.8875504724331373</v>
      </c>
      <c r="P321" s="94">
        <f t="shared" si="54"/>
        <v>0.46741105053445781</v>
      </c>
      <c r="Q321" s="94">
        <f t="shared" si="61"/>
        <v>0.12428951832961853</v>
      </c>
      <c r="R321" s="117" t="str">
        <f t="shared" si="62"/>
        <v>SI</v>
      </c>
      <c r="S321" s="117" t="str">
        <f t="shared" si="63"/>
        <v>SI</v>
      </c>
      <c r="T321" s="117" t="str">
        <f t="shared" si="55"/>
        <v>SI</v>
      </c>
      <c r="U321" s="117" t="str">
        <f t="shared" si="56"/>
        <v>SI</v>
      </c>
      <c r="V321" s="117" t="str">
        <f t="shared" si="57"/>
        <v>SI</v>
      </c>
      <c r="W321" s="117" t="str">
        <f t="shared" si="58"/>
        <v>SI</v>
      </c>
      <c r="X321" s="132" t="str">
        <f t="shared" si="64"/>
        <v>SI</v>
      </c>
    </row>
    <row r="322" spans="1:24" s="2" customFormat="1" ht="12" x14ac:dyDescent="0.15">
      <c r="A322" s="125" t="s">
        <v>84</v>
      </c>
      <c r="B322" s="139">
        <v>900180069</v>
      </c>
      <c r="C322" s="137" t="s">
        <v>422</v>
      </c>
      <c r="D322" s="137" t="s">
        <v>531</v>
      </c>
      <c r="E322" s="138">
        <v>5338242</v>
      </c>
      <c r="F322" s="138">
        <v>6006424</v>
      </c>
      <c r="G322" s="138">
        <v>2470241</v>
      </c>
      <c r="H322" s="138">
        <v>2474046</v>
      </c>
      <c r="I322" s="138">
        <v>3532378</v>
      </c>
      <c r="J322" s="138">
        <v>420206</v>
      </c>
      <c r="K322" s="138">
        <v>91768</v>
      </c>
      <c r="L322" s="93">
        <f t="shared" si="59"/>
        <v>2868001</v>
      </c>
      <c r="M322" s="94">
        <f t="shared" si="65"/>
        <v>2.1610207263177967</v>
      </c>
      <c r="N322" s="94">
        <f t="shared" si="60"/>
        <v>0.41189999240812836</v>
      </c>
      <c r="O322" s="94"/>
      <c r="P322" s="94">
        <f t="shared" si="54"/>
        <v>0.11895839007037186</v>
      </c>
      <c r="Q322" s="94">
        <f t="shared" si="61"/>
        <v>6.9959430103502515E-2</v>
      </c>
      <c r="R322" s="117" t="str">
        <f t="shared" si="62"/>
        <v>SI</v>
      </c>
      <c r="S322" s="117" t="str">
        <f t="shared" si="63"/>
        <v>SI</v>
      </c>
      <c r="T322" s="117" t="str">
        <f t="shared" si="55"/>
        <v>SI</v>
      </c>
      <c r="U322" s="117" t="str">
        <f t="shared" si="56"/>
        <v>NO</v>
      </c>
      <c r="V322" s="117" t="str">
        <f t="shared" si="57"/>
        <v>NO</v>
      </c>
      <c r="W322" s="117" t="str">
        <f t="shared" si="58"/>
        <v>NO</v>
      </c>
      <c r="X322" s="132" t="b">
        <f t="shared" si="64"/>
        <v>0</v>
      </c>
    </row>
    <row r="323" spans="1:24" s="2" customFormat="1" ht="12" x14ac:dyDescent="0.15">
      <c r="A323" s="125" t="s">
        <v>84</v>
      </c>
      <c r="B323" s="139">
        <v>900185676</v>
      </c>
      <c r="C323" s="137" t="s">
        <v>423</v>
      </c>
      <c r="D323" s="137" t="s">
        <v>531</v>
      </c>
      <c r="E323" s="138">
        <v>2875770</v>
      </c>
      <c r="F323" s="138">
        <v>4027025</v>
      </c>
      <c r="G323" s="138">
        <v>316220</v>
      </c>
      <c r="H323" s="138">
        <v>316220</v>
      </c>
      <c r="I323" s="138">
        <v>3710805</v>
      </c>
      <c r="J323" s="138">
        <v>221445</v>
      </c>
      <c r="K323" s="138">
        <v>8268</v>
      </c>
      <c r="L323" s="93">
        <f t="shared" si="59"/>
        <v>2559550</v>
      </c>
      <c r="M323" s="94"/>
      <c r="N323" s="94">
        <f t="shared" si="60"/>
        <v>7.8524469055940793E-2</v>
      </c>
      <c r="O323" s="94"/>
      <c r="P323" s="94">
        <f t="shared" si="54"/>
        <v>5.967573073767013E-2</v>
      </c>
      <c r="Q323" s="94">
        <f t="shared" si="61"/>
        <v>5.4989725665969297E-2</v>
      </c>
      <c r="R323" s="117" t="str">
        <f t="shared" si="62"/>
        <v>SI</v>
      </c>
      <c r="S323" s="117" t="str">
        <f t="shared" si="63"/>
        <v>NO</v>
      </c>
      <c r="T323" s="117" t="str">
        <f t="shared" si="55"/>
        <v>SI</v>
      </c>
      <c r="U323" s="117" t="str">
        <f t="shared" si="56"/>
        <v>NO</v>
      </c>
      <c r="V323" s="117" t="str">
        <f t="shared" si="57"/>
        <v>NO</v>
      </c>
      <c r="W323" s="117" t="str">
        <f t="shared" si="58"/>
        <v>NO</v>
      </c>
      <c r="X323" s="132" t="b">
        <f t="shared" si="64"/>
        <v>0</v>
      </c>
    </row>
    <row r="324" spans="1:24" s="2" customFormat="1" ht="12" x14ac:dyDescent="0.15">
      <c r="A324" s="125" t="s">
        <v>84</v>
      </c>
      <c r="B324" s="139">
        <v>900193129</v>
      </c>
      <c r="C324" s="137" t="s">
        <v>424</v>
      </c>
      <c r="D324" s="137" t="s">
        <v>531</v>
      </c>
      <c r="E324" s="138">
        <v>25085361</v>
      </c>
      <c r="F324" s="138">
        <v>26672410</v>
      </c>
      <c r="G324" s="138">
        <v>11079297</v>
      </c>
      <c r="H324" s="138">
        <v>11079297</v>
      </c>
      <c r="I324" s="138">
        <v>15593113</v>
      </c>
      <c r="J324" s="138">
        <v>5777909</v>
      </c>
      <c r="K324" s="138">
        <v>124238</v>
      </c>
      <c r="L324" s="93">
        <f t="shared" si="59"/>
        <v>14006064</v>
      </c>
      <c r="M324" s="94">
        <f t="shared" si="65"/>
        <v>2.2641654068845702</v>
      </c>
      <c r="N324" s="94">
        <f t="shared" si="60"/>
        <v>0.41538417413349599</v>
      </c>
      <c r="O324" s="94"/>
      <c r="P324" s="94">
        <f t="shared" si="54"/>
        <v>0.37054236700522852</v>
      </c>
      <c r="Q324" s="94">
        <f t="shared" si="61"/>
        <v>0.21662493190529089</v>
      </c>
      <c r="R324" s="117" t="str">
        <f t="shared" si="62"/>
        <v>SI</v>
      </c>
      <c r="S324" s="117" t="str">
        <f t="shared" si="63"/>
        <v>SI</v>
      </c>
      <c r="T324" s="117" t="str">
        <f t="shared" si="55"/>
        <v>SI</v>
      </c>
      <c r="U324" s="117" t="str">
        <f t="shared" si="56"/>
        <v>NO</v>
      </c>
      <c r="V324" s="117" t="str">
        <f t="shared" si="57"/>
        <v>SI</v>
      </c>
      <c r="W324" s="117" t="str">
        <f t="shared" si="58"/>
        <v>SI</v>
      </c>
      <c r="X324" s="132" t="b">
        <f t="shared" si="64"/>
        <v>0</v>
      </c>
    </row>
    <row r="325" spans="1:24" s="2" customFormat="1" ht="12" x14ac:dyDescent="0.15">
      <c r="A325" s="125" t="s">
        <v>84</v>
      </c>
      <c r="B325" s="139">
        <v>900199289</v>
      </c>
      <c r="C325" s="137" t="s">
        <v>425</v>
      </c>
      <c r="D325" s="137" t="s">
        <v>531</v>
      </c>
      <c r="E325" s="138">
        <v>13867818</v>
      </c>
      <c r="F325" s="138">
        <v>14383881</v>
      </c>
      <c r="G325" s="138">
        <v>5710219</v>
      </c>
      <c r="H325" s="138">
        <v>6744677</v>
      </c>
      <c r="I325" s="138">
        <v>7639204</v>
      </c>
      <c r="J325" s="138">
        <v>1751682</v>
      </c>
      <c r="K325" s="138">
        <v>1384452</v>
      </c>
      <c r="L325" s="93">
        <f t="shared" si="59"/>
        <v>8157599</v>
      </c>
      <c r="M325" s="94">
        <f t="shared" si="65"/>
        <v>2.4285965214293883</v>
      </c>
      <c r="N325" s="94">
        <f t="shared" si="60"/>
        <v>0.46890522801182793</v>
      </c>
      <c r="O325" s="94">
        <f t="shared" si="66"/>
        <v>1.2652529665167156</v>
      </c>
      <c r="P325" s="94">
        <f t="shared" si="54"/>
        <v>0.22930163928074182</v>
      </c>
      <c r="Q325" s="94">
        <f t="shared" si="61"/>
        <v>0.12178090183031964</v>
      </c>
      <c r="R325" s="117" t="str">
        <f t="shared" si="62"/>
        <v>SI</v>
      </c>
      <c r="S325" s="117" t="str">
        <f t="shared" si="63"/>
        <v>SI</v>
      </c>
      <c r="T325" s="117" t="str">
        <f t="shared" si="55"/>
        <v>SI</v>
      </c>
      <c r="U325" s="117" t="str">
        <f t="shared" si="56"/>
        <v>SI</v>
      </c>
      <c r="V325" s="117" t="str">
        <f t="shared" si="57"/>
        <v>SI</v>
      </c>
      <c r="W325" s="117" t="str">
        <f t="shared" si="58"/>
        <v>SI</v>
      </c>
      <c r="X325" s="132" t="str">
        <f t="shared" si="64"/>
        <v>SI</v>
      </c>
    </row>
    <row r="326" spans="1:24" s="2" customFormat="1" ht="12" x14ac:dyDescent="0.15">
      <c r="A326" s="125" t="s">
        <v>84</v>
      </c>
      <c r="B326" s="139">
        <v>900202168</v>
      </c>
      <c r="C326" s="137" t="s">
        <v>426</v>
      </c>
      <c r="D326" s="137" t="s">
        <v>531</v>
      </c>
      <c r="E326" s="138">
        <v>35063072</v>
      </c>
      <c r="F326" s="138">
        <v>36525494</v>
      </c>
      <c r="G326" s="138">
        <v>2785972</v>
      </c>
      <c r="H326" s="138">
        <v>26781343</v>
      </c>
      <c r="I326" s="138">
        <v>9744151</v>
      </c>
      <c r="J326" s="138">
        <v>-526411</v>
      </c>
      <c r="K326" s="138"/>
      <c r="L326" s="93">
        <f t="shared" si="59"/>
        <v>32277100</v>
      </c>
      <c r="M326" s="94"/>
      <c r="N326" s="94">
        <f t="shared" si="60"/>
        <v>0.73322329329755265</v>
      </c>
      <c r="O326" s="94" t="s">
        <v>108</v>
      </c>
      <c r="P326" s="94">
        <f t="shared" si="54"/>
        <v>-5.4023280222155835E-2</v>
      </c>
      <c r="Q326" s="94">
        <f t="shared" si="61"/>
        <v>-1.441215278293019E-2</v>
      </c>
      <c r="R326" s="117" t="str">
        <f t="shared" si="62"/>
        <v>SI</v>
      </c>
      <c r="S326" s="117" t="str">
        <f t="shared" si="63"/>
        <v>NO</v>
      </c>
      <c r="T326" s="117" t="str">
        <f t="shared" si="55"/>
        <v>SI</v>
      </c>
      <c r="U326" s="117" t="str">
        <f t="shared" si="56"/>
        <v>SI</v>
      </c>
      <c r="V326" s="117" t="str">
        <f t="shared" si="57"/>
        <v>NO</v>
      </c>
      <c r="W326" s="117" t="str">
        <f t="shared" si="58"/>
        <v>NO</v>
      </c>
      <c r="X326" s="132" t="b">
        <f t="shared" si="64"/>
        <v>0</v>
      </c>
    </row>
    <row r="327" spans="1:24" s="2" customFormat="1" ht="12" x14ac:dyDescent="0.15">
      <c r="A327" s="125" t="s">
        <v>84</v>
      </c>
      <c r="B327" s="139">
        <v>900204640</v>
      </c>
      <c r="C327" s="137" t="s">
        <v>427</v>
      </c>
      <c r="D327" s="137" t="s">
        <v>531</v>
      </c>
      <c r="E327" s="138">
        <v>3185292</v>
      </c>
      <c r="F327" s="138">
        <v>3202956</v>
      </c>
      <c r="G327" s="138">
        <v>843309</v>
      </c>
      <c r="H327" s="138">
        <v>2634128</v>
      </c>
      <c r="I327" s="138">
        <v>568828</v>
      </c>
      <c r="J327" s="138">
        <v>-105611</v>
      </c>
      <c r="K327" s="138"/>
      <c r="L327" s="93">
        <f t="shared" si="59"/>
        <v>2341983</v>
      </c>
      <c r="M327" s="94"/>
      <c r="N327" s="94">
        <f t="shared" si="60"/>
        <v>0.82240530310126025</v>
      </c>
      <c r="O327" s="94" t="s">
        <v>108</v>
      </c>
      <c r="P327" s="94">
        <f t="shared" si="54"/>
        <v>-0.18566420780974213</v>
      </c>
      <c r="Q327" s="94">
        <f t="shared" si="61"/>
        <v>-3.2972978710915792E-2</v>
      </c>
      <c r="R327" s="117" t="str">
        <f t="shared" si="62"/>
        <v>SI</v>
      </c>
      <c r="S327" s="117" t="str">
        <f t="shared" si="63"/>
        <v>NO</v>
      </c>
      <c r="T327" s="117" t="str">
        <f t="shared" si="55"/>
        <v>SI</v>
      </c>
      <c r="U327" s="117" t="str">
        <f t="shared" si="56"/>
        <v>SI</v>
      </c>
      <c r="V327" s="117" t="str">
        <f t="shared" si="57"/>
        <v>NO</v>
      </c>
      <c r="W327" s="117" t="str">
        <f t="shared" si="58"/>
        <v>NO</v>
      </c>
      <c r="X327" s="132" t="b">
        <f t="shared" si="64"/>
        <v>0</v>
      </c>
    </row>
    <row r="328" spans="1:24" s="2" customFormat="1" ht="12" x14ac:dyDescent="0.15">
      <c r="A328" s="125" t="s">
        <v>84</v>
      </c>
      <c r="B328" s="139">
        <v>900214324</v>
      </c>
      <c r="C328" s="137" t="s">
        <v>428</v>
      </c>
      <c r="D328" s="137" t="s">
        <v>531</v>
      </c>
      <c r="E328" s="138">
        <v>5570727</v>
      </c>
      <c r="F328" s="138">
        <v>7152017</v>
      </c>
      <c r="G328" s="138">
        <v>1598710</v>
      </c>
      <c r="H328" s="138">
        <v>1729898</v>
      </c>
      <c r="I328" s="138">
        <v>5422119</v>
      </c>
      <c r="J328" s="138">
        <v>668659</v>
      </c>
      <c r="K328" s="138">
        <v>76356</v>
      </c>
      <c r="L328" s="93">
        <f t="shared" si="59"/>
        <v>3972017</v>
      </c>
      <c r="M328" s="94"/>
      <c r="N328" s="94">
        <f t="shared" si="60"/>
        <v>0.2418755436403465</v>
      </c>
      <c r="O328" s="94"/>
      <c r="P328" s="94">
        <f t="shared" si="54"/>
        <v>0.12332060583694308</v>
      </c>
      <c r="Q328" s="94">
        <f t="shared" si="61"/>
        <v>9.3492367258075595E-2</v>
      </c>
      <c r="R328" s="117" t="str">
        <f t="shared" si="62"/>
        <v>SI</v>
      </c>
      <c r="S328" s="117" t="str">
        <f t="shared" si="63"/>
        <v>NO</v>
      </c>
      <c r="T328" s="117" t="str">
        <f t="shared" si="55"/>
        <v>SI</v>
      </c>
      <c r="U328" s="117" t="str">
        <f t="shared" si="56"/>
        <v>NO</v>
      </c>
      <c r="V328" s="117" t="str">
        <f t="shared" si="57"/>
        <v>NO</v>
      </c>
      <c r="W328" s="117" t="str">
        <f t="shared" si="58"/>
        <v>SI</v>
      </c>
      <c r="X328" s="132" t="b">
        <f t="shared" si="64"/>
        <v>0</v>
      </c>
    </row>
    <row r="329" spans="1:24" s="2" customFormat="1" ht="12" x14ac:dyDescent="0.15">
      <c r="A329" s="125" t="s">
        <v>84</v>
      </c>
      <c r="B329" s="139">
        <v>900237382</v>
      </c>
      <c r="C329" s="137" t="s">
        <v>429</v>
      </c>
      <c r="D329" s="137" t="s">
        <v>531</v>
      </c>
      <c r="E329" s="138">
        <v>2770795</v>
      </c>
      <c r="F329" s="138">
        <v>3092099</v>
      </c>
      <c r="G329" s="138">
        <v>1853573</v>
      </c>
      <c r="H329" s="138">
        <v>2100359</v>
      </c>
      <c r="I329" s="138">
        <v>991740</v>
      </c>
      <c r="J329" s="138">
        <v>-89796</v>
      </c>
      <c r="K329" s="138">
        <v>336916</v>
      </c>
      <c r="L329" s="93">
        <f t="shared" si="59"/>
        <v>917222</v>
      </c>
      <c r="M329" s="94">
        <f t="shared" si="65"/>
        <v>1.49483996583895</v>
      </c>
      <c r="N329" s="94">
        <f t="shared" si="60"/>
        <v>0.67926641417367295</v>
      </c>
      <c r="O329" s="94"/>
      <c r="P329" s="94">
        <f t="shared" si="54"/>
        <v>-9.0543892552483518E-2</v>
      </c>
      <c r="Q329" s="94">
        <f t="shared" si="61"/>
        <v>-2.9040467333031703E-2</v>
      </c>
      <c r="R329" s="117" t="str">
        <f t="shared" si="62"/>
        <v>SI</v>
      </c>
      <c r="S329" s="117" t="str">
        <f t="shared" si="63"/>
        <v>NO</v>
      </c>
      <c r="T329" s="117" t="str">
        <f t="shared" si="55"/>
        <v>SI</v>
      </c>
      <c r="U329" s="117" t="str">
        <f t="shared" si="56"/>
        <v>NO</v>
      </c>
      <c r="V329" s="117" t="str">
        <f t="shared" si="57"/>
        <v>NO</v>
      </c>
      <c r="W329" s="117" t="str">
        <f t="shared" si="58"/>
        <v>NO</v>
      </c>
      <c r="X329" s="132" t="b">
        <f t="shared" si="64"/>
        <v>0</v>
      </c>
    </row>
    <row r="330" spans="1:24" s="2" customFormat="1" ht="12" x14ac:dyDescent="0.15">
      <c r="A330" s="125" t="s">
        <v>84</v>
      </c>
      <c r="B330" s="139">
        <v>900238756</v>
      </c>
      <c r="C330" s="137" t="s">
        <v>430</v>
      </c>
      <c r="D330" s="137" t="s">
        <v>531</v>
      </c>
      <c r="E330" s="138">
        <v>10658368</v>
      </c>
      <c r="F330" s="138">
        <v>11100156</v>
      </c>
      <c r="G330" s="138">
        <v>9902631</v>
      </c>
      <c r="H330" s="138">
        <v>9902631</v>
      </c>
      <c r="I330" s="138">
        <v>1197525</v>
      </c>
      <c r="J330" s="138">
        <v>-1872011</v>
      </c>
      <c r="K330" s="138"/>
      <c r="L330" s="93">
        <f t="shared" si="59"/>
        <v>755737</v>
      </c>
      <c r="M330" s="94">
        <f t="shared" si="65"/>
        <v>1.0763167889422518</v>
      </c>
      <c r="N330" s="94">
        <f t="shared" si="60"/>
        <v>0.89211638106707691</v>
      </c>
      <c r="O330" s="94" t="s">
        <v>108</v>
      </c>
      <c r="P330" s="94">
        <f t="shared" si="54"/>
        <v>-1.5632333354209724</v>
      </c>
      <c r="Q330" s="94">
        <f t="shared" si="61"/>
        <v>-0.16864726946179856</v>
      </c>
      <c r="R330" s="117" t="str">
        <f t="shared" si="62"/>
        <v>SI</v>
      </c>
      <c r="S330" s="117" t="str">
        <f t="shared" si="63"/>
        <v>NO</v>
      </c>
      <c r="T330" s="117" t="str">
        <f t="shared" si="55"/>
        <v>SI</v>
      </c>
      <c r="U330" s="117" t="str">
        <f t="shared" si="56"/>
        <v>SI</v>
      </c>
      <c r="V330" s="117" t="str">
        <f t="shared" si="57"/>
        <v>NO</v>
      </c>
      <c r="W330" s="117" t="str">
        <f t="shared" si="58"/>
        <v>NO</v>
      </c>
      <c r="X330" s="132" t="b">
        <f t="shared" si="64"/>
        <v>0</v>
      </c>
    </row>
    <row r="331" spans="1:24" s="2" customFormat="1" ht="12" x14ac:dyDescent="0.15">
      <c r="A331" s="125" t="s">
        <v>84</v>
      </c>
      <c r="B331" s="139">
        <v>900246871</v>
      </c>
      <c r="C331" s="137" t="s">
        <v>431</v>
      </c>
      <c r="D331" s="137" t="s">
        <v>531</v>
      </c>
      <c r="E331" s="138">
        <v>3078199</v>
      </c>
      <c r="F331" s="138">
        <v>9870220</v>
      </c>
      <c r="G331" s="138">
        <v>4551649</v>
      </c>
      <c r="H331" s="138">
        <v>5605056</v>
      </c>
      <c r="I331" s="138">
        <v>4265164</v>
      </c>
      <c r="J331" s="138">
        <v>1028117</v>
      </c>
      <c r="K331" s="138"/>
      <c r="L331" s="93">
        <f t="shared" si="59"/>
        <v>-1473450</v>
      </c>
      <c r="M331" s="94">
        <f t="shared" si="65"/>
        <v>0.67628215620316945</v>
      </c>
      <c r="N331" s="94">
        <f t="shared" si="60"/>
        <v>0.56787548808435884</v>
      </c>
      <c r="O331" s="94" t="s">
        <v>108</v>
      </c>
      <c r="P331" s="94">
        <f t="shared" si="54"/>
        <v>0.24104981660728639</v>
      </c>
      <c r="Q331" s="94">
        <f t="shared" si="61"/>
        <v>0.10416353434877845</v>
      </c>
      <c r="R331" s="117" t="str">
        <f t="shared" si="62"/>
        <v>NO</v>
      </c>
      <c r="S331" s="117" t="str">
        <f t="shared" si="63"/>
        <v>NO</v>
      </c>
      <c r="T331" s="117" t="str">
        <f t="shared" si="55"/>
        <v>SI</v>
      </c>
      <c r="U331" s="117" t="str">
        <f t="shared" si="56"/>
        <v>SI</v>
      </c>
      <c r="V331" s="117" t="str">
        <f t="shared" si="57"/>
        <v>SI</v>
      </c>
      <c r="W331" s="117" t="str">
        <f t="shared" si="58"/>
        <v>SI</v>
      </c>
      <c r="X331" s="132" t="b">
        <f t="shared" si="64"/>
        <v>0</v>
      </c>
    </row>
    <row r="332" spans="1:24" s="2" customFormat="1" ht="12" x14ac:dyDescent="0.15">
      <c r="A332" s="125" t="s">
        <v>84</v>
      </c>
      <c r="B332" s="139">
        <v>900254658</v>
      </c>
      <c r="C332" s="137" t="s">
        <v>432</v>
      </c>
      <c r="D332" s="137" t="s">
        <v>531</v>
      </c>
      <c r="E332" s="138">
        <v>18243885</v>
      </c>
      <c r="F332" s="138">
        <v>20000593</v>
      </c>
      <c r="G332" s="138">
        <v>13819676</v>
      </c>
      <c r="H332" s="138">
        <v>14099966</v>
      </c>
      <c r="I332" s="138">
        <v>5900627</v>
      </c>
      <c r="J332" s="138">
        <v>37067</v>
      </c>
      <c r="K332" s="138">
        <v>572668</v>
      </c>
      <c r="L332" s="93">
        <f t="shared" si="59"/>
        <v>4424209</v>
      </c>
      <c r="M332" s="94">
        <f t="shared" si="65"/>
        <v>1.3201384026658802</v>
      </c>
      <c r="N332" s="94">
        <f t="shared" si="60"/>
        <v>0.70497739742016652</v>
      </c>
      <c r="O332" s="94">
        <f t="shared" si="66"/>
        <v>6.4726857446199187E-2</v>
      </c>
      <c r="P332" s="94">
        <f t="shared" si="54"/>
        <v>6.2818747905942877E-3</v>
      </c>
      <c r="Q332" s="94">
        <f t="shared" si="61"/>
        <v>1.8532950498017734E-3</v>
      </c>
      <c r="R332" s="117" t="str">
        <f t="shared" si="62"/>
        <v>SI</v>
      </c>
      <c r="S332" s="117" t="str">
        <f t="shared" si="63"/>
        <v>NO</v>
      </c>
      <c r="T332" s="117" t="str">
        <f t="shared" si="55"/>
        <v>SI</v>
      </c>
      <c r="U332" s="117" t="str">
        <f t="shared" si="56"/>
        <v>NO</v>
      </c>
      <c r="V332" s="117" t="str">
        <f t="shared" si="57"/>
        <v>NO</v>
      </c>
      <c r="W332" s="117" t="str">
        <f t="shared" si="58"/>
        <v>NO</v>
      </c>
      <c r="X332" s="132" t="b">
        <f t="shared" si="64"/>
        <v>0</v>
      </c>
    </row>
    <row r="333" spans="1:24" s="2" customFormat="1" ht="12" x14ac:dyDescent="0.15">
      <c r="A333" s="125" t="s">
        <v>84</v>
      </c>
      <c r="B333" s="139">
        <v>900260638</v>
      </c>
      <c r="C333" s="137" t="s">
        <v>433</v>
      </c>
      <c r="D333" s="137" t="s">
        <v>531</v>
      </c>
      <c r="E333" s="138">
        <v>9236771</v>
      </c>
      <c r="F333" s="138">
        <v>9480075</v>
      </c>
      <c r="G333" s="138">
        <v>4708625</v>
      </c>
      <c r="H333" s="138">
        <v>8611007</v>
      </c>
      <c r="I333" s="138">
        <v>869068</v>
      </c>
      <c r="J333" s="138">
        <v>-349905</v>
      </c>
      <c r="K333" s="138">
        <v>296089</v>
      </c>
      <c r="L333" s="93">
        <f t="shared" si="59"/>
        <v>4528146</v>
      </c>
      <c r="M333" s="94">
        <f t="shared" si="65"/>
        <v>1.9616705513817727</v>
      </c>
      <c r="N333" s="94">
        <f t="shared" si="60"/>
        <v>0.90832688559953378</v>
      </c>
      <c r="O333" s="94"/>
      <c r="P333" s="94">
        <f t="shared" si="54"/>
        <v>-0.40262096866988545</v>
      </c>
      <c r="Q333" s="94">
        <f t="shared" si="61"/>
        <v>-3.6909518120900944E-2</v>
      </c>
      <c r="R333" s="117" t="str">
        <f t="shared" si="62"/>
        <v>SI</v>
      </c>
      <c r="S333" s="117" t="str">
        <f t="shared" si="63"/>
        <v>SI</v>
      </c>
      <c r="T333" s="117" t="str">
        <f t="shared" si="55"/>
        <v>SI</v>
      </c>
      <c r="U333" s="117" t="str">
        <f t="shared" si="56"/>
        <v>NO</v>
      </c>
      <c r="V333" s="117" t="str">
        <f t="shared" si="57"/>
        <v>NO</v>
      </c>
      <c r="W333" s="117" t="str">
        <f t="shared" si="58"/>
        <v>NO</v>
      </c>
      <c r="X333" s="132" t="b">
        <f t="shared" si="64"/>
        <v>0</v>
      </c>
    </row>
    <row r="334" spans="1:24" s="2" customFormat="1" ht="12" x14ac:dyDescent="0.15">
      <c r="A334" s="125" t="s">
        <v>84</v>
      </c>
      <c r="B334" s="139">
        <v>900269840</v>
      </c>
      <c r="C334" s="137" t="s">
        <v>434</v>
      </c>
      <c r="D334" s="137" t="s">
        <v>531</v>
      </c>
      <c r="E334" s="138">
        <v>14402943</v>
      </c>
      <c r="F334" s="138">
        <v>27289928</v>
      </c>
      <c r="G334" s="138">
        <v>4893788</v>
      </c>
      <c r="H334" s="138">
        <v>15540864</v>
      </c>
      <c r="I334" s="138">
        <v>11749064</v>
      </c>
      <c r="J334" s="138">
        <v>1680347</v>
      </c>
      <c r="K334" s="138">
        <v>509321</v>
      </c>
      <c r="L334" s="93">
        <f t="shared" si="59"/>
        <v>9509155</v>
      </c>
      <c r="M334" s="94">
        <f t="shared" si="65"/>
        <v>2.943107261695848</v>
      </c>
      <c r="N334" s="94">
        <f t="shared" si="60"/>
        <v>0.56947251747970895</v>
      </c>
      <c r="O334" s="94">
        <f t="shared" si="66"/>
        <v>3.2991904908692162</v>
      </c>
      <c r="P334" s="94">
        <f t="shared" si="54"/>
        <v>0.14301964820346541</v>
      </c>
      <c r="Q334" s="94">
        <f t="shared" si="61"/>
        <v>6.1573889091975621E-2</v>
      </c>
      <c r="R334" s="117" t="str">
        <f t="shared" si="62"/>
        <v>SI</v>
      </c>
      <c r="S334" s="117" t="str">
        <f t="shared" si="63"/>
        <v>SI</v>
      </c>
      <c r="T334" s="117" t="str">
        <f t="shared" si="55"/>
        <v>SI</v>
      </c>
      <c r="U334" s="117" t="str">
        <f t="shared" si="56"/>
        <v>SI</v>
      </c>
      <c r="V334" s="117" t="str">
        <f t="shared" si="57"/>
        <v>NO</v>
      </c>
      <c r="W334" s="117" t="str">
        <f t="shared" si="58"/>
        <v>NO</v>
      </c>
      <c r="X334" s="132" t="b">
        <f t="shared" si="64"/>
        <v>0</v>
      </c>
    </row>
    <row r="335" spans="1:24" s="2" customFormat="1" ht="12" x14ac:dyDescent="0.15">
      <c r="A335" s="125" t="s">
        <v>84</v>
      </c>
      <c r="B335" s="139">
        <v>900274752</v>
      </c>
      <c r="C335" s="137" t="s">
        <v>435</v>
      </c>
      <c r="D335" s="137" t="s">
        <v>531</v>
      </c>
      <c r="E335" s="138">
        <v>4023036</v>
      </c>
      <c r="F335" s="138">
        <v>5740741</v>
      </c>
      <c r="G335" s="138">
        <v>945686</v>
      </c>
      <c r="H335" s="138">
        <v>4360190</v>
      </c>
      <c r="I335" s="138">
        <v>1380551</v>
      </c>
      <c r="J335" s="138">
        <v>270274</v>
      </c>
      <c r="K335" s="138">
        <v>9638</v>
      </c>
      <c r="L335" s="93">
        <f t="shared" si="59"/>
        <v>3077350</v>
      </c>
      <c r="M335" s="94"/>
      <c r="N335" s="94">
        <f t="shared" si="60"/>
        <v>0.75951693344117077</v>
      </c>
      <c r="O335" s="94"/>
      <c r="P335" s="94">
        <f t="shared" si="54"/>
        <v>0.19577255747886171</v>
      </c>
      <c r="Q335" s="94">
        <f t="shared" si="61"/>
        <v>4.7079984970581322E-2</v>
      </c>
      <c r="R335" s="117" t="str">
        <f t="shared" si="62"/>
        <v>SI</v>
      </c>
      <c r="S335" s="117" t="str">
        <f t="shared" si="63"/>
        <v>NO</v>
      </c>
      <c r="T335" s="117" t="str">
        <f t="shared" si="55"/>
        <v>SI</v>
      </c>
      <c r="U335" s="117" t="str">
        <f t="shared" si="56"/>
        <v>NO</v>
      </c>
      <c r="V335" s="117" t="str">
        <f t="shared" si="57"/>
        <v>SI</v>
      </c>
      <c r="W335" s="117" t="str">
        <f t="shared" si="58"/>
        <v>NO</v>
      </c>
      <c r="X335" s="132" t="b">
        <f t="shared" si="64"/>
        <v>0</v>
      </c>
    </row>
    <row r="336" spans="1:24" s="2" customFormat="1" ht="12" x14ac:dyDescent="0.15">
      <c r="A336" s="125" t="s">
        <v>84</v>
      </c>
      <c r="B336" s="139">
        <v>900281103</v>
      </c>
      <c r="C336" s="137" t="s">
        <v>436</v>
      </c>
      <c r="D336" s="137" t="s">
        <v>531</v>
      </c>
      <c r="E336" s="138">
        <v>9283850</v>
      </c>
      <c r="F336" s="138">
        <v>9637336</v>
      </c>
      <c r="G336" s="138">
        <v>4588671</v>
      </c>
      <c r="H336" s="138">
        <v>4588671</v>
      </c>
      <c r="I336" s="138">
        <v>5048665</v>
      </c>
      <c r="J336" s="138">
        <v>-1801131</v>
      </c>
      <c r="K336" s="138">
        <v>14927</v>
      </c>
      <c r="L336" s="93">
        <f t="shared" si="59"/>
        <v>4695179</v>
      </c>
      <c r="M336" s="94">
        <f t="shared" si="65"/>
        <v>2.0232110778916161</v>
      </c>
      <c r="N336" s="94">
        <f t="shared" si="60"/>
        <v>0.47613479492673078</v>
      </c>
      <c r="O336" s="94"/>
      <c r="P336" s="94">
        <f t="shared" ref="P336:P399" si="67">J336/I336</f>
        <v>-0.35675391415354357</v>
      </c>
      <c r="Q336" s="94">
        <f t="shared" si="61"/>
        <v>-0.18689096239873756</v>
      </c>
      <c r="R336" s="117" t="str">
        <f t="shared" si="62"/>
        <v>SI</v>
      </c>
      <c r="S336" s="117" t="str">
        <f t="shared" si="63"/>
        <v>SI</v>
      </c>
      <c r="T336" s="117" t="str">
        <f t="shared" ref="T336:T399" si="68">+IF(N336&lt;=$G$542,"SI","NO")</f>
        <v>SI</v>
      </c>
      <c r="U336" s="117" t="str">
        <f t="shared" ref="U336:U399" si="69">+IF(O336&gt;=$H$542,"SI","NO")</f>
        <v>NO</v>
      </c>
      <c r="V336" s="117" t="str">
        <f t="shared" ref="V336:V399" si="70">+IF(P336&gt;=$I$542,"SI","NO")</f>
        <v>NO</v>
      </c>
      <c r="W336" s="117" t="str">
        <f t="shared" ref="W336:W399" si="71">+IF(Q336&gt;=$J$542,"SI","NO")</f>
        <v>NO</v>
      </c>
      <c r="X336" s="132" t="b">
        <f t="shared" si="64"/>
        <v>0</v>
      </c>
    </row>
    <row r="337" spans="1:24" s="2" customFormat="1" ht="12" x14ac:dyDescent="0.15">
      <c r="A337" s="125" t="s">
        <v>84</v>
      </c>
      <c r="B337" s="139">
        <v>900296267</v>
      </c>
      <c r="C337" s="137" t="s">
        <v>437</v>
      </c>
      <c r="D337" s="137" t="s">
        <v>531</v>
      </c>
      <c r="E337" s="138">
        <v>1984021</v>
      </c>
      <c r="F337" s="138">
        <v>3439418</v>
      </c>
      <c r="G337" s="138">
        <v>741385</v>
      </c>
      <c r="H337" s="138">
        <v>768939</v>
      </c>
      <c r="I337" s="138">
        <v>2670479</v>
      </c>
      <c r="J337" s="138">
        <v>185628</v>
      </c>
      <c r="K337" s="138">
        <v>126204</v>
      </c>
      <c r="L337" s="93">
        <f t="shared" ref="L337:L400" si="72">E337-G337</f>
        <v>1242636</v>
      </c>
      <c r="M337" s="94">
        <f t="shared" ref="M337:M400" si="73">E337/G337</f>
        <v>2.6761008113193552</v>
      </c>
      <c r="N337" s="94">
        <f t="shared" ref="N337:N400" si="74">H337/F337</f>
        <v>0.22356660341953202</v>
      </c>
      <c r="O337" s="94">
        <f t="shared" ref="O337:O396" si="75">J337/K337</f>
        <v>1.4708567081867452</v>
      </c>
      <c r="P337" s="94">
        <f t="shared" si="67"/>
        <v>6.9511125157696432E-2</v>
      </c>
      <c r="Q337" s="94">
        <f t="shared" ref="Q337:Q400" si="76">J337/F337</f>
        <v>5.3970759006320257E-2</v>
      </c>
      <c r="R337" s="117" t="str">
        <f t="shared" ref="R337:R400" si="77">+IF(L337&gt;=$R$14,"SI","NO")</f>
        <v>SI</v>
      </c>
      <c r="S337" s="117" t="str">
        <f t="shared" ref="S337:S400" si="78">+IF(M337&gt;=$F$542,"SI","NO")</f>
        <v>SI</v>
      </c>
      <c r="T337" s="117" t="str">
        <f t="shared" si="68"/>
        <v>SI</v>
      </c>
      <c r="U337" s="117" t="str">
        <f t="shared" si="69"/>
        <v>SI</v>
      </c>
      <c r="V337" s="117" t="str">
        <f t="shared" si="70"/>
        <v>NO</v>
      </c>
      <c r="W337" s="117" t="str">
        <f t="shared" si="71"/>
        <v>NO</v>
      </c>
      <c r="X337" s="132" t="b">
        <f t="shared" ref="X337:X400" si="79">+IF(R337="SI",IF(S337="SI",IF(T337="SI",IF(U337="SI",IF(V337="SI",IF(W337="SI","SI","NO"))))))</f>
        <v>0</v>
      </c>
    </row>
    <row r="338" spans="1:24" s="2" customFormat="1" ht="12" x14ac:dyDescent="0.15">
      <c r="A338" s="125" t="s">
        <v>84</v>
      </c>
      <c r="B338" s="139">
        <v>900297138</v>
      </c>
      <c r="C338" s="137" t="s">
        <v>438</v>
      </c>
      <c r="D338" s="137" t="s">
        <v>531</v>
      </c>
      <c r="E338" s="138">
        <v>2603573</v>
      </c>
      <c r="F338" s="138">
        <v>3471692</v>
      </c>
      <c r="G338" s="138">
        <v>2516307</v>
      </c>
      <c r="H338" s="138">
        <v>3254138</v>
      </c>
      <c r="I338" s="138">
        <v>217554</v>
      </c>
      <c r="J338" s="138">
        <v>54251</v>
      </c>
      <c r="K338" s="138">
        <v>26346</v>
      </c>
      <c r="L338" s="93">
        <f t="shared" si="72"/>
        <v>87266</v>
      </c>
      <c r="M338" s="94">
        <f t="shared" si="73"/>
        <v>1.0346801880692618</v>
      </c>
      <c r="N338" s="94">
        <f t="shared" si="74"/>
        <v>0.93733487878533006</v>
      </c>
      <c r="O338" s="94">
        <f t="shared" si="75"/>
        <v>2.059174068169741</v>
      </c>
      <c r="P338" s="94">
        <f t="shared" si="67"/>
        <v>0.24936797300900007</v>
      </c>
      <c r="Q338" s="94">
        <f t="shared" si="76"/>
        <v>1.5626674255665537E-2</v>
      </c>
      <c r="R338" s="117" t="str">
        <f t="shared" si="77"/>
        <v>SI</v>
      </c>
      <c r="S338" s="117" t="str">
        <f t="shared" si="78"/>
        <v>NO</v>
      </c>
      <c r="T338" s="117" t="str">
        <f t="shared" si="68"/>
        <v>SI</v>
      </c>
      <c r="U338" s="117" t="str">
        <f t="shared" si="69"/>
        <v>SI</v>
      </c>
      <c r="V338" s="117" t="str">
        <f t="shared" si="70"/>
        <v>SI</v>
      </c>
      <c r="W338" s="117" t="str">
        <f t="shared" si="71"/>
        <v>NO</v>
      </c>
      <c r="X338" s="132" t="b">
        <f t="shared" si="79"/>
        <v>0</v>
      </c>
    </row>
    <row r="339" spans="1:24" s="2" customFormat="1" ht="12" x14ac:dyDescent="0.15">
      <c r="A339" s="125" t="s">
        <v>84</v>
      </c>
      <c r="B339" s="139">
        <v>900298074</v>
      </c>
      <c r="C339" s="137" t="s">
        <v>439</v>
      </c>
      <c r="D339" s="137" t="s">
        <v>531</v>
      </c>
      <c r="E339" s="138">
        <v>77753137</v>
      </c>
      <c r="F339" s="138">
        <v>100717315</v>
      </c>
      <c r="G339" s="138">
        <v>57283062</v>
      </c>
      <c r="H339" s="138">
        <v>71040988</v>
      </c>
      <c r="I339" s="138">
        <v>29676327</v>
      </c>
      <c r="J339" s="138">
        <v>10009199</v>
      </c>
      <c r="K339" s="138">
        <v>14365778</v>
      </c>
      <c r="L339" s="93">
        <f t="shared" si="72"/>
        <v>20470075</v>
      </c>
      <c r="M339" s="94">
        <f t="shared" si="73"/>
        <v>1.3573495250655421</v>
      </c>
      <c r="N339" s="94">
        <f t="shared" si="74"/>
        <v>0.70535029652051384</v>
      </c>
      <c r="O339" s="94">
        <f t="shared" si="75"/>
        <v>0.69673908367510617</v>
      </c>
      <c r="P339" s="94">
        <f t="shared" si="67"/>
        <v>0.3372789024733418</v>
      </c>
      <c r="Q339" s="94">
        <f t="shared" si="76"/>
        <v>9.9379128603656677E-2</v>
      </c>
      <c r="R339" s="117" t="str">
        <f t="shared" si="77"/>
        <v>SI</v>
      </c>
      <c r="S339" s="117" t="str">
        <f t="shared" si="78"/>
        <v>NO</v>
      </c>
      <c r="T339" s="117" t="str">
        <f t="shared" si="68"/>
        <v>SI</v>
      </c>
      <c r="U339" s="117" t="str">
        <f t="shared" si="69"/>
        <v>NO</v>
      </c>
      <c r="V339" s="117" t="str">
        <f t="shared" si="70"/>
        <v>SI</v>
      </c>
      <c r="W339" s="117" t="str">
        <f t="shared" si="71"/>
        <v>SI</v>
      </c>
      <c r="X339" s="132" t="b">
        <f t="shared" si="79"/>
        <v>0</v>
      </c>
    </row>
    <row r="340" spans="1:24" s="2" customFormat="1" ht="12" x14ac:dyDescent="0.15">
      <c r="A340" s="125" t="s">
        <v>84</v>
      </c>
      <c r="B340" s="139">
        <v>900309256</v>
      </c>
      <c r="C340" s="137" t="s">
        <v>440</v>
      </c>
      <c r="D340" s="137" t="s">
        <v>531</v>
      </c>
      <c r="E340" s="138">
        <v>4626590</v>
      </c>
      <c r="F340" s="138">
        <v>4972764</v>
      </c>
      <c r="G340" s="138">
        <v>3681942</v>
      </c>
      <c r="H340" s="138">
        <v>3685727</v>
      </c>
      <c r="I340" s="138">
        <v>1287037</v>
      </c>
      <c r="J340" s="138">
        <v>-314912</v>
      </c>
      <c r="K340" s="138"/>
      <c r="L340" s="93">
        <f t="shared" si="72"/>
        <v>944648</v>
      </c>
      <c r="M340" s="94">
        <f t="shared" si="73"/>
        <v>1.2565624336287753</v>
      </c>
      <c r="N340" s="94">
        <f t="shared" si="74"/>
        <v>0.74118277078904204</v>
      </c>
      <c r="O340" s="94" t="s">
        <v>108</v>
      </c>
      <c r="P340" s="94">
        <f t="shared" si="67"/>
        <v>-0.24467983437927582</v>
      </c>
      <c r="Q340" s="94">
        <f t="shared" si="76"/>
        <v>-6.3327356777840252E-2</v>
      </c>
      <c r="R340" s="117" t="str">
        <f t="shared" si="77"/>
        <v>SI</v>
      </c>
      <c r="S340" s="117" t="str">
        <f t="shared" si="78"/>
        <v>NO</v>
      </c>
      <c r="T340" s="117" t="str">
        <f t="shared" si="68"/>
        <v>SI</v>
      </c>
      <c r="U340" s="117" t="str">
        <f t="shared" si="69"/>
        <v>SI</v>
      </c>
      <c r="V340" s="117" t="str">
        <f t="shared" si="70"/>
        <v>NO</v>
      </c>
      <c r="W340" s="117" t="str">
        <f t="shared" si="71"/>
        <v>NO</v>
      </c>
      <c r="X340" s="132" t="b">
        <f t="shared" si="79"/>
        <v>0</v>
      </c>
    </row>
    <row r="341" spans="1:24" s="2" customFormat="1" ht="12" x14ac:dyDescent="0.15">
      <c r="A341" s="125" t="s">
        <v>84</v>
      </c>
      <c r="B341" s="139">
        <v>900310458</v>
      </c>
      <c r="C341" s="137" t="s">
        <v>441</v>
      </c>
      <c r="D341" s="137" t="s">
        <v>531</v>
      </c>
      <c r="E341" s="138">
        <v>5908427</v>
      </c>
      <c r="F341" s="138">
        <v>6675808</v>
      </c>
      <c r="G341" s="138">
        <v>3077800</v>
      </c>
      <c r="H341" s="138">
        <v>4338774</v>
      </c>
      <c r="I341" s="138">
        <v>2337034</v>
      </c>
      <c r="J341" s="138">
        <v>342004</v>
      </c>
      <c r="K341" s="138"/>
      <c r="L341" s="93">
        <f t="shared" si="72"/>
        <v>2830627</v>
      </c>
      <c r="M341" s="94">
        <f t="shared" si="73"/>
        <v>1.9196916628760803</v>
      </c>
      <c r="N341" s="94">
        <f t="shared" si="74"/>
        <v>0.64992492294565696</v>
      </c>
      <c r="O341" s="94" t="s">
        <v>108</v>
      </c>
      <c r="P341" s="94">
        <f t="shared" si="67"/>
        <v>0.14634104595825306</v>
      </c>
      <c r="Q341" s="94">
        <f t="shared" si="76"/>
        <v>5.1230352940048608E-2</v>
      </c>
      <c r="R341" s="117" t="str">
        <f t="shared" si="77"/>
        <v>SI</v>
      </c>
      <c r="S341" s="117" t="str">
        <f t="shared" si="78"/>
        <v>SI</v>
      </c>
      <c r="T341" s="117" t="str">
        <f t="shared" si="68"/>
        <v>SI</v>
      </c>
      <c r="U341" s="117" t="str">
        <f t="shared" si="69"/>
        <v>SI</v>
      </c>
      <c r="V341" s="117" t="str">
        <f t="shared" si="70"/>
        <v>NO</v>
      </c>
      <c r="W341" s="117" t="str">
        <f t="shared" si="71"/>
        <v>NO</v>
      </c>
      <c r="X341" s="132" t="b">
        <f t="shared" si="79"/>
        <v>0</v>
      </c>
    </row>
    <row r="342" spans="1:24" s="2" customFormat="1" ht="12" x14ac:dyDescent="0.15">
      <c r="A342" s="125" t="s">
        <v>84</v>
      </c>
      <c r="B342" s="139">
        <v>900311030</v>
      </c>
      <c r="C342" s="137" t="s">
        <v>442</v>
      </c>
      <c r="D342" s="137" t="s">
        <v>531</v>
      </c>
      <c r="E342" s="138">
        <v>15601818</v>
      </c>
      <c r="F342" s="138">
        <v>18807116</v>
      </c>
      <c r="G342" s="138">
        <v>3092178</v>
      </c>
      <c r="H342" s="138">
        <v>8763283</v>
      </c>
      <c r="I342" s="138">
        <v>10043833</v>
      </c>
      <c r="J342" s="138">
        <v>1708138</v>
      </c>
      <c r="K342" s="138">
        <v>752326</v>
      </c>
      <c r="L342" s="93">
        <f t="shared" si="72"/>
        <v>12509640</v>
      </c>
      <c r="M342" s="94"/>
      <c r="N342" s="94">
        <f t="shared" si="74"/>
        <v>0.4659557052766623</v>
      </c>
      <c r="O342" s="94">
        <f t="shared" si="75"/>
        <v>2.2704758309562609</v>
      </c>
      <c r="P342" s="94">
        <f t="shared" si="67"/>
        <v>0.17006833944769889</v>
      </c>
      <c r="Q342" s="94">
        <f t="shared" si="76"/>
        <v>9.0824026395115554E-2</v>
      </c>
      <c r="R342" s="117" t="str">
        <f t="shared" si="77"/>
        <v>SI</v>
      </c>
      <c r="S342" s="117" t="str">
        <f t="shared" si="78"/>
        <v>NO</v>
      </c>
      <c r="T342" s="117" t="str">
        <f t="shared" si="68"/>
        <v>SI</v>
      </c>
      <c r="U342" s="117" t="str">
        <f t="shared" si="69"/>
        <v>SI</v>
      </c>
      <c r="V342" s="117" t="str">
        <f t="shared" si="70"/>
        <v>SI</v>
      </c>
      <c r="W342" s="117" t="str">
        <f t="shared" si="71"/>
        <v>SI</v>
      </c>
      <c r="X342" s="132" t="b">
        <f t="shared" si="79"/>
        <v>0</v>
      </c>
    </row>
    <row r="343" spans="1:24" s="2" customFormat="1" ht="12" x14ac:dyDescent="0.15">
      <c r="A343" s="125" t="s">
        <v>84</v>
      </c>
      <c r="B343" s="139">
        <v>900311609</v>
      </c>
      <c r="C343" s="137" t="s">
        <v>443</v>
      </c>
      <c r="D343" s="137" t="s">
        <v>531</v>
      </c>
      <c r="E343" s="138">
        <v>12089417</v>
      </c>
      <c r="F343" s="138">
        <v>14323144</v>
      </c>
      <c r="G343" s="138">
        <v>5834365</v>
      </c>
      <c r="H343" s="138">
        <v>5834365</v>
      </c>
      <c r="I343" s="138">
        <v>8488779</v>
      </c>
      <c r="J343" s="138">
        <v>1155002</v>
      </c>
      <c r="K343" s="138">
        <v>790752</v>
      </c>
      <c r="L343" s="93">
        <f t="shared" si="72"/>
        <v>6255052</v>
      </c>
      <c r="M343" s="94">
        <f t="shared" si="73"/>
        <v>2.0721050191409005</v>
      </c>
      <c r="N343" s="94">
        <f t="shared" si="74"/>
        <v>0.40733829109028019</v>
      </c>
      <c r="O343" s="94">
        <f t="shared" si="75"/>
        <v>1.4606374691432966</v>
      </c>
      <c r="P343" s="94">
        <f t="shared" si="67"/>
        <v>0.1360622063550011</v>
      </c>
      <c r="Q343" s="94">
        <f t="shared" si="76"/>
        <v>8.0638859736381907E-2</v>
      </c>
      <c r="R343" s="117" t="str">
        <f t="shared" si="77"/>
        <v>SI</v>
      </c>
      <c r="S343" s="117" t="str">
        <f t="shared" si="78"/>
        <v>SI</v>
      </c>
      <c r="T343" s="117" t="str">
        <f t="shared" si="68"/>
        <v>SI</v>
      </c>
      <c r="U343" s="117" t="str">
        <f t="shared" si="69"/>
        <v>SI</v>
      </c>
      <c r="V343" s="117" t="str">
        <f t="shared" si="70"/>
        <v>NO</v>
      </c>
      <c r="W343" s="117" t="str">
        <f t="shared" si="71"/>
        <v>NO</v>
      </c>
      <c r="X343" s="132" t="b">
        <f t="shared" si="79"/>
        <v>0</v>
      </c>
    </row>
    <row r="344" spans="1:24" s="2" customFormat="1" ht="12" x14ac:dyDescent="0.15">
      <c r="A344" s="125" t="s">
        <v>84</v>
      </c>
      <c r="B344" s="139">
        <v>900318694</v>
      </c>
      <c r="C344" s="137" t="s">
        <v>444</v>
      </c>
      <c r="D344" s="137" t="s">
        <v>531</v>
      </c>
      <c r="E344" s="138">
        <v>14561214</v>
      </c>
      <c r="F344" s="138">
        <v>15160972</v>
      </c>
      <c r="G344" s="138">
        <v>4247654</v>
      </c>
      <c r="H344" s="138">
        <v>5971183</v>
      </c>
      <c r="I344" s="138">
        <v>9189789</v>
      </c>
      <c r="J344" s="138">
        <v>2135748</v>
      </c>
      <c r="K344" s="138">
        <v>345592</v>
      </c>
      <c r="L344" s="93">
        <f t="shared" si="72"/>
        <v>10313560</v>
      </c>
      <c r="M344" s="94">
        <f t="shared" si="73"/>
        <v>3.4280602892796823</v>
      </c>
      <c r="N344" s="94">
        <f t="shared" si="74"/>
        <v>0.39385225432775683</v>
      </c>
      <c r="O344" s="94"/>
      <c r="P344" s="94">
        <f t="shared" si="67"/>
        <v>0.23240446543440768</v>
      </c>
      <c r="Q344" s="94">
        <f t="shared" si="76"/>
        <v>0.14087144280722899</v>
      </c>
      <c r="R344" s="117" t="str">
        <f t="shared" si="77"/>
        <v>SI</v>
      </c>
      <c r="S344" s="117" t="str">
        <f t="shared" si="78"/>
        <v>SI</v>
      </c>
      <c r="T344" s="117" t="str">
        <f t="shared" si="68"/>
        <v>SI</v>
      </c>
      <c r="U344" s="117" t="str">
        <f t="shared" si="69"/>
        <v>NO</v>
      </c>
      <c r="V344" s="117" t="str">
        <f t="shared" si="70"/>
        <v>SI</v>
      </c>
      <c r="W344" s="117" t="str">
        <f t="shared" si="71"/>
        <v>SI</v>
      </c>
      <c r="X344" s="132" t="b">
        <f t="shared" si="79"/>
        <v>0</v>
      </c>
    </row>
    <row r="345" spans="1:24" s="2" customFormat="1" ht="12" x14ac:dyDescent="0.15">
      <c r="A345" s="125" t="s">
        <v>84</v>
      </c>
      <c r="B345" s="139">
        <v>900321578</v>
      </c>
      <c r="C345" s="137" t="s">
        <v>445</v>
      </c>
      <c r="D345" s="137" t="s">
        <v>531</v>
      </c>
      <c r="E345" s="138">
        <v>19481459</v>
      </c>
      <c r="F345" s="138">
        <v>22918928</v>
      </c>
      <c r="G345" s="138">
        <v>8887894</v>
      </c>
      <c r="H345" s="138">
        <v>22339422</v>
      </c>
      <c r="I345" s="138">
        <v>579506</v>
      </c>
      <c r="J345" s="138">
        <v>1993715</v>
      </c>
      <c r="K345" s="138">
        <v>0</v>
      </c>
      <c r="L345" s="93">
        <f t="shared" si="72"/>
        <v>10593565</v>
      </c>
      <c r="M345" s="94">
        <f t="shared" si="73"/>
        <v>2.1919094669670902</v>
      </c>
      <c r="N345" s="94">
        <f t="shared" si="74"/>
        <v>0.97471496049029871</v>
      </c>
      <c r="O345" s="94" t="s">
        <v>108</v>
      </c>
      <c r="P345" s="94">
        <f t="shared" si="67"/>
        <v>3.4403699012607292</v>
      </c>
      <c r="Q345" s="94">
        <f t="shared" si="76"/>
        <v>8.6989888881364788E-2</v>
      </c>
      <c r="R345" s="117" t="str">
        <f t="shared" si="77"/>
        <v>SI</v>
      </c>
      <c r="S345" s="117" t="str">
        <f t="shared" si="78"/>
        <v>SI</v>
      </c>
      <c r="T345" s="117" t="str">
        <f t="shared" si="68"/>
        <v>SI</v>
      </c>
      <c r="U345" s="117" t="str">
        <f t="shared" si="69"/>
        <v>SI</v>
      </c>
      <c r="V345" s="117" t="str">
        <f t="shared" si="70"/>
        <v>SI</v>
      </c>
      <c r="W345" s="117" t="str">
        <f t="shared" si="71"/>
        <v>NO</v>
      </c>
      <c r="X345" s="132" t="str">
        <f t="shared" si="79"/>
        <v>NO</v>
      </c>
    </row>
    <row r="346" spans="1:24" s="2" customFormat="1" ht="12" x14ac:dyDescent="0.15">
      <c r="A346" s="125" t="s">
        <v>84</v>
      </c>
      <c r="B346" s="139">
        <v>900327306</v>
      </c>
      <c r="C346" s="137" t="s">
        <v>446</v>
      </c>
      <c r="D346" s="137" t="s">
        <v>531</v>
      </c>
      <c r="E346" s="138">
        <v>3882668</v>
      </c>
      <c r="F346" s="138">
        <v>4908200</v>
      </c>
      <c r="G346" s="138">
        <v>933267</v>
      </c>
      <c r="H346" s="138">
        <v>2223701</v>
      </c>
      <c r="I346" s="138">
        <v>2684499</v>
      </c>
      <c r="J346" s="138">
        <v>412685</v>
      </c>
      <c r="K346" s="138"/>
      <c r="L346" s="93">
        <f t="shared" si="72"/>
        <v>2949401</v>
      </c>
      <c r="M346" s="94"/>
      <c r="N346" s="94">
        <f t="shared" si="74"/>
        <v>0.45305835133042666</v>
      </c>
      <c r="O346" s="94" t="s">
        <v>108</v>
      </c>
      <c r="P346" s="94">
        <f t="shared" si="67"/>
        <v>0.15372887082468648</v>
      </c>
      <c r="Q346" s="94">
        <f t="shared" si="76"/>
        <v>8.4080722056965887E-2</v>
      </c>
      <c r="R346" s="117" t="str">
        <f t="shared" si="77"/>
        <v>SI</v>
      </c>
      <c r="S346" s="117" t="str">
        <f t="shared" si="78"/>
        <v>NO</v>
      </c>
      <c r="T346" s="117" t="str">
        <f t="shared" si="68"/>
        <v>SI</v>
      </c>
      <c r="U346" s="117" t="str">
        <f t="shared" si="69"/>
        <v>SI</v>
      </c>
      <c r="V346" s="117" t="str">
        <f t="shared" si="70"/>
        <v>NO</v>
      </c>
      <c r="W346" s="117" t="str">
        <f t="shared" si="71"/>
        <v>NO</v>
      </c>
      <c r="X346" s="132" t="b">
        <f t="shared" si="79"/>
        <v>0</v>
      </c>
    </row>
    <row r="347" spans="1:24" s="2" customFormat="1" ht="12" x14ac:dyDescent="0.15">
      <c r="A347" s="125" t="s">
        <v>84</v>
      </c>
      <c r="B347" s="139">
        <v>900332988</v>
      </c>
      <c r="C347" s="137" t="s">
        <v>447</v>
      </c>
      <c r="D347" s="137" t="s">
        <v>531</v>
      </c>
      <c r="E347" s="138">
        <v>2639979</v>
      </c>
      <c r="F347" s="138">
        <v>2982048</v>
      </c>
      <c r="G347" s="138">
        <v>786030</v>
      </c>
      <c r="H347" s="138">
        <v>1639644</v>
      </c>
      <c r="I347" s="138">
        <v>1342404</v>
      </c>
      <c r="J347" s="138">
        <v>391942</v>
      </c>
      <c r="K347" s="138">
        <v>142705</v>
      </c>
      <c r="L347" s="93">
        <f t="shared" si="72"/>
        <v>1853949</v>
      </c>
      <c r="M347" s="94"/>
      <c r="N347" s="94">
        <f t="shared" si="74"/>
        <v>0.54983823198016935</v>
      </c>
      <c r="O347" s="94">
        <f t="shared" si="75"/>
        <v>2.7465190427805615</v>
      </c>
      <c r="P347" s="94">
        <f t="shared" si="67"/>
        <v>0.29197022654878857</v>
      </c>
      <c r="Q347" s="94">
        <f t="shared" si="76"/>
        <v>0.13143383339235318</v>
      </c>
      <c r="R347" s="117" t="str">
        <f t="shared" si="77"/>
        <v>SI</v>
      </c>
      <c r="S347" s="117" t="str">
        <f t="shared" si="78"/>
        <v>NO</v>
      </c>
      <c r="T347" s="117" t="str">
        <f t="shared" si="68"/>
        <v>SI</v>
      </c>
      <c r="U347" s="117" t="str">
        <f t="shared" si="69"/>
        <v>SI</v>
      </c>
      <c r="V347" s="117" t="str">
        <f t="shared" si="70"/>
        <v>SI</v>
      </c>
      <c r="W347" s="117" t="str">
        <f t="shared" si="71"/>
        <v>SI</v>
      </c>
      <c r="X347" s="132" t="b">
        <f t="shared" si="79"/>
        <v>0</v>
      </c>
    </row>
    <row r="348" spans="1:24" s="2" customFormat="1" ht="12" x14ac:dyDescent="0.15">
      <c r="A348" s="125" t="s">
        <v>84</v>
      </c>
      <c r="B348" s="139">
        <v>900337062</v>
      </c>
      <c r="C348" s="137" t="s">
        <v>448</v>
      </c>
      <c r="D348" s="137" t="s">
        <v>531</v>
      </c>
      <c r="E348" s="138">
        <v>1099443</v>
      </c>
      <c r="F348" s="138">
        <v>1307072</v>
      </c>
      <c r="G348" s="138">
        <v>435064</v>
      </c>
      <c r="H348" s="138">
        <v>1089412</v>
      </c>
      <c r="I348" s="138">
        <v>217660</v>
      </c>
      <c r="J348" s="138">
        <v>-41578</v>
      </c>
      <c r="K348" s="138">
        <v>35898</v>
      </c>
      <c r="L348" s="93">
        <f t="shared" si="72"/>
        <v>664379</v>
      </c>
      <c r="M348" s="94">
        <f t="shared" si="73"/>
        <v>2.5270833716418735</v>
      </c>
      <c r="N348" s="94">
        <f t="shared" si="74"/>
        <v>0.8334751260833374</v>
      </c>
      <c r="O348" s="94"/>
      <c r="P348" s="94">
        <f t="shared" si="67"/>
        <v>-0.19102269594780852</v>
      </c>
      <c r="Q348" s="94">
        <f t="shared" si="76"/>
        <v>-3.1810030357929786E-2</v>
      </c>
      <c r="R348" s="117" t="str">
        <f t="shared" si="77"/>
        <v>SI</v>
      </c>
      <c r="S348" s="117" t="str">
        <f t="shared" si="78"/>
        <v>SI</v>
      </c>
      <c r="T348" s="117" t="str">
        <f t="shared" si="68"/>
        <v>SI</v>
      </c>
      <c r="U348" s="117" t="str">
        <f t="shared" si="69"/>
        <v>NO</v>
      </c>
      <c r="V348" s="117" t="str">
        <f t="shared" si="70"/>
        <v>NO</v>
      </c>
      <c r="W348" s="117" t="str">
        <f t="shared" si="71"/>
        <v>NO</v>
      </c>
      <c r="X348" s="132" t="b">
        <f t="shared" si="79"/>
        <v>0</v>
      </c>
    </row>
    <row r="349" spans="1:24" s="2" customFormat="1" ht="12" x14ac:dyDescent="0.15">
      <c r="A349" s="125" t="s">
        <v>84</v>
      </c>
      <c r="B349" s="139">
        <v>900341056</v>
      </c>
      <c r="C349" s="137" t="s">
        <v>449</v>
      </c>
      <c r="D349" s="137" t="s">
        <v>531</v>
      </c>
      <c r="E349" s="138">
        <v>1895819</v>
      </c>
      <c r="F349" s="138">
        <v>3402155</v>
      </c>
      <c r="G349" s="138">
        <v>1331147</v>
      </c>
      <c r="H349" s="138">
        <v>1784969</v>
      </c>
      <c r="I349" s="138">
        <v>1617186</v>
      </c>
      <c r="J349" s="138">
        <v>1030973</v>
      </c>
      <c r="K349" s="138">
        <v>435809</v>
      </c>
      <c r="L349" s="93">
        <f t="shared" si="72"/>
        <v>564672</v>
      </c>
      <c r="M349" s="94">
        <f t="shared" si="73"/>
        <v>1.4241995812633765</v>
      </c>
      <c r="N349" s="94">
        <f t="shared" si="74"/>
        <v>0.52465834155116386</v>
      </c>
      <c r="O349" s="94">
        <f t="shared" si="75"/>
        <v>2.3656533022493798</v>
      </c>
      <c r="P349" s="94">
        <f t="shared" si="67"/>
        <v>0.63751046571019043</v>
      </c>
      <c r="Q349" s="94">
        <f t="shared" si="76"/>
        <v>0.30303528204917179</v>
      </c>
      <c r="R349" s="117" t="str">
        <f t="shared" si="77"/>
        <v>SI</v>
      </c>
      <c r="S349" s="117" t="str">
        <f t="shared" si="78"/>
        <v>NO</v>
      </c>
      <c r="T349" s="117" t="str">
        <f t="shared" si="68"/>
        <v>SI</v>
      </c>
      <c r="U349" s="117" t="str">
        <f t="shared" si="69"/>
        <v>SI</v>
      </c>
      <c r="V349" s="117" t="str">
        <f t="shared" si="70"/>
        <v>SI</v>
      </c>
      <c r="W349" s="117" t="str">
        <f t="shared" si="71"/>
        <v>SI</v>
      </c>
      <c r="X349" s="132" t="b">
        <f t="shared" si="79"/>
        <v>0</v>
      </c>
    </row>
    <row r="350" spans="1:24" s="2" customFormat="1" ht="12" x14ac:dyDescent="0.15">
      <c r="A350" s="125" t="s">
        <v>84</v>
      </c>
      <c r="B350" s="139">
        <v>900346138</v>
      </c>
      <c r="C350" s="137" t="s">
        <v>450</v>
      </c>
      <c r="D350" s="137" t="s">
        <v>531</v>
      </c>
      <c r="E350" s="138">
        <v>17292576</v>
      </c>
      <c r="F350" s="138">
        <v>22830038</v>
      </c>
      <c r="G350" s="138">
        <v>897157</v>
      </c>
      <c r="H350" s="138">
        <v>897157</v>
      </c>
      <c r="I350" s="138">
        <v>21932881</v>
      </c>
      <c r="J350" s="138">
        <v>770516</v>
      </c>
      <c r="K350" s="138">
        <v>44814</v>
      </c>
      <c r="L350" s="93">
        <f t="shared" si="72"/>
        <v>16395419</v>
      </c>
      <c r="M350" s="94"/>
      <c r="N350" s="94">
        <f t="shared" si="74"/>
        <v>3.9297218865776744E-2</v>
      </c>
      <c r="O350" s="94"/>
      <c r="P350" s="94">
        <f t="shared" si="67"/>
        <v>3.513063331716431E-2</v>
      </c>
      <c r="Q350" s="94">
        <f t="shared" si="76"/>
        <v>3.3750097130806352E-2</v>
      </c>
      <c r="R350" s="117" t="str">
        <f t="shared" si="77"/>
        <v>SI</v>
      </c>
      <c r="S350" s="117" t="str">
        <f t="shared" si="78"/>
        <v>NO</v>
      </c>
      <c r="T350" s="117" t="str">
        <f t="shared" si="68"/>
        <v>SI</v>
      </c>
      <c r="U350" s="117" t="str">
        <f t="shared" si="69"/>
        <v>NO</v>
      </c>
      <c r="V350" s="117" t="str">
        <f t="shared" si="70"/>
        <v>NO</v>
      </c>
      <c r="W350" s="117" t="str">
        <f t="shared" si="71"/>
        <v>NO</v>
      </c>
      <c r="X350" s="132" t="b">
        <f t="shared" si="79"/>
        <v>0</v>
      </c>
    </row>
    <row r="351" spans="1:24" s="2" customFormat="1" ht="12" x14ac:dyDescent="0.15">
      <c r="A351" s="125" t="s">
        <v>84</v>
      </c>
      <c r="B351" s="139">
        <v>900347900</v>
      </c>
      <c r="C351" s="137" t="s">
        <v>451</v>
      </c>
      <c r="D351" s="137" t="s">
        <v>531</v>
      </c>
      <c r="E351" s="138">
        <v>4276351</v>
      </c>
      <c r="F351" s="138">
        <v>4289185</v>
      </c>
      <c r="G351" s="138">
        <v>2602430</v>
      </c>
      <c r="H351" s="138">
        <v>2817092</v>
      </c>
      <c r="I351" s="138">
        <v>1472093</v>
      </c>
      <c r="J351" s="138">
        <v>279015</v>
      </c>
      <c r="K351" s="138">
        <v>113380</v>
      </c>
      <c r="L351" s="93">
        <f t="shared" si="72"/>
        <v>1673921</v>
      </c>
      <c r="M351" s="94">
        <f t="shared" si="73"/>
        <v>1.6432146109597567</v>
      </c>
      <c r="N351" s="94">
        <f t="shared" si="74"/>
        <v>0.65678957657457071</v>
      </c>
      <c r="O351" s="94">
        <f t="shared" si="75"/>
        <v>2.4608837537484565</v>
      </c>
      <c r="P351" s="94">
        <f t="shared" si="67"/>
        <v>0.18953625891842432</v>
      </c>
      <c r="Q351" s="94">
        <f t="shared" si="76"/>
        <v>6.5050819677864205E-2</v>
      </c>
      <c r="R351" s="117" t="str">
        <f t="shared" si="77"/>
        <v>SI</v>
      </c>
      <c r="S351" s="117" t="str">
        <f t="shared" si="78"/>
        <v>NO</v>
      </c>
      <c r="T351" s="117" t="str">
        <f t="shared" si="68"/>
        <v>SI</v>
      </c>
      <c r="U351" s="117" t="str">
        <f t="shared" si="69"/>
        <v>SI</v>
      </c>
      <c r="V351" s="117" t="str">
        <f t="shared" si="70"/>
        <v>SI</v>
      </c>
      <c r="W351" s="117" t="str">
        <f t="shared" si="71"/>
        <v>NO</v>
      </c>
      <c r="X351" s="132" t="b">
        <f t="shared" si="79"/>
        <v>0</v>
      </c>
    </row>
    <row r="352" spans="1:24" s="2" customFormat="1" ht="12" x14ac:dyDescent="0.15">
      <c r="A352" s="125" t="s">
        <v>84</v>
      </c>
      <c r="B352" s="139">
        <v>900350852</v>
      </c>
      <c r="C352" s="137" t="s">
        <v>452</v>
      </c>
      <c r="D352" s="137" t="s">
        <v>531</v>
      </c>
      <c r="E352" s="138">
        <v>3196823</v>
      </c>
      <c r="F352" s="138">
        <v>3516639</v>
      </c>
      <c r="G352" s="138">
        <v>1259065</v>
      </c>
      <c r="H352" s="138">
        <v>4091600</v>
      </c>
      <c r="I352" s="138">
        <v>-574961</v>
      </c>
      <c r="J352" s="138">
        <v>164278</v>
      </c>
      <c r="K352" s="138">
        <v>584915</v>
      </c>
      <c r="L352" s="93">
        <f t="shared" si="72"/>
        <v>1937758</v>
      </c>
      <c r="M352" s="94">
        <f t="shared" si="73"/>
        <v>2.5390452438913003</v>
      </c>
      <c r="N352" s="94">
        <f t="shared" si="74"/>
        <v>1.163497305239463</v>
      </c>
      <c r="O352" s="94">
        <f t="shared" si="75"/>
        <v>0.28085790243026765</v>
      </c>
      <c r="P352" s="94">
        <f t="shared" si="67"/>
        <v>-0.28572024885166125</v>
      </c>
      <c r="Q352" s="94">
        <f t="shared" si="76"/>
        <v>4.6714490739595389E-2</v>
      </c>
      <c r="R352" s="117" t="str">
        <f t="shared" si="77"/>
        <v>SI</v>
      </c>
      <c r="S352" s="117" t="str">
        <f t="shared" si="78"/>
        <v>SI</v>
      </c>
      <c r="T352" s="117" t="str">
        <f t="shared" si="68"/>
        <v>NO</v>
      </c>
      <c r="U352" s="117" t="str">
        <f t="shared" si="69"/>
        <v>NO</v>
      </c>
      <c r="V352" s="117" t="str">
        <f t="shared" si="70"/>
        <v>NO</v>
      </c>
      <c r="W352" s="117" t="str">
        <f t="shared" si="71"/>
        <v>NO</v>
      </c>
      <c r="X352" s="132" t="b">
        <f t="shared" si="79"/>
        <v>0</v>
      </c>
    </row>
    <row r="353" spans="1:24" s="2" customFormat="1" ht="12" x14ac:dyDescent="0.15">
      <c r="A353" s="125" t="s">
        <v>84</v>
      </c>
      <c r="B353" s="139">
        <v>900352229</v>
      </c>
      <c r="C353" s="137" t="s">
        <v>453</v>
      </c>
      <c r="D353" s="137" t="s">
        <v>531</v>
      </c>
      <c r="E353" s="138">
        <v>2788274</v>
      </c>
      <c r="F353" s="138">
        <v>2924507</v>
      </c>
      <c r="G353" s="138">
        <v>267341</v>
      </c>
      <c r="H353" s="138">
        <v>325664</v>
      </c>
      <c r="I353" s="138">
        <v>2598843</v>
      </c>
      <c r="J353" s="138">
        <v>574450</v>
      </c>
      <c r="K353" s="138">
        <v>14962</v>
      </c>
      <c r="L353" s="93">
        <f t="shared" si="72"/>
        <v>2520933</v>
      </c>
      <c r="M353" s="94"/>
      <c r="N353" s="94">
        <f t="shared" si="74"/>
        <v>0.11135688852856225</v>
      </c>
      <c r="O353" s="94"/>
      <c r="P353" s="94">
        <f t="shared" si="67"/>
        <v>0.22104067079080961</v>
      </c>
      <c r="Q353" s="94">
        <f t="shared" si="76"/>
        <v>0.19642626945327879</v>
      </c>
      <c r="R353" s="117" t="str">
        <f t="shared" si="77"/>
        <v>SI</v>
      </c>
      <c r="S353" s="117" t="str">
        <f t="shared" si="78"/>
        <v>NO</v>
      </c>
      <c r="T353" s="117" t="str">
        <f t="shared" si="68"/>
        <v>SI</v>
      </c>
      <c r="U353" s="117" t="str">
        <f t="shared" si="69"/>
        <v>NO</v>
      </c>
      <c r="V353" s="117" t="str">
        <f t="shared" si="70"/>
        <v>SI</v>
      </c>
      <c r="W353" s="117" t="str">
        <f t="shared" si="71"/>
        <v>SI</v>
      </c>
      <c r="X353" s="132" t="b">
        <f t="shared" si="79"/>
        <v>0</v>
      </c>
    </row>
    <row r="354" spans="1:24" s="2" customFormat="1" ht="12" x14ac:dyDescent="0.15">
      <c r="A354" s="125" t="s">
        <v>84</v>
      </c>
      <c r="B354" s="139">
        <v>900352772</v>
      </c>
      <c r="C354" s="137" t="s">
        <v>454</v>
      </c>
      <c r="D354" s="137" t="s">
        <v>531</v>
      </c>
      <c r="E354" s="138">
        <v>12674034</v>
      </c>
      <c r="F354" s="138">
        <v>15093981</v>
      </c>
      <c r="G354" s="138">
        <v>4051579</v>
      </c>
      <c r="H354" s="138">
        <v>4051579</v>
      </c>
      <c r="I354" s="138">
        <v>11042402</v>
      </c>
      <c r="J354" s="138">
        <v>3196887</v>
      </c>
      <c r="K354" s="138">
        <v>828914</v>
      </c>
      <c r="L354" s="93">
        <f t="shared" si="72"/>
        <v>8622455</v>
      </c>
      <c r="M354" s="94">
        <f t="shared" si="73"/>
        <v>3.1281715104160623</v>
      </c>
      <c r="N354" s="94">
        <f t="shared" si="74"/>
        <v>0.26842348615650174</v>
      </c>
      <c r="O354" s="94"/>
      <c r="P354" s="94">
        <f t="shared" si="67"/>
        <v>0.28951010839851693</v>
      </c>
      <c r="Q354" s="94">
        <f t="shared" si="76"/>
        <v>0.21179879582464031</v>
      </c>
      <c r="R354" s="117" t="str">
        <f t="shared" si="77"/>
        <v>SI</v>
      </c>
      <c r="S354" s="117" t="str">
        <f t="shared" si="78"/>
        <v>SI</v>
      </c>
      <c r="T354" s="117" t="str">
        <f t="shared" si="68"/>
        <v>SI</v>
      </c>
      <c r="U354" s="117" t="str">
        <f t="shared" si="69"/>
        <v>NO</v>
      </c>
      <c r="V354" s="117" t="str">
        <f t="shared" si="70"/>
        <v>SI</v>
      </c>
      <c r="W354" s="117" t="str">
        <f t="shared" si="71"/>
        <v>SI</v>
      </c>
      <c r="X354" s="132" t="b">
        <f t="shared" si="79"/>
        <v>0</v>
      </c>
    </row>
    <row r="355" spans="1:24" s="2" customFormat="1" ht="12" x14ac:dyDescent="0.15">
      <c r="A355" s="125" t="s">
        <v>84</v>
      </c>
      <c r="B355" s="139">
        <v>900353389</v>
      </c>
      <c r="C355" s="137" t="s">
        <v>455</v>
      </c>
      <c r="D355" s="137" t="s">
        <v>531</v>
      </c>
      <c r="E355" s="138">
        <v>16796340</v>
      </c>
      <c r="F355" s="138">
        <v>17769807</v>
      </c>
      <c r="G355" s="138">
        <v>11725819</v>
      </c>
      <c r="H355" s="138">
        <v>12948673</v>
      </c>
      <c r="I355" s="138">
        <v>4821134</v>
      </c>
      <c r="J355" s="138">
        <v>7266472</v>
      </c>
      <c r="K355" s="138">
        <v>59277</v>
      </c>
      <c r="L355" s="93">
        <f t="shared" si="72"/>
        <v>5070521</v>
      </c>
      <c r="M355" s="94">
        <f t="shared" si="73"/>
        <v>1.4324236115191613</v>
      </c>
      <c r="N355" s="94">
        <f t="shared" si="74"/>
        <v>0.72868956877246893</v>
      </c>
      <c r="O355" s="94"/>
      <c r="P355" s="94">
        <f t="shared" si="67"/>
        <v>1.5072122036018911</v>
      </c>
      <c r="Q355" s="94">
        <f t="shared" si="76"/>
        <v>0.40892239291062643</v>
      </c>
      <c r="R355" s="117" t="str">
        <f t="shared" si="77"/>
        <v>SI</v>
      </c>
      <c r="S355" s="117" t="str">
        <f t="shared" si="78"/>
        <v>NO</v>
      </c>
      <c r="T355" s="117" t="str">
        <f t="shared" si="68"/>
        <v>SI</v>
      </c>
      <c r="U355" s="117" t="str">
        <f t="shared" si="69"/>
        <v>NO</v>
      </c>
      <c r="V355" s="117" t="str">
        <f t="shared" si="70"/>
        <v>SI</v>
      </c>
      <c r="W355" s="117" t="str">
        <f t="shared" si="71"/>
        <v>SI</v>
      </c>
      <c r="X355" s="132" t="b">
        <f t="shared" si="79"/>
        <v>0</v>
      </c>
    </row>
    <row r="356" spans="1:24" s="2" customFormat="1" ht="12" x14ac:dyDescent="0.15">
      <c r="A356" s="125" t="s">
        <v>84</v>
      </c>
      <c r="B356" s="139">
        <v>900362587</v>
      </c>
      <c r="C356" s="137" t="s">
        <v>456</v>
      </c>
      <c r="D356" s="137" t="s">
        <v>531</v>
      </c>
      <c r="E356" s="138">
        <v>2178611</v>
      </c>
      <c r="F356" s="138">
        <v>2391829</v>
      </c>
      <c r="G356" s="138">
        <v>389479</v>
      </c>
      <c r="H356" s="138">
        <v>1281264</v>
      </c>
      <c r="I356" s="138">
        <v>1110565</v>
      </c>
      <c r="J356" s="138">
        <v>107556</v>
      </c>
      <c r="K356" s="138"/>
      <c r="L356" s="93">
        <f t="shared" si="72"/>
        <v>1789132</v>
      </c>
      <c r="M356" s="94">
        <f t="shared" si="73"/>
        <v>5.5936546001196472</v>
      </c>
      <c r="N356" s="94">
        <f t="shared" si="74"/>
        <v>0.53568378006956185</v>
      </c>
      <c r="O356" s="94" t="s">
        <v>108</v>
      </c>
      <c r="P356" s="94">
        <f t="shared" si="67"/>
        <v>9.6848000792389463E-2</v>
      </c>
      <c r="Q356" s="94">
        <f t="shared" si="76"/>
        <v>4.4968097635742353E-2</v>
      </c>
      <c r="R356" s="117" t="str">
        <f t="shared" si="77"/>
        <v>SI</v>
      </c>
      <c r="S356" s="117" t="str">
        <f t="shared" si="78"/>
        <v>SI</v>
      </c>
      <c r="T356" s="117" t="str">
        <f t="shared" si="68"/>
        <v>SI</v>
      </c>
      <c r="U356" s="117" t="str">
        <f t="shared" si="69"/>
        <v>SI</v>
      </c>
      <c r="V356" s="117" t="str">
        <f t="shared" si="70"/>
        <v>NO</v>
      </c>
      <c r="W356" s="117" t="str">
        <f t="shared" si="71"/>
        <v>NO</v>
      </c>
      <c r="X356" s="132" t="b">
        <f t="shared" si="79"/>
        <v>0</v>
      </c>
    </row>
    <row r="357" spans="1:24" s="2" customFormat="1" ht="12" x14ac:dyDescent="0.15">
      <c r="A357" s="125" t="s">
        <v>84</v>
      </c>
      <c r="B357" s="139">
        <v>900364247</v>
      </c>
      <c r="C357" s="137" t="s">
        <v>457</v>
      </c>
      <c r="D357" s="137" t="s">
        <v>531</v>
      </c>
      <c r="E357" s="138">
        <v>1196758</v>
      </c>
      <c r="F357" s="138">
        <v>1341610</v>
      </c>
      <c r="G357" s="138">
        <v>72941</v>
      </c>
      <c r="H357" s="138">
        <v>1417486</v>
      </c>
      <c r="I357" s="138">
        <v>-75876</v>
      </c>
      <c r="J357" s="138">
        <v>-568396</v>
      </c>
      <c r="K357" s="138"/>
      <c r="L357" s="93">
        <f t="shared" si="72"/>
        <v>1123817</v>
      </c>
      <c r="M357" s="94"/>
      <c r="N357" s="94">
        <f t="shared" si="74"/>
        <v>1.0565559290702962</v>
      </c>
      <c r="O357" s="94" t="s">
        <v>108</v>
      </c>
      <c r="P357" s="94">
        <f t="shared" si="67"/>
        <v>7.4911170857715224</v>
      </c>
      <c r="Q357" s="94">
        <f t="shared" si="76"/>
        <v>-0.42366708656017771</v>
      </c>
      <c r="R357" s="117" t="str">
        <f t="shared" si="77"/>
        <v>SI</v>
      </c>
      <c r="S357" s="117" t="str">
        <f t="shared" si="78"/>
        <v>NO</v>
      </c>
      <c r="T357" s="117" t="str">
        <f t="shared" si="68"/>
        <v>NO</v>
      </c>
      <c r="U357" s="117" t="str">
        <f t="shared" si="69"/>
        <v>SI</v>
      </c>
      <c r="V357" s="117" t="str">
        <f t="shared" si="70"/>
        <v>SI</v>
      </c>
      <c r="W357" s="117" t="str">
        <f t="shared" si="71"/>
        <v>NO</v>
      </c>
      <c r="X357" s="132" t="b">
        <f t="shared" si="79"/>
        <v>0</v>
      </c>
    </row>
    <row r="358" spans="1:24" s="2" customFormat="1" ht="12" x14ac:dyDescent="0.15">
      <c r="A358" s="125" t="s">
        <v>84</v>
      </c>
      <c r="B358" s="139">
        <v>900366080</v>
      </c>
      <c r="C358" s="137" t="s">
        <v>458</v>
      </c>
      <c r="D358" s="137" t="s">
        <v>531</v>
      </c>
      <c r="E358" s="138">
        <v>4311839</v>
      </c>
      <c r="F358" s="138">
        <v>5977745</v>
      </c>
      <c r="G358" s="138">
        <v>2434188</v>
      </c>
      <c r="H358" s="138">
        <v>3627463</v>
      </c>
      <c r="I358" s="138">
        <v>2350282</v>
      </c>
      <c r="J358" s="138">
        <v>756739</v>
      </c>
      <c r="K358" s="138">
        <v>527157</v>
      </c>
      <c r="L358" s="93">
        <f t="shared" si="72"/>
        <v>1877651</v>
      </c>
      <c r="M358" s="94">
        <f t="shared" si="73"/>
        <v>1.77136646799672</v>
      </c>
      <c r="N358" s="94">
        <f t="shared" si="74"/>
        <v>0.60682799283007216</v>
      </c>
      <c r="O358" s="94">
        <f t="shared" si="75"/>
        <v>1.4355097248068411</v>
      </c>
      <c r="P358" s="94">
        <f t="shared" si="67"/>
        <v>0.32197795838967408</v>
      </c>
      <c r="Q358" s="94">
        <f t="shared" si="76"/>
        <v>0.12659272016454365</v>
      </c>
      <c r="R358" s="117" t="str">
        <f t="shared" si="77"/>
        <v>SI</v>
      </c>
      <c r="S358" s="117" t="str">
        <f t="shared" si="78"/>
        <v>NO</v>
      </c>
      <c r="T358" s="117" t="str">
        <f t="shared" si="68"/>
        <v>SI</v>
      </c>
      <c r="U358" s="117" t="str">
        <f t="shared" si="69"/>
        <v>SI</v>
      </c>
      <c r="V358" s="117" t="str">
        <f t="shared" si="70"/>
        <v>SI</v>
      </c>
      <c r="W358" s="117" t="str">
        <f t="shared" si="71"/>
        <v>SI</v>
      </c>
      <c r="X358" s="132" t="b">
        <f t="shared" si="79"/>
        <v>0</v>
      </c>
    </row>
    <row r="359" spans="1:24" s="2" customFormat="1" ht="12" x14ac:dyDescent="0.15">
      <c r="A359" s="125" t="s">
        <v>84</v>
      </c>
      <c r="B359" s="139">
        <v>900367678</v>
      </c>
      <c r="C359" s="137" t="s">
        <v>459</v>
      </c>
      <c r="D359" s="137" t="s">
        <v>531</v>
      </c>
      <c r="E359" s="138">
        <v>32529473</v>
      </c>
      <c r="F359" s="138">
        <v>33330826</v>
      </c>
      <c r="G359" s="138">
        <v>13556110</v>
      </c>
      <c r="H359" s="138">
        <v>13557488</v>
      </c>
      <c r="I359" s="138">
        <v>19773338</v>
      </c>
      <c r="J359" s="138">
        <v>5068489</v>
      </c>
      <c r="K359" s="138">
        <v>1895377</v>
      </c>
      <c r="L359" s="93">
        <f t="shared" si="72"/>
        <v>18973363</v>
      </c>
      <c r="M359" s="94">
        <f t="shared" si="73"/>
        <v>2.3996170730393898</v>
      </c>
      <c r="N359" s="94">
        <f t="shared" si="74"/>
        <v>0.40675523612886161</v>
      </c>
      <c r="O359" s="94">
        <f t="shared" si="75"/>
        <v>2.6741323757753737</v>
      </c>
      <c r="P359" s="94">
        <f t="shared" si="67"/>
        <v>0.25632945737335799</v>
      </c>
      <c r="Q359" s="94">
        <f t="shared" si="76"/>
        <v>0.15206610841267479</v>
      </c>
      <c r="R359" s="117" t="str">
        <f t="shared" si="77"/>
        <v>SI</v>
      </c>
      <c r="S359" s="117" t="str">
        <f t="shared" si="78"/>
        <v>SI</v>
      </c>
      <c r="T359" s="117" t="str">
        <f t="shared" si="68"/>
        <v>SI</v>
      </c>
      <c r="U359" s="117" t="str">
        <f t="shared" si="69"/>
        <v>SI</v>
      </c>
      <c r="V359" s="117" t="str">
        <f t="shared" si="70"/>
        <v>SI</v>
      </c>
      <c r="W359" s="117" t="str">
        <f t="shared" si="71"/>
        <v>SI</v>
      </c>
      <c r="X359" s="132" t="str">
        <f t="shared" si="79"/>
        <v>SI</v>
      </c>
    </row>
    <row r="360" spans="1:24" s="2" customFormat="1" ht="12" x14ac:dyDescent="0.15">
      <c r="A360" s="125" t="s">
        <v>84</v>
      </c>
      <c r="B360" s="139">
        <v>900371896</v>
      </c>
      <c r="C360" s="137" t="s">
        <v>460</v>
      </c>
      <c r="D360" s="137" t="s">
        <v>531</v>
      </c>
      <c r="E360" s="138">
        <v>2609340</v>
      </c>
      <c r="F360" s="138">
        <v>2612562</v>
      </c>
      <c r="G360" s="138">
        <v>1651969</v>
      </c>
      <c r="H360" s="138">
        <v>1651969</v>
      </c>
      <c r="I360" s="138">
        <v>960593</v>
      </c>
      <c r="J360" s="138">
        <v>759669</v>
      </c>
      <c r="K360" s="138">
        <v>184473</v>
      </c>
      <c r="L360" s="93">
        <f t="shared" si="72"/>
        <v>957371</v>
      </c>
      <c r="M360" s="94">
        <f t="shared" si="73"/>
        <v>1.5795332721134598</v>
      </c>
      <c r="N360" s="94">
        <f t="shared" si="74"/>
        <v>0.63231762538075653</v>
      </c>
      <c r="O360" s="94"/>
      <c r="P360" s="94">
        <f t="shared" si="67"/>
        <v>0.79083337063667969</v>
      </c>
      <c r="Q360" s="94">
        <f t="shared" si="76"/>
        <v>0.29077549164383465</v>
      </c>
      <c r="R360" s="117" t="str">
        <f t="shared" si="77"/>
        <v>SI</v>
      </c>
      <c r="S360" s="117" t="str">
        <f t="shared" si="78"/>
        <v>NO</v>
      </c>
      <c r="T360" s="117" t="str">
        <f t="shared" si="68"/>
        <v>SI</v>
      </c>
      <c r="U360" s="117" t="str">
        <f t="shared" si="69"/>
        <v>NO</v>
      </c>
      <c r="V360" s="117" t="str">
        <f t="shared" si="70"/>
        <v>SI</v>
      </c>
      <c r="W360" s="117" t="str">
        <f t="shared" si="71"/>
        <v>SI</v>
      </c>
      <c r="X360" s="132" t="b">
        <f t="shared" si="79"/>
        <v>0</v>
      </c>
    </row>
    <row r="361" spans="1:24" s="2" customFormat="1" ht="12" x14ac:dyDescent="0.15">
      <c r="A361" s="125" t="s">
        <v>84</v>
      </c>
      <c r="B361" s="139">
        <v>900387617</v>
      </c>
      <c r="C361" s="137" t="s">
        <v>461</v>
      </c>
      <c r="D361" s="137" t="s">
        <v>531</v>
      </c>
      <c r="E361" s="138">
        <v>3760870</v>
      </c>
      <c r="F361" s="138">
        <v>4396287</v>
      </c>
      <c r="G361" s="138">
        <v>1440511</v>
      </c>
      <c r="H361" s="138">
        <v>1756543</v>
      </c>
      <c r="I361" s="138">
        <v>2639744</v>
      </c>
      <c r="J361" s="138">
        <v>10788</v>
      </c>
      <c r="K361" s="138"/>
      <c r="L361" s="93">
        <f t="shared" si="72"/>
        <v>2320359</v>
      </c>
      <c r="M361" s="94">
        <f t="shared" si="73"/>
        <v>2.610788810359657</v>
      </c>
      <c r="N361" s="94">
        <f t="shared" si="74"/>
        <v>0.3995514851509922</v>
      </c>
      <c r="O361" s="94" t="s">
        <v>108</v>
      </c>
      <c r="P361" s="94">
        <f t="shared" si="67"/>
        <v>4.0867599282354656E-3</v>
      </c>
      <c r="Q361" s="94">
        <f t="shared" si="76"/>
        <v>2.4538889294534231E-3</v>
      </c>
      <c r="R361" s="117" t="str">
        <f t="shared" si="77"/>
        <v>SI</v>
      </c>
      <c r="S361" s="117" t="str">
        <f t="shared" si="78"/>
        <v>SI</v>
      </c>
      <c r="T361" s="117" t="str">
        <f t="shared" si="68"/>
        <v>SI</v>
      </c>
      <c r="U361" s="117" t="str">
        <f t="shared" si="69"/>
        <v>SI</v>
      </c>
      <c r="V361" s="117" t="str">
        <f t="shared" si="70"/>
        <v>NO</v>
      </c>
      <c r="W361" s="117" t="str">
        <f t="shared" si="71"/>
        <v>NO</v>
      </c>
      <c r="X361" s="132" t="b">
        <f t="shared" si="79"/>
        <v>0</v>
      </c>
    </row>
    <row r="362" spans="1:24" s="2" customFormat="1" ht="12" x14ac:dyDescent="0.15">
      <c r="A362" s="125" t="s">
        <v>84</v>
      </c>
      <c r="B362" s="139">
        <v>900390835</v>
      </c>
      <c r="C362" s="137" t="s">
        <v>462</v>
      </c>
      <c r="D362" s="137" t="s">
        <v>531</v>
      </c>
      <c r="E362" s="138">
        <v>17351477</v>
      </c>
      <c r="F362" s="138">
        <v>18377135</v>
      </c>
      <c r="G362" s="138">
        <v>4220594</v>
      </c>
      <c r="H362" s="138">
        <v>4220594</v>
      </c>
      <c r="I362" s="138">
        <v>14156541</v>
      </c>
      <c r="J362" s="138">
        <v>1131384</v>
      </c>
      <c r="K362" s="138">
        <v>394369</v>
      </c>
      <c r="L362" s="93">
        <f t="shared" si="72"/>
        <v>13130883</v>
      </c>
      <c r="M362" s="94"/>
      <c r="N362" s="94">
        <f t="shared" si="74"/>
        <v>0.22966550553173823</v>
      </c>
      <c r="O362" s="94">
        <f t="shared" si="75"/>
        <v>2.86884618212892</v>
      </c>
      <c r="P362" s="94">
        <f t="shared" si="67"/>
        <v>7.9919522713917196E-2</v>
      </c>
      <c r="Q362" s="94">
        <f t="shared" si="76"/>
        <v>6.1564765127970163E-2</v>
      </c>
      <c r="R362" s="117" t="str">
        <f t="shared" si="77"/>
        <v>SI</v>
      </c>
      <c r="S362" s="117" t="str">
        <f t="shared" si="78"/>
        <v>NO</v>
      </c>
      <c r="T362" s="117" t="str">
        <f t="shared" si="68"/>
        <v>SI</v>
      </c>
      <c r="U362" s="117" t="str">
        <f t="shared" si="69"/>
        <v>SI</v>
      </c>
      <c r="V362" s="117" t="str">
        <f t="shared" si="70"/>
        <v>NO</v>
      </c>
      <c r="W362" s="117" t="str">
        <f t="shared" si="71"/>
        <v>NO</v>
      </c>
      <c r="X362" s="132" t="b">
        <f t="shared" si="79"/>
        <v>0</v>
      </c>
    </row>
    <row r="363" spans="1:24" s="2" customFormat="1" ht="12" x14ac:dyDescent="0.15">
      <c r="A363" s="125" t="s">
        <v>84</v>
      </c>
      <c r="B363" s="139">
        <v>900403546</v>
      </c>
      <c r="C363" s="137" t="s">
        <v>463</v>
      </c>
      <c r="D363" s="137" t="s">
        <v>531</v>
      </c>
      <c r="E363" s="138">
        <v>4871394</v>
      </c>
      <c r="F363" s="138">
        <v>5290275</v>
      </c>
      <c r="G363" s="138">
        <v>355556</v>
      </c>
      <c r="H363" s="138">
        <v>3133069</v>
      </c>
      <c r="I363" s="138">
        <v>2157206</v>
      </c>
      <c r="J363" s="138">
        <v>-380598</v>
      </c>
      <c r="K363" s="138"/>
      <c r="L363" s="93">
        <f t="shared" si="72"/>
        <v>4515838</v>
      </c>
      <c r="M363" s="94"/>
      <c r="N363" s="94">
        <f t="shared" si="74"/>
        <v>0.59223178379195784</v>
      </c>
      <c r="O363" s="94" t="s">
        <v>108</v>
      </c>
      <c r="P363" s="94">
        <f t="shared" si="67"/>
        <v>-0.17643099453645131</v>
      </c>
      <c r="Q363" s="94">
        <f t="shared" si="76"/>
        <v>-7.194295192593958E-2</v>
      </c>
      <c r="R363" s="117" t="str">
        <f t="shared" si="77"/>
        <v>SI</v>
      </c>
      <c r="S363" s="117" t="str">
        <f t="shared" si="78"/>
        <v>NO</v>
      </c>
      <c r="T363" s="117" t="str">
        <f t="shared" si="68"/>
        <v>SI</v>
      </c>
      <c r="U363" s="117" t="str">
        <f t="shared" si="69"/>
        <v>SI</v>
      </c>
      <c r="V363" s="117" t="str">
        <f t="shared" si="70"/>
        <v>NO</v>
      </c>
      <c r="W363" s="117" t="str">
        <f t="shared" si="71"/>
        <v>NO</v>
      </c>
      <c r="X363" s="132" t="b">
        <f t="shared" si="79"/>
        <v>0</v>
      </c>
    </row>
    <row r="364" spans="1:24" s="2" customFormat="1" ht="12" x14ac:dyDescent="0.15">
      <c r="A364" s="125" t="s">
        <v>84</v>
      </c>
      <c r="B364" s="139">
        <v>900406145</v>
      </c>
      <c r="C364" s="137" t="s">
        <v>464</v>
      </c>
      <c r="D364" s="137" t="s">
        <v>531</v>
      </c>
      <c r="E364" s="138">
        <v>12395092</v>
      </c>
      <c r="F364" s="138">
        <v>12472322</v>
      </c>
      <c r="G364" s="138">
        <v>4023476</v>
      </c>
      <c r="H364" s="138">
        <v>7963067</v>
      </c>
      <c r="I364" s="138">
        <v>4509255</v>
      </c>
      <c r="J364" s="138">
        <v>692969</v>
      </c>
      <c r="K364" s="138">
        <v>602772</v>
      </c>
      <c r="L364" s="93">
        <f t="shared" si="72"/>
        <v>8371616</v>
      </c>
      <c r="M364" s="94">
        <f t="shared" si="73"/>
        <v>3.0806924162092679</v>
      </c>
      <c r="N364" s="94">
        <f t="shared" si="74"/>
        <v>0.63845906159254062</v>
      </c>
      <c r="O364" s="94">
        <f t="shared" si="75"/>
        <v>1.1496370103455369</v>
      </c>
      <c r="P364" s="94">
        <f t="shared" si="67"/>
        <v>0.15367704864772563</v>
      </c>
      <c r="Q364" s="94">
        <f t="shared" si="76"/>
        <v>5.5560544379787503E-2</v>
      </c>
      <c r="R364" s="117" t="str">
        <f t="shared" si="77"/>
        <v>SI</v>
      </c>
      <c r="S364" s="117" t="str">
        <f t="shared" si="78"/>
        <v>SI</v>
      </c>
      <c r="T364" s="117" t="str">
        <f t="shared" si="68"/>
        <v>SI</v>
      </c>
      <c r="U364" s="117" t="str">
        <f t="shared" si="69"/>
        <v>SI</v>
      </c>
      <c r="V364" s="117" t="str">
        <f t="shared" si="70"/>
        <v>NO</v>
      </c>
      <c r="W364" s="117" t="str">
        <f t="shared" si="71"/>
        <v>NO</v>
      </c>
      <c r="X364" s="132" t="b">
        <f t="shared" si="79"/>
        <v>0</v>
      </c>
    </row>
    <row r="365" spans="1:24" s="2" customFormat="1" ht="12" x14ac:dyDescent="0.15">
      <c r="A365" s="125" t="s">
        <v>84</v>
      </c>
      <c r="B365" s="139">
        <v>900410229</v>
      </c>
      <c r="C365" s="137" t="s">
        <v>465</v>
      </c>
      <c r="D365" s="137" t="s">
        <v>531</v>
      </c>
      <c r="E365" s="138">
        <v>6514710</v>
      </c>
      <c r="F365" s="138">
        <v>6518292</v>
      </c>
      <c r="G365" s="138">
        <v>839271</v>
      </c>
      <c r="H365" s="138">
        <v>839271</v>
      </c>
      <c r="I365" s="138">
        <v>5679021</v>
      </c>
      <c r="J365" s="138">
        <v>359752</v>
      </c>
      <c r="K365" s="138"/>
      <c r="L365" s="93">
        <f t="shared" si="72"/>
        <v>5675439</v>
      </c>
      <c r="M365" s="94">
        <f t="shared" si="73"/>
        <v>7.7623437483244384</v>
      </c>
      <c r="N365" s="94">
        <f t="shared" si="74"/>
        <v>0.12875627541693438</v>
      </c>
      <c r="O365" s="94" t="s">
        <v>108</v>
      </c>
      <c r="P365" s="94">
        <f t="shared" si="67"/>
        <v>6.3347538246468896E-2</v>
      </c>
      <c r="Q365" s="94">
        <f t="shared" si="76"/>
        <v>5.5191145165021757E-2</v>
      </c>
      <c r="R365" s="117" t="str">
        <f t="shared" si="77"/>
        <v>SI</v>
      </c>
      <c r="S365" s="117" t="str">
        <f t="shared" si="78"/>
        <v>SI</v>
      </c>
      <c r="T365" s="117" t="str">
        <f t="shared" si="68"/>
        <v>SI</v>
      </c>
      <c r="U365" s="117" t="str">
        <f t="shared" si="69"/>
        <v>SI</v>
      </c>
      <c r="V365" s="117" t="str">
        <f t="shared" si="70"/>
        <v>NO</v>
      </c>
      <c r="W365" s="117" t="str">
        <f t="shared" si="71"/>
        <v>NO</v>
      </c>
      <c r="X365" s="132" t="b">
        <f t="shared" si="79"/>
        <v>0</v>
      </c>
    </row>
    <row r="366" spans="1:24" s="2" customFormat="1" ht="12" x14ac:dyDescent="0.15">
      <c r="A366" s="125" t="s">
        <v>84</v>
      </c>
      <c r="B366" s="139">
        <v>900410611</v>
      </c>
      <c r="C366" s="137" t="s">
        <v>466</v>
      </c>
      <c r="D366" s="137" t="s">
        <v>531</v>
      </c>
      <c r="E366" s="138">
        <v>9248010</v>
      </c>
      <c r="F366" s="138">
        <v>12631593</v>
      </c>
      <c r="G366" s="138">
        <v>4322827</v>
      </c>
      <c r="H366" s="138">
        <v>7794177</v>
      </c>
      <c r="I366" s="138">
        <v>4837416</v>
      </c>
      <c r="J366" s="138">
        <v>1365398</v>
      </c>
      <c r="K366" s="138">
        <v>281868</v>
      </c>
      <c r="L366" s="93">
        <f t="shared" si="72"/>
        <v>4925183</v>
      </c>
      <c r="M366" s="94">
        <f t="shared" si="73"/>
        <v>2.1393430734100622</v>
      </c>
      <c r="N366" s="94">
        <f t="shared" si="74"/>
        <v>0.61703832604486231</v>
      </c>
      <c r="O366" s="94"/>
      <c r="P366" s="94">
        <f t="shared" si="67"/>
        <v>0.28225771775675279</v>
      </c>
      <c r="Q366" s="94">
        <f t="shared" si="76"/>
        <v>0.10809388807888284</v>
      </c>
      <c r="R366" s="117" t="str">
        <f t="shared" si="77"/>
        <v>SI</v>
      </c>
      <c r="S366" s="117" t="str">
        <f t="shared" si="78"/>
        <v>SI</v>
      </c>
      <c r="T366" s="117" t="str">
        <f t="shared" si="68"/>
        <v>SI</v>
      </c>
      <c r="U366" s="117" t="str">
        <f t="shared" si="69"/>
        <v>NO</v>
      </c>
      <c r="V366" s="117" t="str">
        <f t="shared" si="70"/>
        <v>SI</v>
      </c>
      <c r="W366" s="117" t="str">
        <f t="shared" si="71"/>
        <v>SI</v>
      </c>
      <c r="X366" s="132" t="b">
        <f t="shared" si="79"/>
        <v>0</v>
      </c>
    </row>
    <row r="367" spans="1:24" s="2" customFormat="1" ht="12" x14ac:dyDescent="0.15">
      <c r="A367" s="125" t="s">
        <v>84</v>
      </c>
      <c r="B367" s="139">
        <v>900412283</v>
      </c>
      <c r="C367" s="137" t="s">
        <v>467</v>
      </c>
      <c r="D367" s="137" t="s">
        <v>531</v>
      </c>
      <c r="E367" s="138">
        <v>2746280</v>
      </c>
      <c r="F367" s="138">
        <v>3958796</v>
      </c>
      <c r="G367" s="138">
        <v>1019193</v>
      </c>
      <c r="H367" s="138">
        <v>2119492</v>
      </c>
      <c r="I367" s="138">
        <v>1839304</v>
      </c>
      <c r="J367" s="138">
        <v>130524</v>
      </c>
      <c r="K367" s="138">
        <v>82030</v>
      </c>
      <c r="L367" s="93">
        <f t="shared" si="72"/>
        <v>1727087</v>
      </c>
      <c r="M367" s="94">
        <f t="shared" si="73"/>
        <v>2.694563247589024</v>
      </c>
      <c r="N367" s="94">
        <f t="shared" si="74"/>
        <v>0.53538803211885633</v>
      </c>
      <c r="O367" s="94">
        <f t="shared" si="75"/>
        <v>1.5911739607460684</v>
      </c>
      <c r="P367" s="94">
        <f t="shared" si="67"/>
        <v>7.0963799350188983E-2</v>
      </c>
      <c r="Q367" s="94">
        <f t="shared" si="76"/>
        <v>3.2970630464413925E-2</v>
      </c>
      <c r="R367" s="117" t="str">
        <f t="shared" si="77"/>
        <v>SI</v>
      </c>
      <c r="S367" s="117" t="str">
        <f t="shared" si="78"/>
        <v>SI</v>
      </c>
      <c r="T367" s="117" t="str">
        <f t="shared" si="68"/>
        <v>SI</v>
      </c>
      <c r="U367" s="117" t="str">
        <f t="shared" si="69"/>
        <v>SI</v>
      </c>
      <c r="V367" s="117" t="str">
        <f t="shared" si="70"/>
        <v>NO</v>
      </c>
      <c r="W367" s="117" t="str">
        <f t="shared" si="71"/>
        <v>NO</v>
      </c>
      <c r="X367" s="132" t="b">
        <f t="shared" si="79"/>
        <v>0</v>
      </c>
    </row>
    <row r="368" spans="1:24" s="2" customFormat="1" ht="12" x14ac:dyDescent="0.15">
      <c r="A368" s="125" t="s">
        <v>84</v>
      </c>
      <c r="B368" s="139">
        <v>900414376</v>
      </c>
      <c r="C368" s="137" t="s">
        <v>468</v>
      </c>
      <c r="D368" s="137" t="s">
        <v>531</v>
      </c>
      <c r="E368" s="138">
        <v>13944100</v>
      </c>
      <c r="F368" s="138">
        <v>16487405</v>
      </c>
      <c r="G368" s="138">
        <v>1032618</v>
      </c>
      <c r="H368" s="138">
        <v>10622186</v>
      </c>
      <c r="I368" s="138">
        <v>5865219</v>
      </c>
      <c r="J368" s="138">
        <v>670764</v>
      </c>
      <c r="K368" s="138">
        <v>467177</v>
      </c>
      <c r="L368" s="93">
        <f t="shared" si="72"/>
        <v>12911482</v>
      </c>
      <c r="M368" s="94"/>
      <c r="N368" s="94">
        <f t="shared" si="74"/>
        <v>0.64426063410221313</v>
      </c>
      <c r="O368" s="94">
        <f t="shared" si="75"/>
        <v>1.4357812991649845</v>
      </c>
      <c r="P368" s="94">
        <f t="shared" si="67"/>
        <v>0.11436299309539848</v>
      </c>
      <c r="Q368" s="94">
        <f t="shared" si="76"/>
        <v>4.0683418645930031E-2</v>
      </c>
      <c r="R368" s="117" t="str">
        <f t="shared" si="77"/>
        <v>SI</v>
      </c>
      <c r="S368" s="117" t="str">
        <f t="shared" si="78"/>
        <v>NO</v>
      </c>
      <c r="T368" s="117" t="str">
        <f t="shared" si="68"/>
        <v>SI</v>
      </c>
      <c r="U368" s="117" t="str">
        <f t="shared" si="69"/>
        <v>SI</v>
      </c>
      <c r="V368" s="117" t="str">
        <f t="shared" si="70"/>
        <v>NO</v>
      </c>
      <c r="W368" s="117" t="str">
        <f t="shared" si="71"/>
        <v>NO</v>
      </c>
      <c r="X368" s="132" t="b">
        <f t="shared" si="79"/>
        <v>0</v>
      </c>
    </row>
    <row r="369" spans="1:24" s="2" customFormat="1" ht="12" x14ac:dyDescent="0.15">
      <c r="A369" s="125" t="s">
        <v>84</v>
      </c>
      <c r="B369" s="139">
        <v>900418415</v>
      </c>
      <c r="C369" s="137" t="s">
        <v>469</v>
      </c>
      <c r="D369" s="137" t="s">
        <v>531</v>
      </c>
      <c r="E369" s="138">
        <v>21765447</v>
      </c>
      <c r="F369" s="138">
        <v>23098366</v>
      </c>
      <c r="G369" s="138">
        <v>3762149</v>
      </c>
      <c r="H369" s="138">
        <v>8607689</v>
      </c>
      <c r="I369" s="138">
        <v>14490677</v>
      </c>
      <c r="J369" s="138">
        <v>3999922</v>
      </c>
      <c r="K369" s="138">
        <v>876500</v>
      </c>
      <c r="L369" s="93">
        <f t="shared" si="72"/>
        <v>18003298</v>
      </c>
      <c r="M369" s="94">
        <f t="shared" si="73"/>
        <v>5.7853761241248023</v>
      </c>
      <c r="N369" s="94">
        <f t="shared" si="74"/>
        <v>0.37265358943572024</v>
      </c>
      <c r="O369" s="94"/>
      <c r="P369" s="94">
        <f t="shared" si="67"/>
        <v>0.2760341701081323</v>
      </c>
      <c r="Q369" s="94">
        <f t="shared" si="76"/>
        <v>0.17316904581042658</v>
      </c>
      <c r="R369" s="117" t="str">
        <f t="shared" si="77"/>
        <v>SI</v>
      </c>
      <c r="S369" s="117" t="str">
        <f t="shared" si="78"/>
        <v>SI</v>
      </c>
      <c r="T369" s="117" t="str">
        <f t="shared" si="68"/>
        <v>SI</v>
      </c>
      <c r="U369" s="117" t="str">
        <f t="shared" si="69"/>
        <v>NO</v>
      </c>
      <c r="V369" s="117" t="str">
        <f t="shared" si="70"/>
        <v>SI</v>
      </c>
      <c r="W369" s="117" t="str">
        <f t="shared" si="71"/>
        <v>SI</v>
      </c>
      <c r="X369" s="132" t="b">
        <f t="shared" si="79"/>
        <v>0</v>
      </c>
    </row>
    <row r="370" spans="1:24" s="2" customFormat="1" ht="12" x14ac:dyDescent="0.15">
      <c r="A370" s="125" t="s">
        <v>84</v>
      </c>
      <c r="B370" s="139">
        <v>900422058</v>
      </c>
      <c r="C370" s="137" t="s">
        <v>470</v>
      </c>
      <c r="D370" s="137" t="s">
        <v>531</v>
      </c>
      <c r="E370" s="138">
        <v>669113</v>
      </c>
      <c r="F370" s="138">
        <v>3483806</v>
      </c>
      <c r="G370" s="138">
        <v>223933</v>
      </c>
      <c r="H370" s="138">
        <v>223933</v>
      </c>
      <c r="I370" s="138">
        <v>3259873</v>
      </c>
      <c r="J370" s="138">
        <v>67261</v>
      </c>
      <c r="K370" s="138">
        <v>7747</v>
      </c>
      <c r="L370" s="93">
        <f t="shared" si="72"/>
        <v>445180</v>
      </c>
      <c r="M370" s="94">
        <f t="shared" si="73"/>
        <v>2.9880053408832108</v>
      </c>
      <c r="N370" s="94">
        <f t="shared" si="74"/>
        <v>6.427826348539499E-2</v>
      </c>
      <c r="O370" s="94"/>
      <c r="P370" s="94">
        <f t="shared" si="67"/>
        <v>2.0633012390359994E-2</v>
      </c>
      <c r="Q370" s="94">
        <f t="shared" si="76"/>
        <v>1.9306758183435014E-2</v>
      </c>
      <c r="R370" s="117" t="str">
        <f t="shared" si="77"/>
        <v>SI</v>
      </c>
      <c r="S370" s="117" t="str">
        <f t="shared" si="78"/>
        <v>SI</v>
      </c>
      <c r="T370" s="117" t="str">
        <f t="shared" si="68"/>
        <v>SI</v>
      </c>
      <c r="U370" s="117" t="str">
        <f t="shared" si="69"/>
        <v>NO</v>
      </c>
      <c r="V370" s="117" t="str">
        <f t="shared" si="70"/>
        <v>NO</v>
      </c>
      <c r="W370" s="117" t="str">
        <f t="shared" si="71"/>
        <v>NO</v>
      </c>
      <c r="X370" s="132" t="b">
        <f t="shared" si="79"/>
        <v>0</v>
      </c>
    </row>
    <row r="371" spans="1:24" s="2" customFormat="1" ht="12" x14ac:dyDescent="0.15">
      <c r="A371" s="125" t="s">
        <v>84</v>
      </c>
      <c r="B371" s="139">
        <v>900424919</v>
      </c>
      <c r="C371" s="137" t="s">
        <v>471</v>
      </c>
      <c r="D371" s="137" t="s">
        <v>531</v>
      </c>
      <c r="E371" s="138">
        <v>17680869</v>
      </c>
      <c r="F371" s="138">
        <v>18799905</v>
      </c>
      <c r="G371" s="138">
        <v>8386815</v>
      </c>
      <c r="H371" s="138">
        <v>12546228</v>
      </c>
      <c r="I371" s="138">
        <v>6253677</v>
      </c>
      <c r="J371" s="138">
        <v>-194894</v>
      </c>
      <c r="K371" s="138">
        <v>2114487</v>
      </c>
      <c r="L371" s="93">
        <f t="shared" si="72"/>
        <v>9294054</v>
      </c>
      <c r="M371" s="94">
        <f t="shared" si="73"/>
        <v>2.108174438091218</v>
      </c>
      <c r="N371" s="94">
        <f t="shared" si="74"/>
        <v>0.66735592546877232</v>
      </c>
      <c r="O371" s="94"/>
      <c r="P371" s="94">
        <f t="shared" si="67"/>
        <v>-3.1164705180648122E-2</v>
      </c>
      <c r="Q371" s="94">
        <f t="shared" si="76"/>
        <v>-1.0366754512855252E-2</v>
      </c>
      <c r="R371" s="117" t="str">
        <f t="shared" si="77"/>
        <v>SI</v>
      </c>
      <c r="S371" s="117" t="str">
        <f t="shared" si="78"/>
        <v>SI</v>
      </c>
      <c r="T371" s="117" t="str">
        <f t="shared" si="68"/>
        <v>SI</v>
      </c>
      <c r="U371" s="117" t="str">
        <f t="shared" si="69"/>
        <v>NO</v>
      </c>
      <c r="V371" s="117" t="str">
        <f t="shared" si="70"/>
        <v>NO</v>
      </c>
      <c r="W371" s="117" t="str">
        <f t="shared" si="71"/>
        <v>NO</v>
      </c>
      <c r="X371" s="132" t="b">
        <f t="shared" si="79"/>
        <v>0</v>
      </c>
    </row>
    <row r="372" spans="1:24" s="2" customFormat="1" ht="12" x14ac:dyDescent="0.15">
      <c r="A372" s="125" t="s">
        <v>84</v>
      </c>
      <c r="B372" s="139">
        <v>900438590</v>
      </c>
      <c r="C372" s="137" t="s">
        <v>472</v>
      </c>
      <c r="D372" s="137" t="s">
        <v>531</v>
      </c>
      <c r="E372" s="138">
        <v>45844941</v>
      </c>
      <c r="F372" s="138">
        <v>47283399</v>
      </c>
      <c r="G372" s="138">
        <v>25344268</v>
      </c>
      <c r="H372" s="138">
        <v>25344268</v>
      </c>
      <c r="I372" s="138">
        <v>21939131</v>
      </c>
      <c r="J372" s="138">
        <v>11523872</v>
      </c>
      <c r="K372" s="138">
        <v>774037</v>
      </c>
      <c r="L372" s="93">
        <f t="shared" si="72"/>
        <v>20500673</v>
      </c>
      <c r="M372" s="94">
        <f t="shared" si="73"/>
        <v>1.8088879505219879</v>
      </c>
      <c r="N372" s="94">
        <f t="shared" si="74"/>
        <v>0.53600774343654944</v>
      </c>
      <c r="O372" s="94"/>
      <c r="P372" s="94">
        <f t="shared" si="67"/>
        <v>0.52526565432331851</v>
      </c>
      <c r="Q372" s="94">
        <f t="shared" si="76"/>
        <v>0.24371919624475388</v>
      </c>
      <c r="R372" s="117" t="str">
        <f t="shared" si="77"/>
        <v>SI</v>
      </c>
      <c r="S372" s="117" t="str">
        <f t="shared" si="78"/>
        <v>SI</v>
      </c>
      <c r="T372" s="117" t="str">
        <f t="shared" si="68"/>
        <v>SI</v>
      </c>
      <c r="U372" s="117" t="str">
        <f t="shared" si="69"/>
        <v>NO</v>
      </c>
      <c r="V372" s="117" t="str">
        <f t="shared" si="70"/>
        <v>SI</v>
      </c>
      <c r="W372" s="117" t="str">
        <f t="shared" si="71"/>
        <v>SI</v>
      </c>
      <c r="X372" s="132" t="b">
        <f t="shared" si="79"/>
        <v>0</v>
      </c>
    </row>
    <row r="373" spans="1:24" s="2" customFormat="1" ht="12" x14ac:dyDescent="0.15">
      <c r="A373" s="125" t="s">
        <v>84</v>
      </c>
      <c r="B373" s="139">
        <v>900438736</v>
      </c>
      <c r="C373" s="137" t="s">
        <v>473</v>
      </c>
      <c r="D373" s="137" t="s">
        <v>531</v>
      </c>
      <c r="E373" s="138">
        <v>577144</v>
      </c>
      <c r="F373" s="138">
        <v>782797</v>
      </c>
      <c r="G373" s="138">
        <v>631632</v>
      </c>
      <c r="H373" s="138">
        <v>631632</v>
      </c>
      <c r="I373" s="138">
        <v>151165</v>
      </c>
      <c r="J373" s="138">
        <v>129949</v>
      </c>
      <c r="K373" s="138">
        <v>13330</v>
      </c>
      <c r="L373" s="93">
        <f t="shared" si="72"/>
        <v>-54488</v>
      </c>
      <c r="M373" s="94">
        <f t="shared" si="73"/>
        <v>0.91373457962864457</v>
      </c>
      <c r="N373" s="94">
        <f t="shared" si="74"/>
        <v>0.80689118634844026</v>
      </c>
      <c r="O373" s="94"/>
      <c r="P373" s="94">
        <f t="shared" si="67"/>
        <v>0.85965005126848149</v>
      </c>
      <c r="Q373" s="94">
        <f t="shared" si="76"/>
        <v>0.16600600155595896</v>
      </c>
      <c r="R373" s="117" t="str">
        <f t="shared" si="77"/>
        <v>NO</v>
      </c>
      <c r="S373" s="117" t="str">
        <f t="shared" si="78"/>
        <v>NO</v>
      </c>
      <c r="T373" s="117" t="str">
        <f t="shared" si="68"/>
        <v>SI</v>
      </c>
      <c r="U373" s="117" t="str">
        <f t="shared" si="69"/>
        <v>NO</v>
      </c>
      <c r="V373" s="117" t="str">
        <f t="shared" si="70"/>
        <v>SI</v>
      </c>
      <c r="W373" s="117" t="str">
        <f t="shared" si="71"/>
        <v>SI</v>
      </c>
      <c r="X373" s="132" t="b">
        <f t="shared" si="79"/>
        <v>0</v>
      </c>
    </row>
    <row r="374" spans="1:24" s="2" customFormat="1" ht="12" x14ac:dyDescent="0.15">
      <c r="A374" s="125" t="s">
        <v>86</v>
      </c>
      <c r="B374" s="139">
        <v>900442893</v>
      </c>
      <c r="C374" s="137" t="s">
        <v>474</v>
      </c>
      <c r="D374" s="137" t="s">
        <v>531</v>
      </c>
      <c r="E374" s="138">
        <v>16359487</v>
      </c>
      <c r="F374" s="138">
        <v>20637041</v>
      </c>
      <c r="G374" s="138">
        <v>8541659</v>
      </c>
      <c r="H374" s="138">
        <v>11290405</v>
      </c>
      <c r="I374" s="138">
        <v>9346636</v>
      </c>
      <c r="J374" s="138">
        <v>3441277</v>
      </c>
      <c r="K374" s="138">
        <v>1401767</v>
      </c>
      <c r="L374" s="93">
        <f t="shared" si="72"/>
        <v>7817828</v>
      </c>
      <c r="M374" s="94">
        <f t="shared" si="73"/>
        <v>1.9152587336956439</v>
      </c>
      <c r="N374" s="94">
        <f t="shared" si="74"/>
        <v>0.54709417886023481</v>
      </c>
      <c r="O374" s="94">
        <f t="shared" si="75"/>
        <v>2.4549564941962538</v>
      </c>
      <c r="P374" s="94">
        <f t="shared" si="67"/>
        <v>0.36818348334095818</v>
      </c>
      <c r="Q374" s="94">
        <f t="shared" si="76"/>
        <v>0.16675244285263571</v>
      </c>
      <c r="R374" s="117" t="str">
        <f t="shared" si="77"/>
        <v>SI</v>
      </c>
      <c r="S374" s="117" t="str">
        <f t="shared" si="78"/>
        <v>SI</v>
      </c>
      <c r="T374" s="117" t="str">
        <f t="shared" si="68"/>
        <v>SI</v>
      </c>
      <c r="U374" s="117" t="str">
        <f t="shared" si="69"/>
        <v>SI</v>
      </c>
      <c r="V374" s="117" t="str">
        <f t="shared" si="70"/>
        <v>SI</v>
      </c>
      <c r="W374" s="117" t="str">
        <f t="shared" si="71"/>
        <v>SI</v>
      </c>
      <c r="X374" s="132" t="str">
        <f t="shared" si="79"/>
        <v>SI</v>
      </c>
    </row>
    <row r="375" spans="1:24" s="2" customFormat="1" ht="12" x14ac:dyDescent="0.15">
      <c r="A375" s="125" t="s">
        <v>86</v>
      </c>
      <c r="B375" s="139">
        <v>900446887</v>
      </c>
      <c r="C375" s="137" t="s">
        <v>475</v>
      </c>
      <c r="D375" s="137" t="s">
        <v>531</v>
      </c>
      <c r="E375" s="138">
        <v>10698360</v>
      </c>
      <c r="F375" s="138">
        <v>10981402</v>
      </c>
      <c r="G375" s="138">
        <v>4765240</v>
      </c>
      <c r="H375" s="138">
        <v>4795289</v>
      </c>
      <c r="I375" s="138">
        <v>6186113</v>
      </c>
      <c r="J375" s="138">
        <v>537955</v>
      </c>
      <c r="K375" s="138"/>
      <c r="L375" s="93">
        <f t="shared" si="72"/>
        <v>5933120</v>
      </c>
      <c r="M375" s="94">
        <f t="shared" si="73"/>
        <v>2.2450831437661063</v>
      </c>
      <c r="N375" s="94">
        <f t="shared" si="74"/>
        <v>0.43667365970210359</v>
      </c>
      <c r="O375" s="94" t="s">
        <v>108</v>
      </c>
      <c r="P375" s="94">
        <f t="shared" si="67"/>
        <v>8.6961715700957939E-2</v>
      </c>
      <c r="Q375" s="94">
        <f t="shared" si="76"/>
        <v>4.8987825051846748E-2</v>
      </c>
      <c r="R375" s="117" t="str">
        <f t="shared" si="77"/>
        <v>SI</v>
      </c>
      <c r="S375" s="117" t="str">
        <f t="shared" si="78"/>
        <v>SI</v>
      </c>
      <c r="T375" s="117" t="str">
        <f t="shared" si="68"/>
        <v>SI</v>
      </c>
      <c r="U375" s="117" t="str">
        <f t="shared" si="69"/>
        <v>SI</v>
      </c>
      <c r="V375" s="117" t="str">
        <f t="shared" si="70"/>
        <v>NO</v>
      </c>
      <c r="W375" s="117" t="str">
        <f t="shared" si="71"/>
        <v>NO</v>
      </c>
      <c r="X375" s="132" t="b">
        <f t="shared" si="79"/>
        <v>0</v>
      </c>
    </row>
    <row r="376" spans="1:24" s="2" customFormat="1" ht="12" x14ac:dyDescent="0.15">
      <c r="A376" s="125" t="s">
        <v>86</v>
      </c>
      <c r="B376" s="139">
        <v>900448208</v>
      </c>
      <c r="C376" s="137" t="s">
        <v>476</v>
      </c>
      <c r="D376" s="137" t="s">
        <v>531</v>
      </c>
      <c r="E376" s="138">
        <v>48525282</v>
      </c>
      <c r="F376" s="138">
        <v>51455788</v>
      </c>
      <c r="G376" s="138">
        <v>27811153</v>
      </c>
      <c r="H376" s="138">
        <v>34456352</v>
      </c>
      <c r="I376" s="138">
        <v>16999436</v>
      </c>
      <c r="J376" s="138">
        <v>6990555</v>
      </c>
      <c r="K376" s="138">
        <v>2644595</v>
      </c>
      <c r="L376" s="93">
        <f t="shared" si="72"/>
        <v>20714129</v>
      </c>
      <c r="M376" s="94">
        <f t="shared" si="73"/>
        <v>1.7448137443276803</v>
      </c>
      <c r="N376" s="94">
        <f t="shared" si="74"/>
        <v>0.66963024645546187</v>
      </c>
      <c r="O376" s="94">
        <f t="shared" si="75"/>
        <v>2.6433366923857906</v>
      </c>
      <c r="P376" s="94">
        <f t="shared" si="67"/>
        <v>0.41122276056688001</v>
      </c>
      <c r="Q376" s="94">
        <f t="shared" si="76"/>
        <v>0.13585556206038474</v>
      </c>
      <c r="R376" s="117" t="str">
        <f t="shared" si="77"/>
        <v>SI</v>
      </c>
      <c r="S376" s="117" t="str">
        <f t="shared" si="78"/>
        <v>NO</v>
      </c>
      <c r="T376" s="117" t="str">
        <f t="shared" si="68"/>
        <v>SI</v>
      </c>
      <c r="U376" s="117" t="str">
        <f t="shared" si="69"/>
        <v>SI</v>
      </c>
      <c r="V376" s="117" t="str">
        <f t="shared" si="70"/>
        <v>SI</v>
      </c>
      <c r="W376" s="117" t="str">
        <f t="shared" si="71"/>
        <v>SI</v>
      </c>
      <c r="X376" s="132" t="b">
        <f t="shared" si="79"/>
        <v>0</v>
      </c>
    </row>
    <row r="377" spans="1:24" s="2" customFormat="1" ht="12" x14ac:dyDescent="0.15">
      <c r="A377" s="125" t="s">
        <v>86</v>
      </c>
      <c r="B377" s="139">
        <v>900467933</v>
      </c>
      <c r="C377" s="137" t="s">
        <v>477</v>
      </c>
      <c r="D377" s="137" t="s">
        <v>531</v>
      </c>
      <c r="E377" s="138">
        <v>17726140</v>
      </c>
      <c r="F377" s="138">
        <v>21133480</v>
      </c>
      <c r="G377" s="138">
        <v>4749184</v>
      </c>
      <c r="H377" s="138">
        <v>10308807</v>
      </c>
      <c r="I377" s="138">
        <v>10824673</v>
      </c>
      <c r="J377" s="138">
        <v>2218688</v>
      </c>
      <c r="K377" s="138"/>
      <c r="L377" s="93">
        <f t="shared" si="72"/>
        <v>12976956</v>
      </c>
      <c r="M377" s="94"/>
      <c r="N377" s="94">
        <f t="shared" si="74"/>
        <v>0.48779505315735977</v>
      </c>
      <c r="O377" s="94" t="s">
        <v>108</v>
      </c>
      <c r="P377" s="94">
        <f t="shared" si="67"/>
        <v>0.20496582206224612</v>
      </c>
      <c r="Q377" s="94">
        <f t="shared" si="76"/>
        <v>0.10498450799395083</v>
      </c>
      <c r="R377" s="117" t="str">
        <f t="shared" si="77"/>
        <v>SI</v>
      </c>
      <c r="S377" s="117" t="str">
        <f t="shared" si="78"/>
        <v>NO</v>
      </c>
      <c r="T377" s="117" t="str">
        <f t="shared" si="68"/>
        <v>SI</v>
      </c>
      <c r="U377" s="117" t="str">
        <f t="shared" si="69"/>
        <v>SI</v>
      </c>
      <c r="V377" s="117" t="str">
        <f t="shared" si="70"/>
        <v>SI</v>
      </c>
      <c r="W377" s="117" t="str">
        <f t="shared" si="71"/>
        <v>SI</v>
      </c>
      <c r="X377" s="132" t="b">
        <f t="shared" si="79"/>
        <v>0</v>
      </c>
    </row>
    <row r="378" spans="1:24" s="2" customFormat="1" ht="12" x14ac:dyDescent="0.15">
      <c r="A378" s="125" t="s">
        <v>86</v>
      </c>
      <c r="B378" s="139">
        <v>900471382</v>
      </c>
      <c r="C378" s="137" t="s">
        <v>478</v>
      </c>
      <c r="D378" s="137" t="s">
        <v>531</v>
      </c>
      <c r="E378" s="138">
        <v>6320330</v>
      </c>
      <c r="F378" s="138">
        <v>6911329</v>
      </c>
      <c r="G378" s="138">
        <v>1302228</v>
      </c>
      <c r="H378" s="138">
        <v>1302228</v>
      </c>
      <c r="I378" s="138">
        <v>5609101</v>
      </c>
      <c r="J378" s="138">
        <v>2983701</v>
      </c>
      <c r="K378" s="138">
        <v>202027</v>
      </c>
      <c r="L378" s="93">
        <f t="shared" si="72"/>
        <v>5018102</v>
      </c>
      <c r="M378" s="94"/>
      <c r="N378" s="94">
        <f t="shared" si="74"/>
        <v>0.18841933295318455</v>
      </c>
      <c r="O378" s="94"/>
      <c r="P378" s="94">
        <f t="shared" si="67"/>
        <v>0.53193925372354678</v>
      </c>
      <c r="Q378" s="94">
        <f t="shared" si="76"/>
        <v>0.43171161436534133</v>
      </c>
      <c r="R378" s="117" t="str">
        <f t="shared" si="77"/>
        <v>SI</v>
      </c>
      <c r="S378" s="117" t="str">
        <f t="shared" si="78"/>
        <v>NO</v>
      </c>
      <c r="T378" s="117" t="str">
        <f t="shared" si="68"/>
        <v>SI</v>
      </c>
      <c r="U378" s="117" t="str">
        <f t="shared" si="69"/>
        <v>NO</v>
      </c>
      <c r="V378" s="117" t="str">
        <f t="shared" si="70"/>
        <v>SI</v>
      </c>
      <c r="W378" s="117" t="str">
        <f t="shared" si="71"/>
        <v>SI</v>
      </c>
      <c r="X378" s="132" t="b">
        <f t="shared" si="79"/>
        <v>0</v>
      </c>
    </row>
    <row r="379" spans="1:24" s="2" customFormat="1" ht="12" x14ac:dyDescent="0.15">
      <c r="A379" s="125" t="s">
        <v>86</v>
      </c>
      <c r="B379" s="139">
        <v>900482537</v>
      </c>
      <c r="C379" s="137" t="s">
        <v>479</v>
      </c>
      <c r="D379" s="137" t="s">
        <v>531</v>
      </c>
      <c r="E379" s="138">
        <v>19326073</v>
      </c>
      <c r="F379" s="138">
        <v>21103800</v>
      </c>
      <c r="G379" s="138">
        <v>7839976</v>
      </c>
      <c r="H379" s="138">
        <v>9239481</v>
      </c>
      <c r="I379" s="138">
        <v>11864319</v>
      </c>
      <c r="J379" s="138">
        <v>1273858</v>
      </c>
      <c r="K379" s="138">
        <v>1248911</v>
      </c>
      <c r="L379" s="93">
        <f t="shared" si="72"/>
        <v>11486097</v>
      </c>
      <c r="M379" s="94">
        <f t="shared" si="73"/>
        <v>2.4650678777588095</v>
      </c>
      <c r="N379" s="94">
        <f t="shared" si="74"/>
        <v>0.43781124726352599</v>
      </c>
      <c r="O379" s="94">
        <f t="shared" si="75"/>
        <v>1.0199750022219358</v>
      </c>
      <c r="P379" s="94">
        <f t="shared" si="67"/>
        <v>0.10736882580449834</v>
      </c>
      <c r="Q379" s="94">
        <f t="shared" si="76"/>
        <v>6.0361546261810672E-2</v>
      </c>
      <c r="R379" s="117" t="str">
        <f t="shared" si="77"/>
        <v>SI</v>
      </c>
      <c r="S379" s="117" t="str">
        <f t="shared" si="78"/>
        <v>SI</v>
      </c>
      <c r="T379" s="117" t="str">
        <f t="shared" si="68"/>
        <v>SI</v>
      </c>
      <c r="U379" s="117" t="str">
        <f t="shared" si="69"/>
        <v>NO</v>
      </c>
      <c r="V379" s="117" t="str">
        <f t="shared" si="70"/>
        <v>NO</v>
      </c>
      <c r="W379" s="117" t="str">
        <f t="shared" si="71"/>
        <v>NO</v>
      </c>
      <c r="X379" s="132" t="b">
        <f t="shared" si="79"/>
        <v>0</v>
      </c>
    </row>
    <row r="380" spans="1:24" s="2" customFormat="1" ht="12" x14ac:dyDescent="0.15">
      <c r="A380" s="125" t="s">
        <v>86</v>
      </c>
      <c r="B380" s="139">
        <v>900488465</v>
      </c>
      <c r="C380" s="137" t="s">
        <v>480</v>
      </c>
      <c r="D380" s="137" t="s">
        <v>531</v>
      </c>
      <c r="E380" s="138">
        <v>2446243</v>
      </c>
      <c r="F380" s="138">
        <v>4233225</v>
      </c>
      <c r="G380" s="138">
        <v>1656425</v>
      </c>
      <c r="H380" s="138">
        <v>2306434</v>
      </c>
      <c r="I380" s="138">
        <v>1926791</v>
      </c>
      <c r="J380" s="138">
        <v>448007</v>
      </c>
      <c r="K380" s="138"/>
      <c r="L380" s="93">
        <f t="shared" si="72"/>
        <v>789818</v>
      </c>
      <c r="M380" s="94">
        <f t="shared" si="73"/>
        <v>1.476820864210574</v>
      </c>
      <c r="N380" s="94">
        <f t="shared" si="74"/>
        <v>0.54484087191207653</v>
      </c>
      <c r="O380" s="94" t="s">
        <v>108</v>
      </c>
      <c r="P380" s="94">
        <f t="shared" si="67"/>
        <v>0.23251457994146746</v>
      </c>
      <c r="Q380" s="94">
        <f t="shared" si="76"/>
        <v>0.10583113347388812</v>
      </c>
      <c r="R380" s="117" t="str">
        <f t="shared" si="77"/>
        <v>SI</v>
      </c>
      <c r="S380" s="117" t="str">
        <f t="shared" si="78"/>
        <v>NO</v>
      </c>
      <c r="T380" s="117" t="str">
        <f t="shared" si="68"/>
        <v>SI</v>
      </c>
      <c r="U380" s="117" t="str">
        <f t="shared" si="69"/>
        <v>SI</v>
      </c>
      <c r="V380" s="117" t="str">
        <f t="shared" si="70"/>
        <v>SI</v>
      </c>
      <c r="W380" s="117" t="str">
        <f t="shared" si="71"/>
        <v>SI</v>
      </c>
      <c r="X380" s="132" t="b">
        <f t="shared" si="79"/>
        <v>0</v>
      </c>
    </row>
    <row r="381" spans="1:24" s="2" customFormat="1" ht="12" x14ac:dyDescent="0.15">
      <c r="A381" s="125" t="s">
        <v>86</v>
      </c>
      <c r="B381" s="139">
        <v>900492874</v>
      </c>
      <c r="C381" s="137" t="s">
        <v>481</v>
      </c>
      <c r="D381" s="137" t="s">
        <v>531</v>
      </c>
      <c r="E381" s="138">
        <v>6400123</v>
      </c>
      <c r="F381" s="138">
        <v>8442771</v>
      </c>
      <c r="G381" s="138">
        <v>1393756</v>
      </c>
      <c r="H381" s="138">
        <v>2543153</v>
      </c>
      <c r="I381" s="138">
        <v>5899618</v>
      </c>
      <c r="J381" s="138">
        <v>1768908</v>
      </c>
      <c r="K381" s="138"/>
      <c r="L381" s="93">
        <f t="shared" si="72"/>
        <v>5006367</v>
      </c>
      <c r="M381" s="94"/>
      <c r="N381" s="94">
        <f t="shared" si="74"/>
        <v>0.30122254885274041</v>
      </c>
      <c r="O381" s="94" t="s">
        <v>108</v>
      </c>
      <c r="P381" s="94">
        <f t="shared" si="67"/>
        <v>0.29983432825650747</v>
      </c>
      <c r="Q381" s="94">
        <f t="shared" si="76"/>
        <v>0.20951746766553303</v>
      </c>
      <c r="R381" s="117" t="str">
        <f t="shared" si="77"/>
        <v>SI</v>
      </c>
      <c r="S381" s="117" t="str">
        <f t="shared" si="78"/>
        <v>NO</v>
      </c>
      <c r="T381" s="117" t="str">
        <f t="shared" si="68"/>
        <v>SI</v>
      </c>
      <c r="U381" s="117" t="str">
        <f t="shared" si="69"/>
        <v>SI</v>
      </c>
      <c r="V381" s="117" t="str">
        <f t="shared" si="70"/>
        <v>SI</v>
      </c>
      <c r="W381" s="117" t="str">
        <f t="shared" si="71"/>
        <v>SI</v>
      </c>
      <c r="X381" s="132" t="b">
        <f t="shared" si="79"/>
        <v>0</v>
      </c>
    </row>
    <row r="382" spans="1:24" s="2" customFormat="1" ht="12" x14ac:dyDescent="0.15">
      <c r="A382" s="125" t="s">
        <v>86</v>
      </c>
      <c r="B382" s="139">
        <v>900495589</v>
      </c>
      <c r="C382" s="137" t="s">
        <v>482</v>
      </c>
      <c r="D382" s="137" t="s">
        <v>531</v>
      </c>
      <c r="E382" s="138">
        <v>7234515</v>
      </c>
      <c r="F382" s="138">
        <v>7544560</v>
      </c>
      <c r="G382" s="138">
        <v>5482307</v>
      </c>
      <c r="H382" s="138">
        <v>6699562</v>
      </c>
      <c r="I382" s="138">
        <v>844998</v>
      </c>
      <c r="J382" s="138">
        <v>67868</v>
      </c>
      <c r="K382" s="138">
        <v>816266</v>
      </c>
      <c r="L382" s="93">
        <f t="shared" si="72"/>
        <v>1752208</v>
      </c>
      <c r="M382" s="94">
        <f t="shared" si="73"/>
        <v>1.3196114336537519</v>
      </c>
      <c r="N382" s="94">
        <f t="shared" si="74"/>
        <v>0.88799903506632594</v>
      </c>
      <c r="O382" s="94">
        <f t="shared" si="75"/>
        <v>8.3144465162091771E-2</v>
      </c>
      <c r="P382" s="94">
        <f t="shared" si="67"/>
        <v>8.0317349863549978E-2</v>
      </c>
      <c r="Q382" s="94">
        <f t="shared" si="76"/>
        <v>8.9956206856330913E-3</v>
      </c>
      <c r="R382" s="117" t="str">
        <f t="shared" si="77"/>
        <v>SI</v>
      </c>
      <c r="S382" s="117" t="str">
        <f t="shared" si="78"/>
        <v>NO</v>
      </c>
      <c r="T382" s="117" t="str">
        <f t="shared" si="68"/>
        <v>SI</v>
      </c>
      <c r="U382" s="117" t="str">
        <f t="shared" si="69"/>
        <v>NO</v>
      </c>
      <c r="V382" s="117" t="str">
        <f t="shared" si="70"/>
        <v>NO</v>
      </c>
      <c r="W382" s="117" t="str">
        <f t="shared" si="71"/>
        <v>NO</v>
      </c>
      <c r="X382" s="132" t="b">
        <f t="shared" si="79"/>
        <v>0</v>
      </c>
    </row>
    <row r="383" spans="1:24" s="2" customFormat="1" ht="12" x14ac:dyDescent="0.15">
      <c r="A383" s="125" t="s">
        <v>86</v>
      </c>
      <c r="B383" s="139">
        <v>900497017</v>
      </c>
      <c r="C383" s="137" t="s">
        <v>483</v>
      </c>
      <c r="D383" s="137" t="s">
        <v>531</v>
      </c>
      <c r="E383" s="138">
        <v>10398104</v>
      </c>
      <c r="F383" s="138">
        <v>10398104</v>
      </c>
      <c r="G383" s="138">
        <v>6006272</v>
      </c>
      <c r="H383" s="138">
        <v>6006272</v>
      </c>
      <c r="I383" s="138">
        <v>4391832</v>
      </c>
      <c r="J383" s="138">
        <v>895388</v>
      </c>
      <c r="K383" s="138">
        <v>17841</v>
      </c>
      <c r="L383" s="93">
        <f t="shared" si="72"/>
        <v>4391832</v>
      </c>
      <c r="M383" s="94">
        <f t="shared" si="73"/>
        <v>1.7312076442758504</v>
      </c>
      <c r="N383" s="94">
        <f t="shared" si="74"/>
        <v>0.5776314605047228</v>
      </c>
      <c r="O383" s="94"/>
      <c r="P383" s="94">
        <f t="shared" si="67"/>
        <v>0.20387574023778687</v>
      </c>
      <c r="Q383" s="94">
        <f t="shared" si="76"/>
        <v>8.6110698642752559E-2</v>
      </c>
      <c r="R383" s="117" t="str">
        <f t="shared" si="77"/>
        <v>SI</v>
      </c>
      <c r="S383" s="117" t="str">
        <f t="shared" si="78"/>
        <v>NO</v>
      </c>
      <c r="T383" s="117" t="str">
        <f t="shared" si="68"/>
        <v>SI</v>
      </c>
      <c r="U383" s="117" t="str">
        <f t="shared" si="69"/>
        <v>NO</v>
      </c>
      <c r="V383" s="117" t="str">
        <f t="shared" si="70"/>
        <v>SI</v>
      </c>
      <c r="W383" s="117" t="str">
        <f t="shared" si="71"/>
        <v>NO</v>
      </c>
      <c r="X383" s="132" t="b">
        <f t="shared" si="79"/>
        <v>0</v>
      </c>
    </row>
    <row r="384" spans="1:24" s="2" customFormat="1" ht="12" x14ac:dyDescent="0.15">
      <c r="A384" s="125" t="s">
        <v>86</v>
      </c>
      <c r="B384" s="139">
        <v>900499033</v>
      </c>
      <c r="C384" s="137" t="s">
        <v>484</v>
      </c>
      <c r="D384" s="137" t="s">
        <v>531</v>
      </c>
      <c r="E384" s="138">
        <v>7030795</v>
      </c>
      <c r="F384" s="138">
        <v>7498826</v>
      </c>
      <c r="G384" s="138">
        <v>1299387</v>
      </c>
      <c r="H384" s="138">
        <v>1299387</v>
      </c>
      <c r="I384" s="138">
        <v>6199439</v>
      </c>
      <c r="J384" s="138">
        <v>1972691</v>
      </c>
      <c r="K384" s="138">
        <v>158654</v>
      </c>
      <c r="L384" s="93">
        <f t="shared" si="72"/>
        <v>5731408</v>
      </c>
      <c r="M384" s="94"/>
      <c r="N384" s="94">
        <f t="shared" si="74"/>
        <v>0.17327872389624724</v>
      </c>
      <c r="O384" s="94"/>
      <c r="P384" s="94">
        <f t="shared" si="67"/>
        <v>0.31820476014039334</v>
      </c>
      <c r="Q384" s="94">
        <f t="shared" si="76"/>
        <v>0.26306664536555457</v>
      </c>
      <c r="R384" s="117" t="str">
        <f t="shared" si="77"/>
        <v>SI</v>
      </c>
      <c r="S384" s="117" t="str">
        <f t="shared" si="78"/>
        <v>NO</v>
      </c>
      <c r="T384" s="117" t="str">
        <f t="shared" si="68"/>
        <v>SI</v>
      </c>
      <c r="U384" s="117" t="str">
        <f t="shared" si="69"/>
        <v>NO</v>
      </c>
      <c r="V384" s="117" t="str">
        <f t="shared" si="70"/>
        <v>SI</v>
      </c>
      <c r="W384" s="117" t="str">
        <f t="shared" si="71"/>
        <v>SI</v>
      </c>
      <c r="X384" s="132" t="b">
        <f t="shared" si="79"/>
        <v>0</v>
      </c>
    </row>
    <row r="385" spans="1:24" s="2" customFormat="1" ht="12" x14ac:dyDescent="0.15">
      <c r="A385" s="125" t="s">
        <v>86</v>
      </c>
      <c r="B385" s="139">
        <v>900502032</v>
      </c>
      <c r="C385" s="137" t="s">
        <v>485</v>
      </c>
      <c r="D385" s="137" t="s">
        <v>531</v>
      </c>
      <c r="E385" s="138">
        <v>5594844</v>
      </c>
      <c r="F385" s="138">
        <v>6240835</v>
      </c>
      <c r="G385" s="138">
        <v>4316343</v>
      </c>
      <c r="H385" s="138">
        <v>4380680</v>
      </c>
      <c r="I385" s="138">
        <v>1860155</v>
      </c>
      <c r="J385" s="138">
        <v>202403</v>
      </c>
      <c r="K385" s="138">
        <v>2571</v>
      </c>
      <c r="L385" s="93">
        <f t="shared" si="72"/>
        <v>1278501</v>
      </c>
      <c r="M385" s="94">
        <f t="shared" si="73"/>
        <v>1.2962000471232245</v>
      </c>
      <c r="N385" s="94">
        <f t="shared" si="74"/>
        <v>0.70193812206219197</v>
      </c>
      <c r="O385" s="94"/>
      <c r="P385" s="94">
        <f t="shared" si="67"/>
        <v>0.10880974972515731</v>
      </c>
      <c r="Q385" s="94">
        <f t="shared" si="76"/>
        <v>3.2432038341023275E-2</v>
      </c>
      <c r="R385" s="117" t="str">
        <f t="shared" si="77"/>
        <v>SI</v>
      </c>
      <c r="S385" s="117" t="str">
        <f t="shared" si="78"/>
        <v>NO</v>
      </c>
      <c r="T385" s="117" t="str">
        <f t="shared" si="68"/>
        <v>SI</v>
      </c>
      <c r="U385" s="117" t="str">
        <f t="shared" si="69"/>
        <v>NO</v>
      </c>
      <c r="V385" s="117" t="str">
        <f t="shared" si="70"/>
        <v>NO</v>
      </c>
      <c r="W385" s="117" t="str">
        <f t="shared" si="71"/>
        <v>NO</v>
      </c>
      <c r="X385" s="132" t="b">
        <f t="shared" si="79"/>
        <v>0</v>
      </c>
    </row>
    <row r="386" spans="1:24" s="2" customFormat="1" ht="12" x14ac:dyDescent="0.15">
      <c r="A386" s="125" t="s">
        <v>86</v>
      </c>
      <c r="B386" s="139">
        <v>900526085</v>
      </c>
      <c r="C386" s="137" t="s">
        <v>486</v>
      </c>
      <c r="D386" s="137" t="s">
        <v>531</v>
      </c>
      <c r="E386" s="138">
        <v>23751917</v>
      </c>
      <c r="F386" s="138">
        <v>30264155</v>
      </c>
      <c r="G386" s="138">
        <v>17455533</v>
      </c>
      <c r="H386" s="138">
        <v>28546520</v>
      </c>
      <c r="I386" s="138">
        <v>1717635</v>
      </c>
      <c r="J386" s="138">
        <v>1803655</v>
      </c>
      <c r="K386" s="138">
        <v>5578168</v>
      </c>
      <c r="L386" s="93">
        <f t="shared" si="72"/>
        <v>6296384</v>
      </c>
      <c r="M386" s="94">
        <f t="shared" si="73"/>
        <v>1.3607099250421055</v>
      </c>
      <c r="N386" s="94">
        <f t="shared" si="74"/>
        <v>0.94324523516351277</v>
      </c>
      <c r="O386" s="94">
        <f t="shared" si="75"/>
        <v>0.32334182118573696</v>
      </c>
      <c r="P386" s="94">
        <f t="shared" si="67"/>
        <v>1.0500804885787725</v>
      </c>
      <c r="Q386" s="94">
        <f t="shared" si="76"/>
        <v>5.9597071188671878E-2</v>
      </c>
      <c r="R386" s="117" t="str">
        <f t="shared" si="77"/>
        <v>SI</v>
      </c>
      <c r="S386" s="117" t="str">
        <f t="shared" si="78"/>
        <v>NO</v>
      </c>
      <c r="T386" s="117" t="str">
        <f t="shared" si="68"/>
        <v>SI</v>
      </c>
      <c r="U386" s="117" t="str">
        <f t="shared" si="69"/>
        <v>NO</v>
      </c>
      <c r="V386" s="117" t="str">
        <f t="shared" si="70"/>
        <v>SI</v>
      </c>
      <c r="W386" s="117" t="str">
        <f t="shared" si="71"/>
        <v>NO</v>
      </c>
      <c r="X386" s="132" t="b">
        <f t="shared" si="79"/>
        <v>0</v>
      </c>
    </row>
    <row r="387" spans="1:24" s="2" customFormat="1" ht="12" x14ac:dyDescent="0.15">
      <c r="A387" s="125" t="s">
        <v>86</v>
      </c>
      <c r="B387" s="139">
        <v>900533084</v>
      </c>
      <c r="C387" s="137" t="s">
        <v>487</v>
      </c>
      <c r="D387" s="137" t="s">
        <v>531</v>
      </c>
      <c r="E387" s="138">
        <v>25746896</v>
      </c>
      <c r="F387" s="138">
        <v>27195979</v>
      </c>
      <c r="G387" s="138">
        <v>8155928</v>
      </c>
      <c r="H387" s="138">
        <v>16371960</v>
      </c>
      <c r="I387" s="138">
        <v>10824019</v>
      </c>
      <c r="J387" s="138">
        <v>2645199</v>
      </c>
      <c r="K387" s="138">
        <v>1038095</v>
      </c>
      <c r="L387" s="93">
        <f t="shared" si="72"/>
        <v>17590968</v>
      </c>
      <c r="M387" s="94"/>
      <c r="N387" s="94">
        <f t="shared" si="74"/>
        <v>0.60199928820359805</v>
      </c>
      <c r="O387" s="94">
        <f t="shared" si="75"/>
        <v>2.5481280614972617</v>
      </c>
      <c r="P387" s="94">
        <f t="shared" si="67"/>
        <v>0.24438233155355696</v>
      </c>
      <c r="Q387" s="94">
        <f t="shared" si="76"/>
        <v>9.7264341908779972E-2</v>
      </c>
      <c r="R387" s="117" t="str">
        <f t="shared" si="77"/>
        <v>SI</v>
      </c>
      <c r="S387" s="117" t="str">
        <f t="shared" si="78"/>
        <v>NO</v>
      </c>
      <c r="T387" s="117" t="str">
        <f t="shared" si="68"/>
        <v>SI</v>
      </c>
      <c r="U387" s="117" t="str">
        <f t="shared" si="69"/>
        <v>SI</v>
      </c>
      <c r="V387" s="117" t="str">
        <f t="shared" si="70"/>
        <v>SI</v>
      </c>
      <c r="W387" s="117" t="str">
        <f t="shared" si="71"/>
        <v>SI</v>
      </c>
      <c r="X387" s="132" t="b">
        <f t="shared" si="79"/>
        <v>0</v>
      </c>
    </row>
    <row r="388" spans="1:24" s="2" customFormat="1" ht="12" x14ac:dyDescent="0.15">
      <c r="A388" s="125" t="s">
        <v>87</v>
      </c>
      <c r="B388" s="139">
        <v>900535843</v>
      </c>
      <c r="C388" s="137" t="s">
        <v>488</v>
      </c>
      <c r="D388" s="137" t="s">
        <v>531</v>
      </c>
      <c r="E388" s="138">
        <v>9052172</v>
      </c>
      <c r="F388" s="138">
        <v>12563999</v>
      </c>
      <c r="G388" s="138">
        <v>1690828</v>
      </c>
      <c r="H388" s="138">
        <v>7462795</v>
      </c>
      <c r="I388" s="138">
        <v>5101204</v>
      </c>
      <c r="J388" s="138">
        <v>905603</v>
      </c>
      <c r="K388" s="138">
        <v>57556</v>
      </c>
      <c r="L388" s="93">
        <f t="shared" si="72"/>
        <v>7361344</v>
      </c>
      <c r="M388" s="94"/>
      <c r="N388" s="94">
        <f t="shared" si="74"/>
        <v>0.59398245733703103</v>
      </c>
      <c r="O388" s="94"/>
      <c r="P388" s="94">
        <f t="shared" si="67"/>
        <v>0.17752730531850913</v>
      </c>
      <c r="Q388" s="94">
        <f t="shared" si="76"/>
        <v>7.2079200260999704E-2</v>
      </c>
      <c r="R388" s="117" t="str">
        <f t="shared" si="77"/>
        <v>SI</v>
      </c>
      <c r="S388" s="117" t="str">
        <f t="shared" si="78"/>
        <v>NO</v>
      </c>
      <c r="T388" s="117" t="str">
        <f t="shared" si="68"/>
        <v>SI</v>
      </c>
      <c r="U388" s="117" t="str">
        <f t="shared" si="69"/>
        <v>NO</v>
      </c>
      <c r="V388" s="117" t="str">
        <f t="shared" si="70"/>
        <v>SI</v>
      </c>
      <c r="W388" s="117" t="str">
        <f t="shared" si="71"/>
        <v>NO</v>
      </c>
      <c r="X388" s="132" t="b">
        <f t="shared" si="79"/>
        <v>0</v>
      </c>
    </row>
    <row r="389" spans="1:24" s="2" customFormat="1" ht="12" x14ac:dyDescent="0.15">
      <c r="A389" s="125" t="s">
        <v>87</v>
      </c>
      <c r="B389" s="139">
        <v>900537099</v>
      </c>
      <c r="C389" s="137" t="s">
        <v>489</v>
      </c>
      <c r="D389" s="137" t="s">
        <v>531</v>
      </c>
      <c r="E389" s="138">
        <v>26220857</v>
      </c>
      <c r="F389" s="138">
        <v>37209616</v>
      </c>
      <c r="G389" s="138">
        <v>8637968</v>
      </c>
      <c r="H389" s="138">
        <v>27111831</v>
      </c>
      <c r="I389" s="138">
        <v>10097785</v>
      </c>
      <c r="J389" s="138">
        <v>932474</v>
      </c>
      <c r="K389" s="138"/>
      <c r="L389" s="93">
        <f t="shared" si="72"/>
        <v>17582889</v>
      </c>
      <c r="M389" s="94"/>
      <c r="N389" s="94">
        <f t="shared" si="74"/>
        <v>0.72862431582201759</v>
      </c>
      <c r="O389" s="94" t="s">
        <v>108</v>
      </c>
      <c r="P389" s="94">
        <f t="shared" si="67"/>
        <v>9.2344410185005915E-2</v>
      </c>
      <c r="Q389" s="94">
        <f t="shared" si="76"/>
        <v>2.5060027493968226E-2</v>
      </c>
      <c r="R389" s="117" t="str">
        <f t="shared" si="77"/>
        <v>SI</v>
      </c>
      <c r="S389" s="117" t="str">
        <f t="shared" si="78"/>
        <v>NO</v>
      </c>
      <c r="T389" s="117" t="str">
        <f t="shared" si="68"/>
        <v>SI</v>
      </c>
      <c r="U389" s="117" t="str">
        <f t="shared" si="69"/>
        <v>SI</v>
      </c>
      <c r="V389" s="117" t="str">
        <f t="shared" si="70"/>
        <v>NO</v>
      </c>
      <c r="W389" s="117" t="str">
        <f t="shared" si="71"/>
        <v>NO</v>
      </c>
      <c r="X389" s="132" t="b">
        <f t="shared" si="79"/>
        <v>0</v>
      </c>
    </row>
    <row r="390" spans="1:24" s="2" customFormat="1" ht="12" x14ac:dyDescent="0.15">
      <c r="A390" s="125" t="s">
        <v>87</v>
      </c>
      <c r="B390" s="139">
        <v>900552236</v>
      </c>
      <c r="C390" s="137" t="s">
        <v>490</v>
      </c>
      <c r="D390" s="137" t="s">
        <v>531</v>
      </c>
      <c r="E390" s="138">
        <v>8455042</v>
      </c>
      <c r="F390" s="138">
        <v>9658874</v>
      </c>
      <c r="G390" s="138">
        <v>2943726</v>
      </c>
      <c r="H390" s="138">
        <v>3092588</v>
      </c>
      <c r="I390" s="138">
        <v>6566286</v>
      </c>
      <c r="J390" s="138">
        <v>1330864</v>
      </c>
      <c r="K390" s="138">
        <v>648149</v>
      </c>
      <c r="L390" s="93">
        <f t="shared" si="72"/>
        <v>5511316</v>
      </c>
      <c r="M390" s="94">
        <f t="shared" si="73"/>
        <v>2.8722245208963062</v>
      </c>
      <c r="N390" s="94">
        <f t="shared" si="74"/>
        <v>0.32018100660594601</v>
      </c>
      <c r="O390" s="94">
        <f t="shared" si="75"/>
        <v>2.0533303299087091</v>
      </c>
      <c r="P390" s="94">
        <f t="shared" si="67"/>
        <v>0.20268139401786642</v>
      </c>
      <c r="Q390" s="94">
        <f t="shared" si="76"/>
        <v>0.13778666126092959</v>
      </c>
      <c r="R390" s="117" t="str">
        <f t="shared" si="77"/>
        <v>SI</v>
      </c>
      <c r="S390" s="117" t="str">
        <f t="shared" si="78"/>
        <v>SI</v>
      </c>
      <c r="T390" s="117" t="str">
        <f t="shared" si="68"/>
        <v>SI</v>
      </c>
      <c r="U390" s="117" t="str">
        <f t="shared" si="69"/>
        <v>SI</v>
      </c>
      <c r="V390" s="117" t="str">
        <f t="shared" si="70"/>
        <v>SI</v>
      </c>
      <c r="W390" s="117" t="str">
        <f t="shared" si="71"/>
        <v>SI</v>
      </c>
      <c r="X390" s="132" t="str">
        <f t="shared" si="79"/>
        <v>SI</v>
      </c>
    </row>
    <row r="391" spans="1:24" s="2" customFormat="1" ht="12" x14ac:dyDescent="0.15">
      <c r="A391" s="125" t="s">
        <v>87</v>
      </c>
      <c r="B391" s="139">
        <v>900553715</v>
      </c>
      <c r="C391" s="137" t="s">
        <v>491</v>
      </c>
      <c r="D391" s="137" t="s">
        <v>531</v>
      </c>
      <c r="E391" s="138">
        <v>19776574</v>
      </c>
      <c r="F391" s="138">
        <v>23428985</v>
      </c>
      <c r="G391" s="138">
        <v>9772285</v>
      </c>
      <c r="H391" s="138">
        <v>15847841</v>
      </c>
      <c r="I391" s="138">
        <v>7581144</v>
      </c>
      <c r="J391" s="138">
        <v>2405219</v>
      </c>
      <c r="K391" s="138">
        <v>1140323</v>
      </c>
      <c r="L391" s="93">
        <f t="shared" si="72"/>
        <v>10004289</v>
      </c>
      <c r="M391" s="94">
        <f t="shared" si="73"/>
        <v>2.0237410186051674</v>
      </c>
      <c r="N391" s="94">
        <f t="shared" si="74"/>
        <v>0.67642029733682441</v>
      </c>
      <c r="O391" s="94">
        <f t="shared" si="75"/>
        <v>2.1092436090476121</v>
      </c>
      <c r="P391" s="94">
        <f t="shared" si="67"/>
        <v>0.3172633312333864</v>
      </c>
      <c r="Q391" s="94">
        <f t="shared" si="76"/>
        <v>0.10265997438642775</v>
      </c>
      <c r="R391" s="117" t="str">
        <f t="shared" si="77"/>
        <v>SI</v>
      </c>
      <c r="S391" s="117" t="str">
        <f t="shared" si="78"/>
        <v>SI</v>
      </c>
      <c r="T391" s="117" t="str">
        <f t="shared" si="68"/>
        <v>SI</v>
      </c>
      <c r="U391" s="117" t="str">
        <f t="shared" si="69"/>
        <v>SI</v>
      </c>
      <c r="V391" s="117" t="str">
        <f t="shared" si="70"/>
        <v>SI</v>
      </c>
      <c r="W391" s="117" t="str">
        <f t="shared" si="71"/>
        <v>SI</v>
      </c>
      <c r="X391" s="132" t="str">
        <f t="shared" si="79"/>
        <v>SI</v>
      </c>
    </row>
    <row r="392" spans="1:24" s="2" customFormat="1" ht="12" x14ac:dyDescent="0.15">
      <c r="A392" s="125" t="s">
        <v>87</v>
      </c>
      <c r="B392" s="139">
        <v>900562348</v>
      </c>
      <c r="C392" s="137" t="s">
        <v>492</v>
      </c>
      <c r="D392" s="137" t="s">
        <v>531</v>
      </c>
      <c r="E392" s="138">
        <v>3866512</v>
      </c>
      <c r="F392" s="138">
        <v>4347976</v>
      </c>
      <c r="G392" s="138">
        <v>2093989</v>
      </c>
      <c r="H392" s="138">
        <v>2142175</v>
      </c>
      <c r="I392" s="138">
        <v>2205801</v>
      </c>
      <c r="J392" s="138">
        <v>3722</v>
      </c>
      <c r="K392" s="138">
        <v>13971</v>
      </c>
      <c r="L392" s="93">
        <f t="shared" si="72"/>
        <v>1772523</v>
      </c>
      <c r="M392" s="94">
        <f t="shared" si="73"/>
        <v>1.8464815240194672</v>
      </c>
      <c r="N392" s="94">
        <f t="shared" si="74"/>
        <v>0.49268326228111653</v>
      </c>
      <c r="O392" s="94">
        <f t="shared" si="75"/>
        <v>0.26640899005081953</v>
      </c>
      <c r="P392" s="94">
        <f t="shared" si="67"/>
        <v>1.6873688968315817E-3</v>
      </c>
      <c r="Q392" s="94">
        <f t="shared" si="76"/>
        <v>8.5603048406890933E-4</v>
      </c>
      <c r="R392" s="117" t="str">
        <f t="shared" si="77"/>
        <v>SI</v>
      </c>
      <c r="S392" s="117" t="str">
        <f t="shared" si="78"/>
        <v>SI</v>
      </c>
      <c r="T392" s="117" t="str">
        <f t="shared" si="68"/>
        <v>SI</v>
      </c>
      <c r="U392" s="117" t="str">
        <f t="shared" si="69"/>
        <v>NO</v>
      </c>
      <c r="V392" s="117" t="str">
        <f t="shared" si="70"/>
        <v>NO</v>
      </c>
      <c r="W392" s="117" t="str">
        <f t="shared" si="71"/>
        <v>NO</v>
      </c>
      <c r="X392" s="132" t="b">
        <f t="shared" si="79"/>
        <v>0</v>
      </c>
    </row>
    <row r="393" spans="1:24" s="2" customFormat="1" ht="12" x14ac:dyDescent="0.15">
      <c r="A393" s="125" t="s">
        <v>87</v>
      </c>
      <c r="B393" s="139">
        <v>900565091</v>
      </c>
      <c r="C393" s="137" t="s">
        <v>493</v>
      </c>
      <c r="D393" s="137" t="s">
        <v>531</v>
      </c>
      <c r="E393" s="138">
        <v>32182394</v>
      </c>
      <c r="F393" s="138">
        <v>43234704</v>
      </c>
      <c r="G393" s="138">
        <v>17664531</v>
      </c>
      <c r="H393" s="138">
        <v>18463141</v>
      </c>
      <c r="I393" s="138">
        <v>24771563</v>
      </c>
      <c r="J393" s="138">
        <v>2489167</v>
      </c>
      <c r="K393" s="138"/>
      <c r="L393" s="93">
        <f t="shared" si="72"/>
        <v>14517863</v>
      </c>
      <c r="M393" s="94">
        <f t="shared" si="73"/>
        <v>1.8218651828344608</v>
      </c>
      <c r="N393" s="94">
        <f t="shared" si="74"/>
        <v>0.42704446409532493</v>
      </c>
      <c r="O393" s="94" t="s">
        <v>108</v>
      </c>
      <c r="P393" s="94">
        <f t="shared" si="67"/>
        <v>0.10048485838378467</v>
      </c>
      <c r="Q393" s="94">
        <f t="shared" si="76"/>
        <v>5.7573355885586729E-2</v>
      </c>
      <c r="R393" s="117" t="str">
        <f t="shared" si="77"/>
        <v>SI</v>
      </c>
      <c r="S393" s="117" t="str">
        <f t="shared" si="78"/>
        <v>SI</v>
      </c>
      <c r="T393" s="117" t="str">
        <f t="shared" si="68"/>
        <v>SI</v>
      </c>
      <c r="U393" s="117" t="str">
        <f t="shared" si="69"/>
        <v>SI</v>
      </c>
      <c r="V393" s="117" t="str">
        <f t="shared" si="70"/>
        <v>NO</v>
      </c>
      <c r="W393" s="117" t="str">
        <f t="shared" si="71"/>
        <v>NO</v>
      </c>
      <c r="X393" s="132" t="b">
        <f t="shared" si="79"/>
        <v>0</v>
      </c>
    </row>
    <row r="394" spans="1:24" s="2" customFormat="1" ht="12" x14ac:dyDescent="0.15">
      <c r="A394" s="125" t="s">
        <v>87</v>
      </c>
      <c r="B394" s="139">
        <v>900573774</v>
      </c>
      <c r="C394" s="137" t="s">
        <v>494</v>
      </c>
      <c r="D394" s="137" t="s">
        <v>531</v>
      </c>
      <c r="E394" s="138">
        <v>10730839</v>
      </c>
      <c r="F394" s="138">
        <v>15860862</v>
      </c>
      <c r="G394" s="138">
        <v>24437877</v>
      </c>
      <c r="H394" s="138">
        <v>24437877</v>
      </c>
      <c r="I394" s="138">
        <v>-8577015</v>
      </c>
      <c r="J394" s="138">
        <v>-3368157</v>
      </c>
      <c r="K394" s="138"/>
      <c r="L394" s="93">
        <f t="shared" si="72"/>
        <v>-13707038</v>
      </c>
      <c r="M394" s="94">
        <f t="shared" si="73"/>
        <v>0.43910684221874102</v>
      </c>
      <c r="N394" s="94">
        <f t="shared" si="74"/>
        <v>1.5407660062864175</v>
      </c>
      <c r="O394" s="94" t="s">
        <v>108</v>
      </c>
      <c r="P394" s="94">
        <f t="shared" si="67"/>
        <v>0.39269571057063557</v>
      </c>
      <c r="Q394" s="94">
        <f t="shared" si="76"/>
        <v>-0.21235649109108951</v>
      </c>
      <c r="R394" s="117" t="str">
        <f t="shared" si="77"/>
        <v>NO</v>
      </c>
      <c r="S394" s="117" t="str">
        <f t="shared" si="78"/>
        <v>NO</v>
      </c>
      <c r="T394" s="117" t="str">
        <f t="shared" si="68"/>
        <v>NO</v>
      </c>
      <c r="U394" s="117" t="str">
        <f t="shared" si="69"/>
        <v>SI</v>
      </c>
      <c r="V394" s="117" t="str">
        <f t="shared" si="70"/>
        <v>SI</v>
      </c>
      <c r="W394" s="117" t="str">
        <f t="shared" si="71"/>
        <v>NO</v>
      </c>
      <c r="X394" s="132" t="b">
        <f t="shared" si="79"/>
        <v>0</v>
      </c>
    </row>
    <row r="395" spans="1:24" s="2" customFormat="1" ht="12" x14ac:dyDescent="0.15">
      <c r="A395" s="125" t="s">
        <v>87</v>
      </c>
      <c r="B395" s="139">
        <v>900577032</v>
      </c>
      <c r="C395" s="137" t="s">
        <v>495</v>
      </c>
      <c r="D395" s="137" t="s">
        <v>531</v>
      </c>
      <c r="E395" s="138">
        <v>13026759</v>
      </c>
      <c r="F395" s="138">
        <v>13576925</v>
      </c>
      <c r="G395" s="138">
        <v>7261418</v>
      </c>
      <c r="H395" s="138">
        <v>7262091</v>
      </c>
      <c r="I395" s="138">
        <v>6314834</v>
      </c>
      <c r="J395" s="138">
        <v>680162</v>
      </c>
      <c r="K395" s="138">
        <v>1820833</v>
      </c>
      <c r="L395" s="93">
        <f t="shared" si="72"/>
        <v>5765341</v>
      </c>
      <c r="M395" s="94">
        <f t="shared" si="73"/>
        <v>1.7939690291896155</v>
      </c>
      <c r="N395" s="94">
        <f t="shared" si="74"/>
        <v>0.53488481375569208</v>
      </c>
      <c r="O395" s="94">
        <f t="shared" si="75"/>
        <v>0.37354441620950413</v>
      </c>
      <c r="P395" s="94">
        <f t="shared" si="67"/>
        <v>0.10770861118439534</v>
      </c>
      <c r="Q395" s="94">
        <f t="shared" si="76"/>
        <v>5.0096910751145786E-2</v>
      </c>
      <c r="R395" s="117" t="str">
        <f t="shared" si="77"/>
        <v>SI</v>
      </c>
      <c r="S395" s="117" t="str">
        <f t="shared" si="78"/>
        <v>NO</v>
      </c>
      <c r="T395" s="117" t="str">
        <f t="shared" si="68"/>
        <v>SI</v>
      </c>
      <c r="U395" s="117" t="str">
        <f t="shared" si="69"/>
        <v>NO</v>
      </c>
      <c r="V395" s="117" t="str">
        <f t="shared" si="70"/>
        <v>NO</v>
      </c>
      <c r="W395" s="117" t="str">
        <f t="shared" si="71"/>
        <v>NO</v>
      </c>
      <c r="X395" s="132" t="b">
        <f t="shared" si="79"/>
        <v>0</v>
      </c>
    </row>
    <row r="396" spans="1:24" s="2" customFormat="1" ht="12" x14ac:dyDescent="0.15">
      <c r="A396" s="125" t="s">
        <v>87</v>
      </c>
      <c r="B396" s="139">
        <v>900590438</v>
      </c>
      <c r="C396" s="137" t="s">
        <v>496</v>
      </c>
      <c r="D396" s="137" t="s">
        <v>531</v>
      </c>
      <c r="E396" s="138">
        <v>8588737</v>
      </c>
      <c r="F396" s="138">
        <v>8760653</v>
      </c>
      <c r="G396" s="138">
        <v>6622843</v>
      </c>
      <c r="H396" s="138">
        <v>6647749</v>
      </c>
      <c r="I396" s="138">
        <v>2112904</v>
      </c>
      <c r="J396" s="138">
        <v>1187226</v>
      </c>
      <c r="K396" s="138">
        <v>392208</v>
      </c>
      <c r="L396" s="93">
        <f t="shared" si="72"/>
        <v>1965894</v>
      </c>
      <c r="M396" s="94">
        <f t="shared" si="73"/>
        <v>1.2968353620944963</v>
      </c>
      <c r="N396" s="94">
        <f t="shared" si="74"/>
        <v>0.75881889169677197</v>
      </c>
      <c r="O396" s="94">
        <f t="shared" si="75"/>
        <v>3.0270315750826091</v>
      </c>
      <c r="P396" s="94">
        <f t="shared" si="67"/>
        <v>0.56189301548958215</v>
      </c>
      <c r="Q396" s="94">
        <f t="shared" si="76"/>
        <v>0.13551798022362033</v>
      </c>
      <c r="R396" s="117" t="str">
        <f t="shared" si="77"/>
        <v>SI</v>
      </c>
      <c r="S396" s="117" t="str">
        <f t="shared" si="78"/>
        <v>NO</v>
      </c>
      <c r="T396" s="117" t="str">
        <f t="shared" si="68"/>
        <v>SI</v>
      </c>
      <c r="U396" s="117" t="str">
        <f t="shared" si="69"/>
        <v>SI</v>
      </c>
      <c r="V396" s="117" t="str">
        <f t="shared" si="70"/>
        <v>SI</v>
      </c>
      <c r="W396" s="117" t="str">
        <f t="shared" si="71"/>
        <v>SI</v>
      </c>
      <c r="X396" s="132" t="b">
        <f t="shared" si="79"/>
        <v>0</v>
      </c>
    </row>
    <row r="397" spans="1:24" s="2" customFormat="1" ht="12" x14ac:dyDescent="0.15">
      <c r="A397" s="125" t="s">
        <v>87</v>
      </c>
      <c r="B397" s="139">
        <v>900606989</v>
      </c>
      <c r="C397" s="137" t="s">
        <v>497</v>
      </c>
      <c r="D397" s="137" t="s">
        <v>531</v>
      </c>
      <c r="E397" s="138">
        <v>10334943</v>
      </c>
      <c r="F397" s="138">
        <v>11870000</v>
      </c>
      <c r="G397" s="138">
        <v>3788681</v>
      </c>
      <c r="H397" s="138">
        <v>6114709</v>
      </c>
      <c r="I397" s="138">
        <v>5755291</v>
      </c>
      <c r="J397" s="138">
        <v>932038</v>
      </c>
      <c r="K397" s="138"/>
      <c r="L397" s="93">
        <f t="shared" si="72"/>
        <v>6546262</v>
      </c>
      <c r="M397" s="94">
        <f t="shared" si="73"/>
        <v>2.7278472376006322</v>
      </c>
      <c r="N397" s="94">
        <f t="shared" si="74"/>
        <v>0.51513976411120477</v>
      </c>
      <c r="O397" s="94" t="s">
        <v>108</v>
      </c>
      <c r="P397" s="94">
        <f t="shared" si="67"/>
        <v>0.16194454806889869</v>
      </c>
      <c r="Q397" s="94">
        <f t="shared" si="76"/>
        <v>7.852047177759057E-2</v>
      </c>
      <c r="R397" s="117" t="str">
        <f t="shared" si="77"/>
        <v>SI</v>
      </c>
      <c r="S397" s="117" t="str">
        <f t="shared" si="78"/>
        <v>SI</v>
      </c>
      <c r="T397" s="117" t="str">
        <f t="shared" si="68"/>
        <v>SI</v>
      </c>
      <c r="U397" s="117" t="str">
        <f t="shared" si="69"/>
        <v>SI</v>
      </c>
      <c r="V397" s="117" t="str">
        <f t="shared" si="70"/>
        <v>NO</v>
      </c>
      <c r="W397" s="117" t="str">
        <f t="shared" si="71"/>
        <v>NO</v>
      </c>
      <c r="X397" s="132" t="b">
        <f t="shared" si="79"/>
        <v>0</v>
      </c>
    </row>
    <row r="398" spans="1:24" s="2" customFormat="1" ht="12" x14ac:dyDescent="0.15">
      <c r="A398" s="125" t="s">
        <v>87</v>
      </c>
      <c r="B398" s="139">
        <v>900618831</v>
      </c>
      <c r="C398" s="137" t="s">
        <v>498</v>
      </c>
      <c r="D398" s="137" t="s">
        <v>531</v>
      </c>
      <c r="E398" s="138">
        <v>54636116</v>
      </c>
      <c r="F398" s="138">
        <v>55944465</v>
      </c>
      <c r="G398" s="138">
        <v>33392673</v>
      </c>
      <c r="H398" s="138">
        <v>33392673</v>
      </c>
      <c r="I398" s="138">
        <v>22551792</v>
      </c>
      <c r="J398" s="138">
        <v>7028000</v>
      </c>
      <c r="K398" s="138">
        <v>134557</v>
      </c>
      <c r="L398" s="93">
        <f t="shared" si="72"/>
        <v>21243443</v>
      </c>
      <c r="M398" s="94">
        <f t="shared" si="73"/>
        <v>1.6361707851300193</v>
      </c>
      <c r="N398" s="94">
        <f t="shared" si="74"/>
        <v>0.5968896654923771</v>
      </c>
      <c r="O398" s="94"/>
      <c r="P398" s="94">
        <f t="shared" si="67"/>
        <v>0.31163820595720287</v>
      </c>
      <c r="Q398" s="94">
        <f t="shared" si="76"/>
        <v>0.12562458144876351</v>
      </c>
      <c r="R398" s="117" t="str">
        <f t="shared" si="77"/>
        <v>SI</v>
      </c>
      <c r="S398" s="117" t="str">
        <f t="shared" si="78"/>
        <v>NO</v>
      </c>
      <c r="T398" s="117" t="str">
        <f t="shared" si="68"/>
        <v>SI</v>
      </c>
      <c r="U398" s="117" t="str">
        <f t="shared" si="69"/>
        <v>NO</v>
      </c>
      <c r="V398" s="117" t="str">
        <f t="shared" si="70"/>
        <v>SI</v>
      </c>
      <c r="W398" s="117" t="str">
        <f t="shared" si="71"/>
        <v>SI</v>
      </c>
      <c r="X398" s="132" t="b">
        <f t="shared" si="79"/>
        <v>0</v>
      </c>
    </row>
    <row r="399" spans="1:24" s="2" customFormat="1" ht="12" x14ac:dyDescent="0.15">
      <c r="A399" s="125" t="s">
        <v>87</v>
      </c>
      <c r="B399" s="139">
        <v>900624066</v>
      </c>
      <c r="C399" s="137" t="s">
        <v>499</v>
      </c>
      <c r="D399" s="137" t="s">
        <v>531</v>
      </c>
      <c r="E399" s="138">
        <v>10803191</v>
      </c>
      <c r="F399" s="138">
        <v>11288957</v>
      </c>
      <c r="G399" s="138">
        <v>5954977</v>
      </c>
      <c r="H399" s="138">
        <v>5954977</v>
      </c>
      <c r="I399" s="138">
        <v>5333980</v>
      </c>
      <c r="J399" s="138">
        <v>1073993</v>
      </c>
      <c r="K399" s="138"/>
      <c r="L399" s="93">
        <f t="shared" si="72"/>
        <v>4848214</v>
      </c>
      <c r="M399" s="94">
        <f t="shared" si="73"/>
        <v>1.8141448741111847</v>
      </c>
      <c r="N399" s="94">
        <f t="shared" si="74"/>
        <v>0.52750462243766183</v>
      </c>
      <c r="O399" s="94" t="s">
        <v>108</v>
      </c>
      <c r="P399" s="94">
        <f t="shared" si="67"/>
        <v>0.20134927390053955</v>
      </c>
      <c r="Q399" s="94">
        <f t="shared" si="76"/>
        <v>9.5136601193538076E-2</v>
      </c>
      <c r="R399" s="117" t="str">
        <f t="shared" si="77"/>
        <v>SI</v>
      </c>
      <c r="S399" s="117" t="str">
        <f t="shared" si="78"/>
        <v>SI</v>
      </c>
      <c r="T399" s="117" t="str">
        <f t="shared" si="68"/>
        <v>SI</v>
      </c>
      <c r="U399" s="117" t="str">
        <f t="shared" si="69"/>
        <v>SI</v>
      </c>
      <c r="V399" s="117" t="str">
        <f t="shared" si="70"/>
        <v>SI</v>
      </c>
      <c r="W399" s="117" t="str">
        <f t="shared" si="71"/>
        <v>SI</v>
      </c>
      <c r="X399" s="132" t="str">
        <f t="shared" si="79"/>
        <v>SI</v>
      </c>
    </row>
    <row r="400" spans="1:24" s="2" customFormat="1" ht="12" x14ac:dyDescent="0.15">
      <c r="A400" s="125" t="s">
        <v>87</v>
      </c>
      <c r="B400" s="139">
        <v>900648510</v>
      </c>
      <c r="C400" s="137" t="s">
        <v>500</v>
      </c>
      <c r="D400" s="137" t="s">
        <v>531</v>
      </c>
      <c r="E400" s="138">
        <v>2865509</v>
      </c>
      <c r="F400" s="138">
        <v>4439805</v>
      </c>
      <c r="G400" s="138">
        <v>1604705</v>
      </c>
      <c r="H400" s="138">
        <v>2942414</v>
      </c>
      <c r="I400" s="138">
        <v>1497391</v>
      </c>
      <c r="J400" s="138">
        <v>565323</v>
      </c>
      <c r="K400" s="138">
        <v>255051</v>
      </c>
      <c r="L400" s="93">
        <f t="shared" si="72"/>
        <v>1260804</v>
      </c>
      <c r="M400" s="94">
        <f t="shared" si="73"/>
        <v>1.7856920742441758</v>
      </c>
      <c r="N400" s="94">
        <f t="shared" si="74"/>
        <v>0.66273496245893682</v>
      </c>
      <c r="O400" s="94">
        <f t="shared" ref="O400:O428" si="80">J400/K400</f>
        <v>2.216509639248621</v>
      </c>
      <c r="P400" s="94">
        <f t="shared" ref="P400:P426" si="81">J400/I400</f>
        <v>0.37753866558567534</v>
      </c>
      <c r="Q400" s="94">
        <f t="shared" si="76"/>
        <v>0.1273305922219557</v>
      </c>
      <c r="R400" s="117" t="str">
        <f t="shared" si="77"/>
        <v>SI</v>
      </c>
      <c r="S400" s="117" t="str">
        <f t="shared" si="78"/>
        <v>NO</v>
      </c>
      <c r="T400" s="117" t="str">
        <f t="shared" ref="T400:T429" si="82">+IF(N400&lt;=$G$542,"SI","NO")</f>
        <v>SI</v>
      </c>
      <c r="U400" s="117" t="str">
        <f t="shared" ref="U400:U429" si="83">+IF(O400&gt;=$H$542,"SI","NO")</f>
        <v>SI</v>
      </c>
      <c r="V400" s="117" t="str">
        <f t="shared" ref="V400:V429" si="84">+IF(P400&gt;=$I$542,"SI","NO")</f>
        <v>SI</v>
      </c>
      <c r="W400" s="117" t="str">
        <f t="shared" ref="W400:W429" si="85">+IF(Q400&gt;=$J$542,"SI","NO")</f>
        <v>SI</v>
      </c>
      <c r="X400" s="132" t="b">
        <f t="shared" si="79"/>
        <v>0</v>
      </c>
    </row>
    <row r="401" spans="1:24" s="2" customFormat="1" ht="12" x14ac:dyDescent="0.15">
      <c r="A401" s="125" t="s">
        <v>87</v>
      </c>
      <c r="B401" s="139">
        <v>900648909</v>
      </c>
      <c r="C401" s="137" t="s">
        <v>501</v>
      </c>
      <c r="D401" s="137" t="s">
        <v>531</v>
      </c>
      <c r="E401" s="138">
        <v>32335608</v>
      </c>
      <c r="F401" s="138">
        <v>33245427</v>
      </c>
      <c r="G401" s="138">
        <v>8274682</v>
      </c>
      <c r="H401" s="138">
        <v>34027996</v>
      </c>
      <c r="I401" s="138">
        <v>-782569</v>
      </c>
      <c r="J401" s="138">
        <v>-2521252</v>
      </c>
      <c r="K401" s="138">
        <v>950083</v>
      </c>
      <c r="L401" s="93">
        <f t="shared" ref="L401:L429" si="86">E401-G401</f>
        <v>24060926</v>
      </c>
      <c r="M401" s="94"/>
      <c r="N401" s="94">
        <f t="shared" ref="N401:N429" si="87">H401/F401</f>
        <v>1.0235391472036139</v>
      </c>
      <c r="O401" s="94"/>
      <c r="P401" s="94">
        <f t="shared" si="81"/>
        <v>3.2217631927663888</v>
      </c>
      <c r="Q401" s="94">
        <f t="shared" ref="Q401:Q429" si="88">J401/F401</f>
        <v>-7.5837558049713122E-2</v>
      </c>
      <c r="R401" s="117" t="str">
        <f t="shared" ref="R401:R429" si="89">+IF(L401&gt;=$R$14,"SI","NO")</f>
        <v>SI</v>
      </c>
      <c r="S401" s="117" t="str">
        <f t="shared" ref="S401:S429" si="90">+IF(M401&gt;=$F$542,"SI","NO")</f>
        <v>NO</v>
      </c>
      <c r="T401" s="117" t="str">
        <f t="shared" si="82"/>
        <v>NO</v>
      </c>
      <c r="U401" s="117" t="str">
        <f t="shared" si="83"/>
        <v>NO</v>
      </c>
      <c r="V401" s="117" t="str">
        <f t="shared" si="84"/>
        <v>SI</v>
      </c>
      <c r="W401" s="117" t="str">
        <f t="shared" si="85"/>
        <v>NO</v>
      </c>
      <c r="X401" s="132" t="b">
        <f t="shared" ref="X401:X429" si="91">+IF(R401="SI",IF(S401="SI",IF(T401="SI",IF(U401="SI",IF(V401="SI",IF(W401="SI","SI","NO"))))))</f>
        <v>0</v>
      </c>
    </row>
    <row r="402" spans="1:24" s="2" customFormat="1" ht="12" x14ac:dyDescent="0.15">
      <c r="A402" s="125" t="s">
        <v>87</v>
      </c>
      <c r="B402" s="139">
        <v>900656724</v>
      </c>
      <c r="C402" s="137" t="s">
        <v>502</v>
      </c>
      <c r="D402" s="137" t="s">
        <v>531</v>
      </c>
      <c r="E402" s="138">
        <v>6728228</v>
      </c>
      <c r="F402" s="138">
        <v>7510165</v>
      </c>
      <c r="G402" s="138">
        <v>1241962</v>
      </c>
      <c r="H402" s="138">
        <v>1742971</v>
      </c>
      <c r="I402" s="138">
        <v>5767194</v>
      </c>
      <c r="J402" s="138">
        <v>1319028</v>
      </c>
      <c r="K402" s="138">
        <v>184312</v>
      </c>
      <c r="L402" s="93">
        <f t="shared" si="86"/>
        <v>5486266</v>
      </c>
      <c r="M402" s="94">
        <f t="shared" ref="M402:M429" si="92">E402/G402</f>
        <v>5.4174185683619953</v>
      </c>
      <c r="N402" s="94">
        <f t="shared" si="87"/>
        <v>0.23208158542455459</v>
      </c>
      <c r="O402" s="94"/>
      <c r="P402" s="94">
        <f t="shared" si="81"/>
        <v>0.22871226457788657</v>
      </c>
      <c r="Q402" s="94">
        <f t="shared" si="88"/>
        <v>0.17563235960861046</v>
      </c>
      <c r="R402" s="117" t="str">
        <f t="shared" si="89"/>
        <v>SI</v>
      </c>
      <c r="S402" s="117" t="str">
        <f t="shared" si="90"/>
        <v>SI</v>
      </c>
      <c r="T402" s="117" t="str">
        <f t="shared" si="82"/>
        <v>SI</v>
      </c>
      <c r="U402" s="117" t="str">
        <f t="shared" si="83"/>
        <v>NO</v>
      </c>
      <c r="V402" s="117" t="str">
        <f t="shared" si="84"/>
        <v>SI</v>
      </c>
      <c r="W402" s="117" t="str">
        <f t="shared" si="85"/>
        <v>SI</v>
      </c>
      <c r="X402" s="132" t="b">
        <f t="shared" si="91"/>
        <v>0</v>
      </c>
    </row>
    <row r="403" spans="1:24" s="2" customFormat="1" ht="12" x14ac:dyDescent="0.15">
      <c r="A403" s="125" t="s">
        <v>87</v>
      </c>
      <c r="B403" s="139">
        <v>900704499</v>
      </c>
      <c r="C403" s="137" t="s">
        <v>503</v>
      </c>
      <c r="D403" s="137" t="s">
        <v>531</v>
      </c>
      <c r="E403" s="138">
        <v>3965731</v>
      </c>
      <c r="F403" s="138">
        <v>4045543</v>
      </c>
      <c r="G403" s="138">
        <v>821966</v>
      </c>
      <c r="H403" s="138">
        <v>2312603</v>
      </c>
      <c r="I403" s="138">
        <v>1732940</v>
      </c>
      <c r="J403" s="138">
        <v>161377</v>
      </c>
      <c r="K403" s="138"/>
      <c r="L403" s="93">
        <f t="shared" si="86"/>
        <v>3143765</v>
      </c>
      <c r="M403" s="94"/>
      <c r="N403" s="94">
        <f t="shared" si="87"/>
        <v>0.57164217510480053</v>
      </c>
      <c r="O403" s="94" t="s">
        <v>108</v>
      </c>
      <c r="P403" s="94">
        <f t="shared" si="81"/>
        <v>9.3123247198402717E-2</v>
      </c>
      <c r="Q403" s="94">
        <f t="shared" si="88"/>
        <v>3.9890071617085764E-2</v>
      </c>
      <c r="R403" s="117" t="str">
        <f t="shared" si="89"/>
        <v>SI</v>
      </c>
      <c r="S403" s="117" t="str">
        <f t="shared" si="90"/>
        <v>NO</v>
      </c>
      <c r="T403" s="117" t="str">
        <f t="shared" si="82"/>
        <v>SI</v>
      </c>
      <c r="U403" s="117" t="str">
        <f t="shared" si="83"/>
        <v>SI</v>
      </c>
      <c r="V403" s="117" t="str">
        <f t="shared" si="84"/>
        <v>NO</v>
      </c>
      <c r="W403" s="117" t="str">
        <f t="shared" si="85"/>
        <v>NO</v>
      </c>
      <c r="X403" s="132" t="b">
        <f t="shared" si="91"/>
        <v>0</v>
      </c>
    </row>
    <row r="404" spans="1:24" s="2" customFormat="1" ht="12" x14ac:dyDescent="0.15">
      <c r="A404" s="125" t="s">
        <v>87</v>
      </c>
      <c r="B404" s="139">
        <v>900706244</v>
      </c>
      <c r="C404" s="137">
        <v>20</v>
      </c>
      <c r="D404" s="137" t="s">
        <v>531</v>
      </c>
      <c r="E404" s="138">
        <v>21708712</v>
      </c>
      <c r="F404" s="138">
        <v>21897577</v>
      </c>
      <c r="G404" s="138">
        <v>9305407</v>
      </c>
      <c r="H404" s="138">
        <v>9423975</v>
      </c>
      <c r="I404" s="138">
        <v>12473602</v>
      </c>
      <c r="J404" s="138">
        <v>3295398</v>
      </c>
      <c r="K404" s="138"/>
      <c r="L404" s="93">
        <f t="shared" si="86"/>
        <v>12403305</v>
      </c>
      <c r="M404" s="94">
        <f t="shared" si="92"/>
        <v>2.3329137564858797</v>
      </c>
      <c r="N404" s="94">
        <f t="shared" si="87"/>
        <v>0.43036610854251134</v>
      </c>
      <c r="O404" s="94" t="s">
        <v>108</v>
      </c>
      <c r="P404" s="94">
        <f t="shared" si="81"/>
        <v>0.26418976651652026</v>
      </c>
      <c r="Q404" s="94">
        <f t="shared" si="88"/>
        <v>0.15049144478405077</v>
      </c>
      <c r="R404" s="117" t="str">
        <f t="shared" si="89"/>
        <v>SI</v>
      </c>
      <c r="S404" s="117" t="str">
        <f t="shared" si="90"/>
        <v>SI</v>
      </c>
      <c r="T404" s="117" t="str">
        <f t="shared" si="82"/>
        <v>SI</v>
      </c>
      <c r="U404" s="117" t="str">
        <f t="shared" si="83"/>
        <v>SI</v>
      </c>
      <c r="V404" s="117" t="str">
        <f t="shared" si="84"/>
        <v>SI</v>
      </c>
      <c r="W404" s="117" t="str">
        <f t="shared" si="85"/>
        <v>SI</v>
      </c>
      <c r="X404" s="132" t="str">
        <f t="shared" si="91"/>
        <v>SI</v>
      </c>
    </row>
    <row r="405" spans="1:24" s="2" customFormat="1" ht="12" x14ac:dyDescent="0.15">
      <c r="A405" s="125" t="s">
        <v>87</v>
      </c>
      <c r="B405" s="139">
        <v>900718523</v>
      </c>
      <c r="C405" s="137" t="s">
        <v>504</v>
      </c>
      <c r="D405" s="137" t="s">
        <v>531</v>
      </c>
      <c r="E405" s="138">
        <v>1931913</v>
      </c>
      <c r="F405" s="138">
        <v>2207206</v>
      </c>
      <c r="G405" s="138">
        <v>593197</v>
      </c>
      <c r="H405" s="138">
        <v>1429642</v>
      </c>
      <c r="I405" s="138">
        <v>777564</v>
      </c>
      <c r="J405" s="138">
        <v>404747</v>
      </c>
      <c r="K405" s="138">
        <v>115363</v>
      </c>
      <c r="L405" s="93">
        <f t="shared" si="86"/>
        <v>1338716</v>
      </c>
      <c r="M405" s="94"/>
      <c r="N405" s="94">
        <f t="shared" si="87"/>
        <v>0.64771570936287781</v>
      </c>
      <c r="O405" s="94"/>
      <c r="P405" s="94">
        <f t="shared" si="81"/>
        <v>0.52053207195806395</v>
      </c>
      <c r="Q405" s="94">
        <f t="shared" si="88"/>
        <v>0.18337527172361801</v>
      </c>
      <c r="R405" s="117" t="str">
        <f t="shared" si="89"/>
        <v>SI</v>
      </c>
      <c r="S405" s="117" t="str">
        <f t="shared" si="90"/>
        <v>NO</v>
      </c>
      <c r="T405" s="117" t="str">
        <f t="shared" si="82"/>
        <v>SI</v>
      </c>
      <c r="U405" s="117" t="str">
        <f t="shared" si="83"/>
        <v>NO</v>
      </c>
      <c r="V405" s="117" t="str">
        <f t="shared" si="84"/>
        <v>SI</v>
      </c>
      <c r="W405" s="117" t="str">
        <f t="shared" si="85"/>
        <v>SI</v>
      </c>
      <c r="X405" s="132" t="b">
        <f t="shared" si="91"/>
        <v>0</v>
      </c>
    </row>
    <row r="406" spans="1:24" s="2" customFormat="1" ht="12" x14ac:dyDescent="0.15">
      <c r="A406" s="125" t="s">
        <v>87</v>
      </c>
      <c r="B406" s="139">
        <v>900739798</v>
      </c>
      <c r="C406" s="137" t="s">
        <v>505</v>
      </c>
      <c r="D406" s="137" t="s">
        <v>531</v>
      </c>
      <c r="E406" s="138">
        <v>2038998</v>
      </c>
      <c r="F406" s="138">
        <v>2314123</v>
      </c>
      <c r="G406" s="138">
        <v>1711583</v>
      </c>
      <c r="H406" s="138">
        <v>1711583</v>
      </c>
      <c r="I406" s="138">
        <v>602540</v>
      </c>
      <c r="J406" s="138">
        <v>228740</v>
      </c>
      <c r="K406" s="138">
        <v>151618</v>
      </c>
      <c r="L406" s="93">
        <f t="shared" si="86"/>
        <v>327415</v>
      </c>
      <c r="M406" s="94">
        <f t="shared" si="92"/>
        <v>1.1912936737511415</v>
      </c>
      <c r="N406" s="94">
        <f t="shared" si="87"/>
        <v>0.73962490325708707</v>
      </c>
      <c r="O406" s="94">
        <f t="shared" si="80"/>
        <v>1.5086599216451873</v>
      </c>
      <c r="P406" s="94">
        <f t="shared" si="81"/>
        <v>0.37962624887974245</v>
      </c>
      <c r="Q406" s="94">
        <f t="shared" si="88"/>
        <v>9.8845221278212089E-2</v>
      </c>
      <c r="R406" s="117" t="str">
        <f t="shared" si="89"/>
        <v>SI</v>
      </c>
      <c r="S406" s="117" t="str">
        <f t="shared" si="90"/>
        <v>NO</v>
      </c>
      <c r="T406" s="117" t="str">
        <f t="shared" si="82"/>
        <v>SI</v>
      </c>
      <c r="U406" s="117" t="str">
        <f t="shared" si="83"/>
        <v>SI</v>
      </c>
      <c r="V406" s="117" t="str">
        <f t="shared" si="84"/>
        <v>SI</v>
      </c>
      <c r="W406" s="117" t="str">
        <f t="shared" si="85"/>
        <v>SI</v>
      </c>
      <c r="X406" s="132" t="b">
        <f t="shared" si="91"/>
        <v>0</v>
      </c>
    </row>
    <row r="407" spans="1:24" s="2" customFormat="1" ht="12" x14ac:dyDescent="0.15">
      <c r="A407" s="125" t="s">
        <v>87</v>
      </c>
      <c r="B407" s="139">
        <v>900802218</v>
      </c>
      <c r="C407" s="137" t="s">
        <v>506</v>
      </c>
      <c r="D407" s="137" t="s">
        <v>531</v>
      </c>
      <c r="E407" s="138">
        <v>22644285</v>
      </c>
      <c r="F407" s="138">
        <v>23360591</v>
      </c>
      <c r="G407" s="138">
        <v>12585757</v>
      </c>
      <c r="H407" s="138">
        <v>12585757</v>
      </c>
      <c r="I407" s="138">
        <v>10774834</v>
      </c>
      <c r="J407" s="138">
        <v>1629098</v>
      </c>
      <c r="K407" s="138"/>
      <c r="L407" s="93">
        <f t="shared" si="86"/>
        <v>10058528</v>
      </c>
      <c r="M407" s="94">
        <f t="shared" si="92"/>
        <v>1.7991992853508931</v>
      </c>
      <c r="N407" s="94">
        <f t="shared" si="87"/>
        <v>0.53876021372918181</v>
      </c>
      <c r="O407" s="94" t="s">
        <v>108</v>
      </c>
      <c r="P407" s="94">
        <f t="shared" si="81"/>
        <v>0.15119471910193696</v>
      </c>
      <c r="Q407" s="94">
        <f t="shared" si="88"/>
        <v>6.973701992385381E-2</v>
      </c>
      <c r="R407" s="117" t="str">
        <f t="shared" si="89"/>
        <v>SI</v>
      </c>
      <c r="S407" s="117" t="str">
        <f t="shared" si="90"/>
        <v>NO</v>
      </c>
      <c r="T407" s="117" t="str">
        <f t="shared" si="82"/>
        <v>SI</v>
      </c>
      <c r="U407" s="117" t="str">
        <f t="shared" si="83"/>
        <v>SI</v>
      </c>
      <c r="V407" s="117" t="str">
        <f t="shared" si="84"/>
        <v>NO</v>
      </c>
      <c r="W407" s="117" t="str">
        <f t="shared" si="85"/>
        <v>NO</v>
      </c>
      <c r="X407" s="132" t="b">
        <f t="shared" si="91"/>
        <v>0</v>
      </c>
    </row>
    <row r="408" spans="1:24" s="2" customFormat="1" ht="12" x14ac:dyDescent="0.15">
      <c r="A408" s="125" t="s">
        <v>87</v>
      </c>
      <c r="B408" s="139">
        <v>900803088</v>
      </c>
      <c r="C408" s="137" t="s">
        <v>507</v>
      </c>
      <c r="D408" s="137" t="s">
        <v>531</v>
      </c>
      <c r="E408" s="138">
        <v>22185706</v>
      </c>
      <c r="F408" s="138">
        <v>26407888</v>
      </c>
      <c r="G408" s="138">
        <v>14322042</v>
      </c>
      <c r="H408" s="138">
        <v>14322042</v>
      </c>
      <c r="I408" s="138">
        <v>12085846</v>
      </c>
      <c r="J408" s="138">
        <v>2335122</v>
      </c>
      <c r="K408" s="138"/>
      <c r="L408" s="93">
        <f t="shared" si="86"/>
        <v>7863664</v>
      </c>
      <c r="M408" s="94">
        <f t="shared" si="92"/>
        <v>1.5490602527209458</v>
      </c>
      <c r="N408" s="94">
        <f t="shared" si="87"/>
        <v>0.54233954642643134</v>
      </c>
      <c r="O408" s="94" t="s">
        <v>108</v>
      </c>
      <c r="P408" s="94">
        <f t="shared" si="81"/>
        <v>0.19321129857189973</v>
      </c>
      <c r="Q408" s="94">
        <f t="shared" si="88"/>
        <v>8.8425170539953815E-2</v>
      </c>
      <c r="R408" s="117" t="str">
        <f t="shared" si="89"/>
        <v>SI</v>
      </c>
      <c r="S408" s="117" t="str">
        <f t="shared" si="90"/>
        <v>NO</v>
      </c>
      <c r="T408" s="117" t="str">
        <f t="shared" si="82"/>
        <v>SI</v>
      </c>
      <c r="U408" s="117" t="str">
        <f t="shared" si="83"/>
        <v>SI</v>
      </c>
      <c r="V408" s="117" t="str">
        <f t="shared" si="84"/>
        <v>SI</v>
      </c>
      <c r="W408" s="117" t="str">
        <f t="shared" si="85"/>
        <v>NO</v>
      </c>
      <c r="X408" s="132" t="b">
        <f t="shared" si="91"/>
        <v>0</v>
      </c>
    </row>
    <row r="409" spans="1:24" s="2" customFormat="1" ht="12" x14ac:dyDescent="0.15">
      <c r="A409" s="125" t="s">
        <v>87</v>
      </c>
      <c r="B409" s="139">
        <v>900809570</v>
      </c>
      <c r="C409" s="137" t="s">
        <v>508</v>
      </c>
      <c r="D409" s="137" t="s">
        <v>531</v>
      </c>
      <c r="E409" s="138">
        <v>208342</v>
      </c>
      <c r="F409" s="138">
        <v>26756550</v>
      </c>
      <c r="G409" s="138">
        <v>1795727</v>
      </c>
      <c r="H409" s="138">
        <v>1795727</v>
      </c>
      <c r="I409" s="138">
        <v>24960823</v>
      </c>
      <c r="J409" s="138">
        <v>-28272</v>
      </c>
      <c r="K409" s="138"/>
      <c r="L409" s="93">
        <f t="shared" si="86"/>
        <v>-1587385</v>
      </c>
      <c r="M409" s="94">
        <f t="shared" si="92"/>
        <v>0.11602097646245782</v>
      </c>
      <c r="N409" s="94">
        <f t="shared" si="87"/>
        <v>6.7113547897617587E-2</v>
      </c>
      <c r="O409" s="94" t="s">
        <v>108</v>
      </c>
      <c r="P409" s="94">
        <f t="shared" si="81"/>
        <v>-1.1326549609361838E-3</v>
      </c>
      <c r="Q409" s="94">
        <f t="shared" si="88"/>
        <v>-1.0566384679639191E-3</v>
      </c>
      <c r="R409" s="117" t="str">
        <f t="shared" si="89"/>
        <v>NO</v>
      </c>
      <c r="S409" s="117" t="str">
        <f t="shared" si="90"/>
        <v>NO</v>
      </c>
      <c r="T409" s="117" t="str">
        <f t="shared" si="82"/>
        <v>SI</v>
      </c>
      <c r="U409" s="117" t="str">
        <f t="shared" si="83"/>
        <v>SI</v>
      </c>
      <c r="V409" s="117" t="str">
        <f t="shared" si="84"/>
        <v>NO</v>
      </c>
      <c r="W409" s="117" t="str">
        <f t="shared" si="85"/>
        <v>NO</v>
      </c>
      <c r="X409" s="132" t="b">
        <f t="shared" si="91"/>
        <v>0</v>
      </c>
    </row>
    <row r="410" spans="1:24" s="2" customFormat="1" ht="12" x14ac:dyDescent="0.15">
      <c r="A410" s="125" t="s">
        <v>87</v>
      </c>
      <c r="B410" s="139">
        <v>900812558</v>
      </c>
      <c r="C410" s="137" t="s">
        <v>509</v>
      </c>
      <c r="D410" s="137" t="s">
        <v>531</v>
      </c>
      <c r="E410" s="138">
        <v>21502429</v>
      </c>
      <c r="F410" s="138">
        <v>38427999</v>
      </c>
      <c r="G410" s="138">
        <v>8112660</v>
      </c>
      <c r="H410" s="138">
        <v>8112660</v>
      </c>
      <c r="I410" s="138">
        <v>30315339</v>
      </c>
      <c r="J410" s="138">
        <v>12329668</v>
      </c>
      <c r="K410" s="138"/>
      <c r="L410" s="93">
        <f t="shared" si="86"/>
        <v>13389769</v>
      </c>
      <c r="M410" s="94">
        <f t="shared" si="92"/>
        <v>2.6504782648354546</v>
      </c>
      <c r="N410" s="94">
        <f t="shared" si="87"/>
        <v>0.21111325624839325</v>
      </c>
      <c r="O410" s="94" t="s">
        <v>108</v>
      </c>
      <c r="P410" s="94">
        <f t="shared" si="81"/>
        <v>0.40671384212460893</v>
      </c>
      <c r="Q410" s="94">
        <f t="shared" si="88"/>
        <v>0.32085115855238783</v>
      </c>
      <c r="R410" s="117" t="str">
        <f t="shared" si="89"/>
        <v>SI</v>
      </c>
      <c r="S410" s="117" t="str">
        <f t="shared" si="90"/>
        <v>SI</v>
      </c>
      <c r="T410" s="117" t="str">
        <f t="shared" si="82"/>
        <v>SI</v>
      </c>
      <c r="U410" s="117" t="str">
        <f t="shared" si="83"/>
        <v>SI</v>
      </c>
      <c r="V410" s="117" t="str">
        <f t="shared" si="84"/>
        <v>SI</v>
      </c>
      <c r="W410" s="117" t="str">
        <f t="shared" si="85"/>
        <v>SI</v>
      </c>
      <c r="X410" s="132" t="str">
        <f t="shared" si="91"/>
        <v>SI</v>
      </c>
    </row>
    <row r="411" spans="1:24" s="2" customFormat="1" ht="12" x14ac:dyDescent="0.15">
      <c r="A411" s="125" t="s">
        <v>87</v>
      </c>
      <c r="B411" s="139">
        <v>900860584</v>
      </c>
      <c r="C411" s="137" t="s">
        <v>510</v>
      </c>
      <c r="D411" s="137" t="s">
        <v>531</v>
      </c>
      <c r="E411" s="138">
        <v>9543832</v>
      </c>
      <c r="F411" s="138">
        <v>36670404</v>
      </c>
      <c r="G411" s="138">
        <v>15717516</v>
      </c>
      <c r="H411" s="138">
        <v>19749302</v>
      </c>
      <c r="I411" s="138">
        <v>16921102</v>
      </c>
      <c r="J411" s="138">
        <v>-655863</v>
      </c>
      <c r="K411" s="138">
        <v>755109</v>
      </c>
      <c r="L411" s="93">
        <f t="shared" si="86"/>
        <v>-6173684</v>
      </c>
      <c r="M411" s="94">
        <f t="shared" si="92"/>
        <v>0.60720994335237199</v>
      </c>
      <c r="N411" s="94">
        <f t="shared" si="87"/>
        <v>0.53856243307273077</v>
      </c>
      <c r="O411" s="94"/>
      <c r="P411" s="94">
        <f t="shared" si="81"/>
        <v>-3.876006420858405E-2</v>
      </c>
      <c r="Q411" s="94">
        <f t="shared" si="88"/>
        <v>-1.7885349722353755E-2</v>
      </c>
      <c r="R411" s="117" t="str">
        <f t="shared" si="89"/>
        <v>NO</v>
      </c>
      <c r="S411" s="117" t="str">
        <f t="shared" si="90"/>
        <v>NO</v>
      </c>
      <c r="T411" s="117" t="str">
        <f t="shared" si="82"/>
        <v>SI</v>
      </c>
      <c r="U411" s="117" t="str">
        <f t="shared" si="83"/>
        <v>NO</v>
      </c>
      <c r="V411" s="117" t="str">
        <f t="shared" si="84"/>
        <v>NO</v>
      </c>
      <c r="W411" s="117" t="str">
        <f t="shared" si="85"/>
        <v>NO</v>
      </c>
      <c r="X411" s="132" t="b">
        <f t="shared" si="91"/>
        <v>0</v>
      </c>
    </row>
    <row r="412" spans="1:24" s="2" customFormat="1" ht="12" x14ac:dyDescent="0.15">
      <c r="A412" s="125" t="s">
        <v>87</v>
      </c>
      <c r="B412" s="139">
        <v>900895205</v>
      </c>
      <c r="C412" s="137" t="s">
        <v>511</v>
      </c>
      <c r="D412" s="137" t="s">
        <v>531</v>
      </c>
      <c r="E412" s="138">
        <v>98573997</v>
      </c>
      <c r="F412" s="138">
        <v>133987429</v>
      </c>
      <c r="G412" s="138">
        <v>35939530</v>
      </c>
      <c r="H412" s="138">
        <v>105259607</v>
      </c>
      <c r="I412" s="138">
        <v>28727822</v>
      </c>
      <c r="J412" s="138">
        <v>6507750</v>
      </c>
      <c r="K412" s="138">
        <v>7633969</v>
      </c>
      <c r="L412" s="93">
        <f t="shared" si="86"/>
        <v>62634467</v>
      </c>
      <c r="M412" s="94">
        <f t="shared" si="92"/>
        <v>2.742773681236232</v>
      </c>
      <c r="N412" s="94">
        <f t="shared" si="87"/>
        <v>0.7855931544145085</v>
      </c>
      <c r="O412" s="94">
        <f t="shared" si="80"/>
        <v>0.85247267836691498</v>
      </c>
      <c r="P412" s="94">
        <f t="shared" si="81"/>
        <v>0.22653126993059203</v>
      </c>
      <c r="Q412" s="94">
        <f t="shared" si="88"/>
        <v>4.8569855012293731E-2</v>
      </c>
      <c r="R412" s="117" t="str">
        <f t="shared" si="89"/>
        <v>SI</v>
      </c>
      <c r="S412" s="117" t="str">
        <f t="shared" si="90"/>
        <v>SI</v>
      </c>
      <c r="T412" s="117" t="str">
        <f t="shared" si="82"/>
        <v>SI</v>
      </c>
      <c r="U412" s="117" t="str">
        <f t="shared" si="83"/>
        <v>NO</v>
      </c>
      <c r="V412" s="117" t="str">
        <f t="shared" si="84"/>
        <v>SI</v>
      </c>
      <c r="W412" s="117" t="str">
        <f t="shared" si="85"/>
        <v>NO</v>
      </c>
      <c r="X412" s="132" t="b">
        <f t="shared" si="91"/>
        <v>0</v>
      </c>
    </row>
    <row r="413" spans="1:24" s="2" customFormat="1" ht="12" x14ac:dyDescent="0.15">
      <c r="A413" s="125" t="s">
        <v>87</v>
      </c>
      <c r="B413" s="139">
        <v>900935511</v>
      </c>
      <c r="C413" s="137" t="s">
        <v>512</v>
      </c>
      <c r="D413" s="137" t="s">
        <v>531</v>
      </c>
      <c r="E413" s="138">
        <v>4807313</v>
      </c>
      <c r="F413" s="138">
        <v>4947452</v>
      </c>
      <c r="G413" s="138">
        <v>3034213</v>
      </c>
      <c r="H413" s="138">
        <v>3035911</v>
      </c>
      <c r="I413" s="138">
        <v>1911541</v>
      </c>
      <c r="J413" s="138">
        <v>833013</v>
      </c>
      <c r="K413" s="138">
        <v>333479</v>
      </c>
      <c r="L413" s="93">
        <f t="shared" si="86"/>
        <v>1773100</v>
      </c>
      <c r="M413" s="94">
        <f t="shared" si="92"/>
        <v>1.5843689945300479</v>
      </c>
      <c r="N413" s="94">
        <f t="shared" si="87"/>
        <v>0.61363121865558268</v>
      </c>
      <c r="O413" s="94">
        <f t="shared" si="80"/>
        <v>2.4979473969875166</v>
      </c>
      <c r="P413" s="94">
        <f t="shared" si="81"/>
        <v>0.43578086998918675</v>
      </c>
      <c r="Q413" s="94">
        <f t="shared" si="88"/>
        <v>0.16837212367093202</v>
      </c>
      <c r="R413" s="117" t="str">
        <f t="shared" si="89"/>
        <v>SI</v>
      </c>
      <c r="S413" s="117" t="str">
        <f t="shared" si="90"/>
        <v>NO</v>
      </c>
      <c r="T413" s="117" t="str">
        <f t="shared" si="82"/>
        <v>SI</v>
      </c>
      <c r="U413" s="117" t="str">
        <f t="shared" si="83"/>
        <v>SI</v>
      </c>
      <c r="V413" s="117" t="str">
        <f t="shared" si="84"/>
        <v>SI</v>
      </c>
      <c r="W413" s="117" t="str">
        <f t="shared" si="85"/>
        <v>SI</v>
      </c>
      <c r="X413" s="132" t="b">
        <f t="shared" si="91"/>
        <v>0</v>
      </c>
    </row>
    <row r="414" spans="1:24" s="2" customFormat="1" ht="12" x14ac:dyDescent="0.15">
      <c r="A414" s="125" t="s">
        <v>87</v>
      </c>
      <c r="B414" s="139">
        <v>900953591</v>
      </c>
      <c r="C414" s="137" t="s">
        <v>513</v>
      </c>
      <c r="D414" s="137" t="s">
        <v>531</v>
      </c>
      <c r="E414" s="138">
        <v>4124835</v>
      </c>
      <c r="F414" s="138">
        <v>5556828</v>
      </c>
      <c r="G414" s="138">
        <v>907776</v>
      </c>
      <c r="H414" s="138">
        <v>1666009</v>
      </c>
      <c r="I414" s="138">
        <v>3890819</v>
      </c>
      <c r="J414" s="138">
        <v>1245199</v>
      </c>
      <c r="K414" s="138">
        <v>70097</v>
      </c>
      <c r="L414" s="93">
        <f t="shared" si="86"/>
        <v>3217059</v>
      </c>
      <c r="M414" s="94"/>
      <c r="N414" s="94">
        <f t="shared" si="87"/>
        <v>0.2998129508417392</v>
      </c>
      <c r="O414" s="94"/>
      <c r="P414" s="94">
        <f t="shared" si="81"/>
        <v>0.32003519053443502</v>
      </c>
      <c r="Q414" s="94">
        <f t="shared" si="88"/>
        <v>0.22408449568710784</v>
      </c>
      <c r="R414" s="117" t="str">
        <f t="shared" si="89"/>
        <v>SI</v>
      </c>
      <c r="S414" s="117" t="str">
        <f t="shared" si="90"/>
        <v>NO</v>
      </c>
      <c r="T414" s="117" t="str">
        <f t="shared" si="82"/>
        <v>SI</v>
      </c>
      <c r="U414" s="117" t="str">
        <f t="shared" si="83"/>
        <v>NO</v>
      </c>
      <c r="V414" s="117" t="str">
        <f t="shared" si="84"/>
        <v>SI</v>
      </c>
      <c r="W414" s="117" t="str">
        <f t="shared" si="85"/>
        <v>SI</v>
      </c>
      <c r="X414" s="132" t="b">
        <f t="shared" si="91"/>
        <v>0</v>
      </c>
    </row>
    <row r="415" spans="1:24" s="2" customFormat="1" ht="12" x14ac:dyDescent="0.15">
      <c r="A415" s="125" t="s">
        <v>87</v>
      </c>
      <c r="B415" s="139">
        <v>900983380</v>
      </c>
      <c r="C415" s="137" t="s">
        <v>514</v>
      </c>
      <c r="D415" s="137" t="s">
        <v>531</v>
      </c>
      <c r="E415" s="138">
        <v>9125449</v>
      </c>
      <c r="F415" s="138">
        <v>10790106</v>
      </c>
      <c r="G415" s="138">
        <v>1790002</v>
      </c>
      <c r="H415" s="138">
        <v>8345172</v>
      </c>
      <c r="I415" s="138">
        <v>2444934</v>
      </c>
      <c r="J415" s="138">
        <v>820425</v>
      </c>
      <c r="K415" s="138"/>
      <c r="L415" s="93">
        <f t="shared" si="86"/>
        <v>7335447</v>
      </c>
      <c r="M415" s="94"/>
      <c r="N415" s="94">
        <f t="shared" si="87"/>
        <v>0.77340964027600845</v>
      </c>
      <c r="O415" s="94" t="s">
        <v>108</v>
      </c>
      <c r="P415" s="94">
        <f t="shared" si="81"/>
        <v>0.33556120533315009</v>
      </c>
      <c r="Q415" s="94">
        <f t="shared" si="88"/>
        <v>7.6034934225854681E-2</v>
      </c>
      <c r="R415" s="117" t="str">
        <f t="shared" si="89"/>
        <v>SI</v>
      </c>
      <c r="S415" s="117" t="str">
        <f t="shared" si="90"/>
        <v>NO</v>
      </c>
      <c r="T415" s="117" t="str">
        <f t="shared" si="82"/>
        <v>SI</v>
      </c>
      <c r="U415" s="117" t="str">
        <f t="shared" si="83"/>
        <v>SI</v>
      </c>
      <c r="V415" s="117" t="str">
        <f t="shared" si="84"/>
        <v>SI</v>
      </c>
      <c r="W415" s="117" t="str">
        <f t="shared" si="85"/>
        <v>NO</v>
      </c>
      <c r="X415" s="132" t="b">
        <f t="shared" si="91"/>
        <v>0</v>
      </c>
    </row>
    <row r="416" spans="1:24" s="2" customFormat="1" ht="12" x14ac:dyDescent="0.15">
      <c r="A416" s="125" t="s">
        <v>87</v>
      </c>
      <c r="B416" s="139">
        <v>901250883</v>
      </c>
      <c r="C416" s="137" t="s">
        <v>515</v>
      </c>
      <c r="D416" s="137" t="s">
        <v>531</v>
      </c>
      <c r="E416" s="138">
        <v>76321437</v>
      </c>
      <c r="F416" s="138">
        <v>76336953</v>
      </c>
      <c r="G416" s="138">
        <v>62392277</v>
      </c>
      <c r="H416" s="138">
        <v>62417614</v>
      </c>
      <c r="I416" s="138">
        <v>13919339</v>
      </c>
      <c r="J416" s="138">
        <v>3076852</v>
      </c>
      <c r="K416" s="138"/>
      <c r="L416" s="93">
        <f t="shared" si="86"/>
        <v>13929160</v>
      </c>
      <c r="M416" s="94">
        <f t="shared" si="92"/>
        <v>1.2232513488808878</v>
      </c>
      <c r="N416" s="94">
        <f t="shared" si="87"/>
        <v>0.81765922724214579</v>
      </c>
      <c r="O416" s="94" t="s">
        <v>108</v>
      </c>
      <c r="P416" s="94">
        <f t="shared" si="81"/>
        <v>0.22104871502878118</v>
      </c>
      <c r="Q416" s="94">
        <f t="shared" si="88"/>
        <v>4.0306193515478671E-2</v>
      </c>
      <c r="R416" s="117" t="str">
        <f t="shared" si="89"/>
        <v>SI</v>
      </c>
      <c r="S416" s="117" t="str">
        <f t="shared" si="90"/>
        <v>NO</v>
      </c>
      <c r="T416" s="117" t="str">
        <f t="shared" si="82"/>
        <v>SI</v>
      </c>
      <c r="U416" s="117" t="str">
        <f t="shared" si="83"/>
        <v>SI</v>
      </c>
      <c r="V416" s="117" t="str">
        <f t="shared" si="84"/>
        <v>SI</v>
      </c>
      <c r="W416" s="117" t="str">
        <f t="shared" si="85"/>
        <v>NO</v>
      </c>
      <c r="X416" s="132" t="b">
        <f t="shared" si="91"/>
        <v>0</v>
      </c>
    </row>
    <row r="417" spans="1:24" s="2" customFormat="1" ht="12" x14ac:dyDescent="0.15">
      <c r="A417" s="125" t="s">
        <v>87</v>
      </c>
      <c r="B417" s="139">
        <v>901298972</v>
      </c>
      <c r="C417" s="137" t="s">
        <v>516</v>
      </c>
      <c r="D417" s="137" t="s">
        <v>531</v>
      </c>
      <c r="E417" s="138">
        <v>25820716</v>
      </c>
      <c r="F417" s="138">
        <v>123859421</v>
      </c>
      <c r="G417" s="138">
        <v>28619857</v>
      </c>
      <c r="H417" s="138">
        <v>100911673</v>
      </c>
      <c r="I417" s="138">
        <v>22947748</v>
      </c>
      <c r="J417" s="138">
        <v>11655127</v>
      </c>
      <c r="K417" s="138">
        <v>11638148</v>
      </c>
      <c r="L417" s="93">
        <f t="shared" si="86"/>
        <v>-2799141</v>
      </c>
      <c r="M417" s="94">
        <f t="shared" si="92"/>
        <v>0.90219584255784369</v>
      </c>
      <c r="N417" s="94">
        <f t="shared" si="87"/>
        <v>0.81472747236562648</v>
      </c>
      <c r="O417" s="94">
        <f t="shared" si="80"/>
        <v>1.001458909097908</v>
      </c>
      <c r="P417" s="94">
        <f t="shared" si="81"/>
        <v>0.50789850925676894</v>
      </c>
      <c r="Q417" s="94">
        <f t="shared" si="88"/>
        <v>9.4099640591731815E-2</v>
      </c>
      <c r="R417" s="117" t="str">
        <f t="shared" si="89"/>
        <v>NO</v>
      </c>
      <c r="S417" s="117" t="str">
        <f t="shared" si="90"/>
        <v>NO</v>
      </c>
      <c r="T417" s="117" t="str">
        <f t="shared" si="82"/>
        <v>SI</v>
      </c>
      <c r="U417" s="117" t="str">
        <f t="shared" si="83"/>
        <v>NO</v>
      </c>
      <c r="V417" s="117" t="str">
        <f t="shared" si="84"/>
        <v>SI</v>
      </c>
      <c r="W417" s="117" t="str">
        <f t="shared" si="85"/>
        <v>SI</v>
      </c>
      <c r="X417" s="132" t="b">
        <f t="shared" si="91"/>
        <v>0</v>
      </c>
    </row>
    <row r="418" spans="1:24" s="2" customFormat="1" ht="12" x14ac:dyDescent="0.15">
      <c r="A418" s="125" t="s">
        <v>87</v>
      </c>
      <c r="B418" s="139">
        <v>901299408</v>
      </c>
      <c r="C418" s="137" t="s">
        <v>517</v>
      </c>
      <c r="D418" s="137" t="s">
        <v>531</v>
      </c>
      <c r="E418" s="138">
        <v>31497703</v>
      </c>
      <c r="F418" s="138">
        <v>49786159</v>
      </c>
      <c r="G418" s="138">
        <v>7780002</v>
      </c>
      <c r="H418" s="138">
        <v>34837005</v>
      </c>
      <c r="I418" s="138">
        <v>14949154</v>
      </c>
      <c r="J418" s="138">
        <v>11217</v>
      </c>
      <c r="K418" s="138">
        <v>215189</v>
      </c>
      <c r="L418" s="93">
        <f t="shared" si="86"/>
        <v>23717701</v>
      </c>
      <c r="M418" s="94"/>
      <c r="N418" s="94">
        <f t="shared" si="87"/>
        <v>0.69973273093833166</v>
      </c>
      <c r="O418" s="94">
        <f t="shared" si="80"/>
        <v>5.2126270394862194E-2</v>
      </c>
      <c r="P418" s="94">
        <f t="shared" si="81"/>
        <v>7.5034346425222455E-4</v>
      </c>
      <c r="Q418" s="94">
        <f t="shared" si="88"/>
        <v>2.2530358286928704E-4</v>
      </c>
      <c r="R418" s="117" t="str">
        <f t="shared" si="89"/>
        <v>SI</v>
      </c>
      <c r="S418" s="117" t="str">
        <f t="shared" si="90"/>
        <v>NO</v>
      </c>
      <c r="T418" s="117" t="str">
        <f t="shared" si="82"/>
        <v>SI</v>
      </c>
      <c r="U418" s="117" t="str">
        <f t="shared" si="83"/>
        <v>NO</v>
      </c>
      <c r="V418" s="117" t="str">
        <f t="shared" si="84"/>
        <v>NO</v>
      </c>
      <c r="W418" s="117" t="str">
        <f t="shared" si="85"/>
        <v>NO</v>
      </c>
      <c r="X418" s="132" t="b">
        <f t="shared" si="91"/>
        <v>0</v>
      </c>
    </row>
    <row r="419" spans="1:24" s="2" customFormat="1" ht="12" x14ac:dyDescent="0.15">
      <c r="A419" s="125" t="s">
        <v>87</v>
      </c>
      <c r="B419" s="139">
        <v>901484824</v>
      </c>
      <c r="C419" s="137" t="s">
        <v>518</v>
      </c>
      <c r="D419" s="137" t="s">
        <v>531</v>
      </c>
      <c r="E419" s="138">
        <v>53549382</v>
      </c>
      <c r="F419" s="138">
        <v>55166974</v>
      </c>
      <c r="G419" s="138">
        <v>3042047</v>
      </c>
      <c r="H419" s="138">
        <v>49957664</v>
      </c>
      <c r="I419" s="138">
        <v>5209310</v>
      </c>
      <c r="J419" s="138">
        <v>-454118</v>
      </c>
      <c r="K419" s="138">
        <v>6046230</v>
      </c>
      <c r="L419" s="93">
        <f t="shared" si="86"/>
        <v>50507335</v>
      </c>
      <c r="M419" s="94"/>
      <c r="N419" s="94">
        <f t="shared" si="87"/>
        <v>0.90557194599798063</v>
      </c>
      <c r="O419" s="94"/>
      <c r="P419" s="94">
        <f t="shared" si="81"/>
        <v>-8.7174309073562523E-2</v>
      </c>
      <c r="Q419" s="94">
        <f t="shared" si="88"/>
        <v>-8.2317003647870909E-3</v>
      </c>
      <c r="R419" s="117" t="str">
        <f t="shared" si="89"/>
        <v>SI</v>
      </c>
      <c r="S419" s="117" t="str">
        <f t="shared" si="90"/>
        <v>NO</v>
      </c>
      <c r="T419" s="117" t="str">
        <f t="shared" si="82"/>
        <v>SI</v>
      </c>
      <c r="U419" s="117" t="str">
        <f t="shared" si="83"/>
        <v>NO</v>
      </c>
      <c r="V419" s="117" t="str">
        <f t="shared" si="84"/>
        <v>NO</v>
      </c>
      <c r="W419" s="117" t="str">
        <f t="shared" si="85"/>
        <v>NO</v>
      </c>
      <c r="X419" s="132" t="b">
        <f t="shared" si="91"/>
        <v>0</v>
      </c>
    </row>
    <row r="420" spans="1:24" s="2" customFormat="1" ht="12" x14ac:dyDescent="0.15">
      <c r="A420" s="125" t="s">
        <v>87</v>
      </c>
      <c r="B420" s="139">
        <v>901528053</v>
      </c>
      <c r="C420" s="137" t="s">
        <v>519</v>
      </c>
      <c r="D420" s="137" t="s">
        <v>531</v>
      </c>
      <c r="E420" s="138">
        <v>11379656</v>
      </c>
      <c r="F420" s="138">
        <v>16081563</v>
      </c>
      <c r="G420" s="138">
        <v>1801270</v>
      </c>
      <c r="H420" s="138">
        <v>18459254</v>
      </c>
      <c r="I420" s="138">
        <v>-2377691</v>
      </c>
      <c r="J420" s="138">
        <v>-1983094</v>
      </c>
      <c r="K420" s="138">
        <v>2657979</v>
      </c>
      <c r="L420" s="93">
        <f t="shared" si="86"/>
        <v>9578386</v>
      </c>
      <c r="M420" s="94">
        <f t="shared" si="92"/>
        <v>6.317573711881062</v>
      </c>
      <c r="N420" s="94">
        <f t="shared" si="87"/>
        <v>1.1478519842878456</v>
      </c>
      <c r="O420" s="94"/>
      <c r="P420" s="94">
        <f t="shared" si="81"/>
        <v>0.83404193396030013</v>
      </c>
      <c r="Q420" s="94">
        <f t="shared" si="88"/>
        <v>-0.12331475491530269</v>
      </c>
      <c r="R420" s="117" t="str">
        <f t="shared" si="89"/>
        <v>SI</v>
      </c>
      <c r="S420" s="117" t="str">
        <f t="shared" si="90"/>
        <v>SI</v>
      </c>
      <c r="T420" s="117" t="str">
        <f t="shared" si="82"/>
        <v>NO</v>
      </c>
      <c r="U420" s="117" t="str">
        <f t="shared" si="83"/>
        <v>NO</v>
      </c>
      <c r="V420" s="117" t="str">
        <f t="shared" si="84"/>
        <v>SI</v>
      </c>
      <c r="W420" s="117" t="str">
        <f t="shared" si="85"/>
        <v>NO</v>
      </c>
      <c r="X420" s="132" t="b">
        <f t="shared" si="91"/>
        <v>0</v>
      </c>
    </row>
    <row r="421" spans="1:24" s="2" customFormat="1" ht="12" x14ac:dyDescent="0.15">
      <c r="A421" s="125" t="s">
        <v>87</v>
      </c>
      <c r="B421" s="139">
        <v>800052699</v>
      </c>
      <c r="C421" s="137" t="s">
        <v>520</v>
      </c>
      <c r="D421" s="137" t="s">
        <v>531</v>
      </c>
      <c r="E421" s="138">
        <v>1957460</v>
      </c>
      <c r="F421" s="138">
        <v>52193607</v>
      </c>
      <c r="G421" s="138">
        <v>3062384</v>
      </c>
      <c r="H421" s="138">
        <v>26432637</v>
      </c>
      <c r="I421" s="138">
        <v>25760970</v>
      </c>
      <c r="J421" s="138">
        <v>-239042</v>
      </c>
      <c r="K421" s="138">
        <v>857640</v>
      </c>
      <c r="L421" s="93">
        <f t="shared" si="86"/>
        <v>-1104924</v>
      </c>
      <c r="M421" s="94">
        <f t="shared" si="92"/>
        <v>0.63919482337943245</v>
      </c>
      <c r="N421" s="94">
        <f t="shared" si="87"/>
        <v>0.50643437998067464</v>
      </c>
      <c r="O421" s="94"/>
      <c r="P421" s="94">
        <f t="shared" si="81"/>
        <v>-9.2792313332921861E-3</v>
      </c>
      <c r="Q421" s="94">
        <f t="shared" si="88"/>
        <v>-4.5799095663191089E-3</v>
      </c>
      <c r="R421" s="117" t="str">
        <f t="shared" si="89"/>
        <v>NO</v>
      </c>
      <c r="S421" s="117" t="str">
        <f t="shared" si="90"/>
        <v>NO</v>
      </c>
      <c r="T421" s="117" t="str">
        <f t="shared" si="82"/>
        <v>SI</v>
      </c>
      <c r="U421" s="117" t="str">
        <f t="shared" si="83"/>
        <v>NO</v>
      </c>
      <c r="V421" s="117" t="str">
        <f t="shared" si="84"/>
        <v>NO</v>
      </c>
      <c r="W421" s="117" t="str">
        <f t="shared" si="85"/>
        <v>NO</v>
      </c>
      <c r="X421" s="132" t="b">
        <f t="shared" si="91"/>
        <v>0</v>
      </c>
    </row>
    <row r="422" spans="1:24" s="2" customFormat="1" ht="12" x14ac:dyDescent="0.15">
      <c r="A422" s="125" t="s">
        <v>87</v>
      </c>
      <c r="B422" s="139">
        <v>800121151</v>
      </c>
      <c r="C422" s="137" t="s">
        <v>521</v>
      </c>
      <c r="D422" s="137" t="s">
        <v>531</v>
      </c>
      <c r="E422" s="138">
        <v>40292039</v>
      </c>
      <c r="F422" s="138">
        <v>45135010</v>
      </c>
      <c r="G422" s="138">
        <v>18662257</v>
      </c>
      <c r="H422" s="138">
        <v>19632064</v>
      </c>
      <c r="I422" s="138">
        <v>25502946</v>
      </c>
      <c r="J422" s="138">
        <v>17602827</v>
      </c>
      <c r="K422" s="138">
        <v>4787739</v>
      </c>
      <c r="L422" s="93">
        <f t="shared" si="86"/>
        <v>21629782</v>
      </c>
      <c r="M422" s="94"/>
      <c r="N422" s="94">
        <f t="shared" si="87"/>
        <v>0.43496310292165663</v>
      </c>
      <c r="O422" s="94"/>
      <c r="P422" s="94">
        <f t="shared" si="81"/>
        <v>0.69022719963411283</v>
      </c>
      <c r="Q422" s="94">
        <f t="shared" si="88"/>
        <v>0.39000383516033343</v>
      </c>
      <c r="R422" s="117" t="str">
        <f t="shared" si="89"/>
        <v>SI</v>
      </c>
      <c r="S422" s="117" t="str">
        <f t="shared" si="90"/>
        <v>NO</v>
      </c>
      <c r="T422" s="117" t="str">
        <f t="shared" si="82"/>
        <v>SI</v>
      </c>
      <c r="U422" s="117" t="str">
        <f t="shared" si="83"/>
        <v>NO</v>
      </c>
      <c r="V422" s="117" t="str">
        <f t="shared" si="84"/>
        <v>SI</v>
      </c>
      <c r="W422" s="117" t="str">
        <f t="shared" si="85"/>
        <v>SI</v>
      </c>
      <c r="X422" s="132" t="b">
        <f t="shared" si="91"/>
        <v>0</v>
      </c>
    </row>
    <row r="423" spans="1:24" s="2" customFormat="1" ht="12" x14ac:dyDescent="0.15">
      <c r="A423" s="125" t="s">
        <v>87</v>
      </c>
      <c r="B423" s="139">
        <v>824003252</v>
      </c>
      <c r="C423" s="137" t="s">
        <v>522</v>
      </c>
      <c r="D423" s="137" t="s">
        <v>531</v>
      </c>
      <c r="E423" s="138">
        <v>1304390</v>
      </c>
      <c r="F423" s="138">
        <v>3124266</v>
      </c>
      <c r="G423" s="138">
        <v>256036</v>
      </c>
      <c r="H423" s="138">
        <v>2421078</v>
      </c>
      <c r="I423" s="138">
        <v>703188</v>
      </c>
      <c r="J423" s="138">
        <v>-190591</v>
      </c>
      <c r="K423" s="138">
        <v>18630</v>
      </c>
      <c r="L423" s="93">
        <f t="shared" si="86"/>
        <v>1048354</v>
      </c>
      <c r="M423" s="94"/>
      <c r="N423" s="94">
        <f t="shared" si="87"/>
        <v>0.77492697484785222</v>
      </c>
      <c r="O423" s="94"/>
      <c r="P423" s="94">
        <f t="shared" si="81"/>
        <v>-0.27103847050859797</v>
      </c>
      <c r="Q423" s="94">
        <f t="shared" si="88"/>
        <v>-6.1003448489981328E-2</v>
      </c>
      <c r="R423" s="117" t="str">
        <f t="shared" si="89"/>
        <v>SI</v>
      </c>
      <c r="S423" s="117" t="str">
        <f t="shared" si="90"/>
        <v>NO</v>
      </c>
      <c r="T423" s="117" t="str">
        <f t="shared" si="82"/>
        <v>SI</v>
      </c>
      <c r="U423" s="117" t="str">
        <f t="shared" si="83"/>
        <v>NO</v>
      </c>
      <c r="V423" s="117" t="str">
        <f t="shared" si="84"/>
        <v>NO</v>
      </c>
      <c r="W423" s="117" t="str">
        <f t="shared" si="85"/>
        <v>NO</v>
      </c>
      <c r="X423" s="132" t="b">
        <f t="shared" si="91"/>
        <v>0</v>
      </c>
    </row>
    <row r="424" spans="1:24" s="2" customFormat="1" ht="12" x14ac:dyDescent="0.15">
      <c r="A424" s="125" t="s">
        <v>87</v>
      </c>
      <c r="B424" s="139">
        <v>830021108</v>
      </c>
      <c r="C424" s="137" t="s">
        <v>523</v>
      </c>
      <c r="D424" s="137" t="s">
        <v>531</v>
      </c>
      <c r="E424" s="138">
        <v>8969264</v>
      </c>
      <c r="F424" s="138">
        <v>14295705</v>
      </c>
      <c r="G424" s="138">
        <v>2827249</v>
      </c>
      <c r="H424" s="138">
        <v>4722761</v>
      </c>
      <c r="I424" s="138">
        <v>9572944</v>
      </c>
      <c r="J424" s="138">
        <v>1206019</v>
      </c>
      <c r="K424" s="138">
        <v>782519</v>
      </c>
      <c r="L424" s="93">
        <f t="shared" si="86"/>
        <v>6142015</v>
      </c>
      <c r="M424" s="94">
        <f t="shared" si="92"/>
        <v>3.1724351127191133</v>
      </c>
      <c r="N424" s="94">
        <f t="shared" si="87"/>
        <v>0.33036223117362873</v>
      </c>
      <c r="O424" s="94">
        <f t="shared" si="80"/>
        <v>1.5412009165272664</v>
      </c>
      <c r="P424" s="94">
        <f t="shared" si="81"/>
        <v>0.12598203854530018</v>
      </c>
      <c r="Q424" s="94">
        <f t="shared" si="88"/>
        <v>8.4362331203672716E-2</v>
      </c>
      <c r="R424" s="117" t="str">
        <f t="shared" si="89"/>
        <v>SI</v>
      </c>
      <c r="S424" s="117" t="str">
        <f t="shared" si="90"/>
        <v>SI</v>
      </c>
      <c r="T424" s="117" t="str">
        <f t="shared" si="82"/>
        <v>SI</v>
      </c>
      <c r="U424" s="117" t="str">
        <f t="shared" si="83"/>
        <v>SI</v>
      </c>
      <c r="V424" s="117" t="str">
        <f t="shared" si="84"/>
        <v>NO</v>
      </c>
      <c r="W424" s="117" t="str">
        <f t="shared" si="85"/>
        <v>NO</v>
      </c>
      <c r="X424" s="132" t="b">
        <f t="shared" si="91"/>
        <v>0</v>
      </c>
    </row>
    <row r="425" spans="1:24" s="2" customFormat="1" ht="12" x14ac:dyDescent="0.15">
      <c r="A425" s="125" t="s">
        <v>87</v>
      </c>
      <c r="B425" s="139">
        <v>830089480</v>
      </c>
      <c r="C425" s="137" t="s">
        <v>524</v>
      </c>
      <c r="D425" s="137" t="s">
        <v>531</v>
      </c>
      <c r="E425" s="138">
        <v>5738332</v>
      </c>
      <c r="F425" s="138">
        <v>20573220</v>
      </c>
      <c r="G425" s="138">
        <v>2852676</v>
      </c>
      <c r="H425" s="138">
        <v>2880666</v>
      </c>
      <c r="I425" s="138">
        <v>17692554</v>
      </c>
      <c r="J425" s="138">
        <v>1386684</v>
      </c>
      <c r="K425" s="138">
        <v>190216</v>
      </c>
      <c r="L425" s="93">
        <f t="shared" si="86"/>
        <v>2885656</v>
      </c>
      <c r="M425" s="94">
        <f t="shared" si="92"/>
        <v>2.0115610745840047</v>
      </c>
      <c r="N425" s="94">
        <f t="shared" si="87"/>
        <v>0.14002018157585444</v>
      </c>
      <c r="O425" s="94"/>
      <c r="P425" s="94">
        <f t="shared" si="81"/>
        <v>7.837670016437423E-2</v>
      </c>
      <c r="Q425" s="94">
        <f t="shared" si="88"/>
        <v>6.7402380376042251E-2</v>
      </c>
      <c r="R425" s="117" t="str">
        <f t="shared" si="89"/>
        <v>SI</v>
      </c>
      <c r="S425" s="117" t="str">
        <f t="shared" si="90"/>
        <v>SI</v>
      </c>
      <c r="T425" s="117" t="str">
        <f t="shared" si="82"/>
        <v>SI</v>
      </c>
      <c r="U425" s="117" t="str">
        <f t="shared" si="83"/>
        <v>NO</v>
      </c>
      <c r="V425" s="117" t="str">
        <f t="shared" si="84"/>
        <v>NO</v>
      </c>
      <c r="W425" s="117" t="str">
        <f t="shared" si="85"/>
        <v>NO</v>
      </c>
      <c r="X425" s="132" t="b">
        <f t="shared" si="91"/>
        <v>0</v>
      </c>
    </row>
    <row r="426" spans="1:24" s="2" customFormat="1" ht="12" x14ac:dyDescent="0.15">
      <c r="A426" s="125" t="s">
        <v>87</v>
      </c>
      <c r="B426" s="139">
        <v>832003079</v>
      </c>
      <c r="C426" s="137" t="s">
        <v>525</v>
      </c>
      <c r="D426" s="137" t="s">
        <v>531</v>
      </c>
      <c r="E426" s="138">
        <v>18912185</v>
      </c>
      <c r="F426" s="138">
        <v>22747772</v>
      </c>
      <c r="G426" s="138">
        <v>11267134</v>
      </c>
      <c r="H426" s="138">
        <v>12163744</v>
      </c>
      <c r="I426" s="138">
        <v>10584028</v>
      </c>
      <c r="J426" s="138">
        <v>4612150</v>
      </c>
      <c r="K426" s="138">
        <v>96926</v>
      </c>
      <c r="L426" s="93">
        <f t="shared" si="86"/>
        <v>7645051</v>
      </c>
      <c r="M426" s="94">
        <f t="shared" si="92"/>
        <v>1.6785266776804111</v>
      </c>
      <c r="N426" s="94">
        <f t="shared" si="87"/>
        <v>0.53472243347612236</v>
      </c>
      <c r="O426" s="94"/>
      <c r="P426" s="94">
        <f t="shared" si="81"/>
        <v>0.43576509812710246</v>
      </c>
      <c r="Q426" s="94">
        <f t="shared" si="88"/>
        <v>0.20275172443261696</v>
      </c>
      <c r="R426" s="117" t="str">
        <f t="shared" si="89"/>
        <v>SI</v>
      </c>
      <c r="S426" s="117" t="str">
        <f t="shared" si="90"/>
        <v>NO</v>
      </c>
      <c r="T426" s="117" t="str">
        <f t="shared" si="82"/>
        <v>SI</v>
      </c>
      <c r="U426" s="117" t="str">
        <f t="shared" si="83"/>
        <v>NO</v>
      </c>
      <c r="V426" s="117" t="str">
        <f t="shared" si="84"/>
        <v>SI</v>
      </c>
      <c r="W426" s="117" t="str">
        <f t="shared" si="85"/>
        <v>SI</v>
      </c>
      <c r="X426" s="132" t="b">
        <f t="shared" si="91"/>
        <v>0</v>
      </c>
    </row>
    <row r="427" spans="1:24" s="2" customFormat="1" ht="12" x14ac:dyDescent="0.15">
      <c r="A427" s="125" t="s">
        <v>87</v>
      </c>
      <c r="B427" s="139">
        <v>860511107</v>
      </c>
      <c r="C427" s="137" t="s">
        <v>526</v>
      </c>
      <c r="D427" s="137" t="s">
        <v>531</v>
      </c>
      <c r="E427" s="138">
        <v>8802805</v>
      </c>
      <c r="F427" s="138">
        <v>9175614</v>
      </c>
      <c r="G427" s="138">
        <v>3770958</v>
      </c>
      <c r="H427" s="138">
        <v>5017861</v>
      </c>
      <c r="I427" s="138">
        <v>4157753</v>
      </c>
      <c r="J427" s="138">
        <v>1694646</v>
      </c>
      <c r="K427" s="138">
        <v>864531</v>
      </c>
      <c r="L427" s="93">
        <f t="shared" si="86"/>
        <v>5031847</v>
      </c>
      <c r="M427" s="94">
        <f t="shared" si="92"/>
        <v>2.3343683488386771</v>
      </c>
      <c r="N427" s="94">
        <f t="shared" si="87"/>
        <v>0.54686923403709009</v>
      </c>
      <c r="O427" s="94">
        <f t="shared" si="80"/>
        <v>1.9601911325331307</v>
      </c>
      <c r="P427" s="94">
        <f>J427/I427</f>
        <v>0.40758698268030835</v>
      </c>
      <c r="Q427" s="94">
        <f t="shared" si="88"/>
        <v>0.18469020165843941</v>
      </c>
      <c r="R427" s="117" t="str">
        <f t="shared" si="89"/>
        <v>SI</v>
      </c>
      <c r="S427" s="117" t="str">
        <f t="shared" si="90"/>
        <v>SI</v>
      </c>
      <c r="T427" s="117" t="str">
        <f t="shared" si="82"/>
        <v>SI</v>
      </c>
      <c r="U427" s="117" t="str">
        <f t="shared" si="83"/>
        <v>SI</v>
      </c>
      <c r="V427" s="117" t="str">
        <f t="shared" si="84"/>
        <v>SI</v>
      </c>
      <c r="W427" s="117" t="str">
        <f t="shared" si="85"/>
        <v>SI</v>
      </c>
      <c r="X427" s="132" t="str">
        <f t="shared" si="91"/>
        <v>SI</v>
      </c>
    </row>
    <row r="428" spans="1:24" s="2" customFormat="1" ht="12" x14ac:dyDescent="0.15">
      <c r="A428" s="125" t="s">
        <v>87</v>
      </c>
      <c r="B428" s="139">
        <v>900031030</v>
      </c>
      <c r="C428" s="137" t="s">
        <v>527</v>
      </c>
      <c r="D428" s="137" t="s">
        <v>531</v>
      </c>
      <c r="E428" s="138">
        <v>14991117</v>
      </c>
      <c r="F428" s="138">
        <v>24779608</v>
      </c>
      <c r="G428" s="138">
        <v>4139548</v>
      </c>
      <c r="H428" s="138">
        <v>17379681</v>
      </c>
      <c r="I428" s="138">
        <v>7399927</v>
      </c>
      <c r="J428" s="138">
        <v>4611649</v>
      </c>
      <c r="K428" s="138">
        <v>3557163</v>
      </c>
      <c r="L428" s="93">
        <f t="shared" si="86"/>
        <v>10851569</v>
      </c>
      <c r="M428" s="94"/>
      <c r="N428" s="94">
        <f t="shared" si="87"/>
        <v>0.70137029609185098</v>
      </c>
      <c r="O428" s="94">
        <f t="shared" si="80"/>
        <v>1.296440168752458</v>
      </c>
      <c r="P428" s="94">
        <f>J428/I428</f>
        <v>0.62320195861391603</v>
      </c>
      <c r="Q428" s="94">
        <f t="shared" si="88"/>
        <v>0.18610661637585227</v>
      </c>
      <c r="R428" s="117" t="str">
        <f t="shared" si="89"/>
        <v>SI</v>
      </c>
      <c r="S428" s="117" t="str">
        <f t="shared" si="90"/>
        <v>NO</v>
      </c>
      <c r="T428" s="117" t="str">
        <f t="shared" si="82"/>
        <v>SI</v>
      </c>
      <c r="U428" s="117" t="str">
        <f t="shared" si="83"/>
        <v>SI</v>
      </c>
      <c r="V428" s="117" t="str">
        <f t="shared" si="84"/>
        <v>SI</v>
      </c>
      <c r="W428" s="117" t="str">
        <f t="shared" si="85"/>
        <v>SI</v>
      </c>
      <c r="X428" s="132" t="b">
        <f t="shared" si="91"/>
        <v>0</v>
      </c>
    </row>
    <row r="429" spans="1:24" s="2" customFormat="1" ht="12" x14ac:dyDescent="0.15">
      <c r="A429" s="125" t="s">
        <v>87</v>
      </c>
      <c r="B429" s="139">
        <v>900504374</v>
      </c>
      <c r="C429" s="137" t="s">
        <v>528</v>
      </c>
      <c r="D429" s="137" t="s">
        <v>531</v>
      </c>
      <c r="E429" s="138">
        <v>11716713</v>
      </c>
      <c r="F429" s="138">
        <v>14174729</v>
      </c>
      <c r="G429" s="138">
        <v>9043038</v>
      </c>
      <c r="H429" s="138">
        <v>9098908</v>
      </c>
      <c r="I429" s="138">
        <v>5075821</v>
      </c>
      <c r="J429" s="138">
        <v>961259</v>
      </c>
      <c r="K429" s="138">
        <v>725892</v>
      </c>
      <c r="L429" s="93">
        <f t="shared" si="86"/>
        <v>2673675</v>
      </c>
      <c r="M429" s="94">
        <f t="shared" si="92"/>
        <v>1.2956611483884066</v>
      </c>
      <c r="N429" s="94">
        <f t="shared" si="87"/>
        <v>0.64191054375713286</v>
      </c>
      <c r="O429" s="94">
        <f>J429/K429</f>
        <v>1.3242452045207826</v>
      </c>
      <c r="P429" s="94">
        <f>J429/I429</f>
        <v>0.18938000374717706</v>
      </c>
      <c r="Q429" s="94">
        <f t="shared" si="88"/>
        <v>6.7814982565098769E-2</v>
      </c>
      <c r="R429" s="117" t="str">
        <f t="shared" si="89"/>
        <v>SI</v>
      </c>
      <c r="S429" s="117" t="str">
        <f t="shared" si="90"/>
        <v>NO</v>
      </c>
      <c r="T429" s="117" t="str">
        <f t="shared" si="82"/>
        <v>SI</v>
      </c>
      <c r="U429" s="117" t="str">
        <f t="shared" si="83"/>
        <v>SI</v>
      </c>
      <c r="V429" s="117" t="str">
        <f t="shared" si="84"/>
        <v>SI</v>
      </c>
      <c r="W429" s="117" t="str">
        <f t="shared" si="85"/>
        <v>NO</v>
      </c>
      <c r="X429" s="132" t="b">
        <f t="shared" si="91"/>
        <v>0</v>
      </c>
    </row>
    <row r="430" spans="1:24" s="2" customFormat="1" ht="16.5" customHeight="1" x14ac:dyDescent="0.2">
      <c r="A430" s="128" t="s">
        <v>93</v>
      </c>
      <c r="B430" s="129">
        <f>+COUNT(B16:B429)</f>
        <v>414</v>
      </c>
      <c r="C430" s="99"/>
      <c r="D430" s="90"/>
      <c r="E430" s="92"/>
      <c r="F430" s="92"/>
      <c r="G430" s="92"/>
      <c r="H430" s="92"/>
      <c r="I430" s="92"/>
      <c r="J430" s="92"/>
      <c r="K430" s="92"/>
      <c r="L430" s="92"/>
      <c r="M430" s="91"/>
      <c r="N430" s="91"/>
      <c r="O430" s="91"/>
      <c r="P430" s="91"/>
      <c r="Q430" s="91"/>
      <c r="R430" s="130">
        <f t="shared" ref="R430:X430" si="93">+COUNTIF(R16:R429,"SI")</f>
        <v>395</v>
      </c>
      <c r="S430" s="130">
        <f t="shared" si="93"/>
        <v>148</v>
      </c>
      <c r="T430" s="130">
        <f t="shared" si="93"/>
        <v>404</v>
      </c>
      <c r="U430" s="130">
        <f t="shared" si="93"/>
        <v>211</v>
      </c>
      <c r="V430" s="130">
        <f t="shared" si="93"/>
        <v>208</v>
      </c>
      <c r="W430" s="130">
        <f t="shared" si="93"/>
        <v>202</v>
      </c>
      <c r="X430" s="131">
        <f t="shared" si="93"/>
        <v>32</v>
      </c>
    </row>
    <row r="431" spans="1:24" s="2" customFormat="1" ht="16.5" customHeight="1" x14ac:dyDescent="0.2">
      <c r="A431" s="90"/>
      <c r="B431" s="91"/>
      <c r="C431" s="99"/>
      <c r="D431" s="90"/>
      <c r="E431" s="92"/>
      <c r="F431" s="92"/>
      <c r="G431" s="92"/>
      <c r="H431" s="92"/>
      <c r="I431" s="92"/>
      <c r="J431" s="92"/>
      <c r="K431" s="92"/>
      <c r="L431" s="92"/>
      <c r="M431" s="91"/>
      <c r="N431" s="91"/>
      <c r="O431" s="91"/>
      <c r="P431" s="91"/>
      <c r="Q431" s="91"/>
      <c r="R431" s="111"/>
      <c r="S431" s="114"/>
      <c r="T431" s="114"/>
      <c r="U431" s="114"/>
      <c r="V431" s="114"/>
      <c r="W431" s="114"/>
      <c r="X431" s="114"/>
    </row>
    <row r="432" spans="1:24" s="2" customFormat="1" ht="16.5" hidden="1" customHeight="1" x14ac:dyDescent="0.2">
      <c r="A432" s="90"/>
      <c r="B432" s="91"/>
      <c r="C432" s="99"/>
      <c r="D432" s="90"/>
      <c r="E432" s="92"/>
      <c r="F432" s="92"/>
      <c r="G432" s="92"/>
      <c r="H432" s="92"/>
      <c r="I432" s="92"/>
      <c r="J432" s="92"/>
      <c r="K432" s="92"/>
      <c r="L432" s="92"/>
      <c r="M432" s="91"/>
      <c r="N432" s="91"/>
      <c r="O432" s="91"/>
      <c r="P432" s="91"/>
      <c r="Q432" s="91"/>
      <c r="R432" s="111"/>
      <c r="S432" s="114"/>
      <c r="T432" s="114"/>
      <c r="U432" s="114"/>
      <c r="V432" s="114"/>
      <c r="W432" s="114"/>
      <c r="X432" s="114"/>
    </row>
    <row r="433" spans="2:25" hidden="1" x14ac:dyDescent="0.15">
      <c r="B433" s="18"/>
      <c r="C433" s="100"/>
      <c r="D433" s="18"/>
      <c r="E433" s="19"/>
      <c r="F433" s="19"/>
      <c r="G433" s="20"/>
      <c r="H433" s="19"/>
      <c r="M433" s="21"/>
      <c r="N433" s="22"/>
      <c r="O433" s="22"/>
      <c r="P433" s="23"/>
      <c r="Q433" s="21"/>
      <c r="R433" s="24"/>
      <c r="S433" s="25"/>
      <c r="T433" s="26"/>
      <c r="U433" s="26"/>
      <c r="V433" s="25"/>
      <c r="W433" s="26"/>
      <c r="X433" s="24"/>
      <c r="Y433" s="25"/>
    </row>
    <row r="434" spans="2:25" s="33" customFormat="1" ht="25.5" hidden="1" customHeight="1" x14ac:dyDescent="0.2">
      <c r="B434" s="169" t="s">
        <v>61</v>
      </c>
      <c r="C434" s="169"/>
      <c r="D434" s="169"/>
      <c r="E434" s="169"/>
      <c r="F434" s="169"/>
      <c r="G434" s="169"/>
      <c r="H434" s="169"/>
      <c r="I434" s="169"/>
      <c r="J434" s="169"/>
      <c r="K434" s="169"/>
      <c r="L434" s="34"/>
      <c r="M434" s="35"/>
      <c r="N434" s="36"/>
      <c r="O434" s="36"/>
      <c r="P434" s="37"/>
      <c r="Q434" s="35"/>
      <c r="R434" s="38"/>
      <c r="S434" s="39"/>
      <c r="T434" s="40"/>
      <c r="U434" s="40"/>
      <c r="V434" s="39"/>
      <c r="W434" s="40"/>
      <c r="X434" s="38"/>
      <c r="Y434" s="39"/>
    </row>
    <row r="435" spans="2:25" s="33" customFormat="1" ht="16" hidden="1" x14ac:dyDescent="0.2">
      <c r="C435" s="3"/>
      <c r="F435" s="41"/>
      <c r="L435" s="34"/>
      <c r="M435" s="42"/>
      <c r="N435" s="36"/>
      <c r="O435" s="36"/>
      <c r="P435" s="37"/>
      <c r="Q435" s="35"/>
      <c r="R435" s="38"/>
      <c r="S435" s="39"/>
      <c r="T435" s="40"/>
      <c r="U435" s="40"/>
      <c r="V435" s="39"/>
      <c r="W435" s="40"/>
      <c r="X435" s="38"/>
      <c r="Y435" s="39"/>
    </row>
    <row r="436" spans="2:25" s="33" customFormat="1" ht="16" hidden="1" x14ac:dyDescent="0.2">
      <c r="C436" s="3"/>
      <c r="F436" s="41"/>
      <c r="L436" s="34"/>
      <c r="M436" s="35"/>
      <c r="N436" s="36"/>
      <c r="O436" s="36"/>
      <c r="P436" s="37"/>
      <c r="Q436" s="35"/>
      <c r="R436" s="38"/>
      <c r="S436" s="39"/>
      <c r="T436" s="40"/>
      <c r="U436" s="40"/>
      <c r="V436" s="39"/>
      <c r="W436" s="40"/>
      <c r="X436" s="38"/>
      <c r="Y436" s="39"/>
    </row>
    <row r="437" spans="2:25" s="33" customFormat="1" ht="17" hidden="1" x14ac:dyDescent="0.2">
      <c r="C437" s="101" t="s">
        <v>7</v>
      </c>
      <c r="D437" s="161" t="s">
        <v>8</v>
      </c>
      <c r="E437" s="162"/>
      <c r="F437" s="41"/>
      <c r="L437" s="34"/>
      <c r="M437" s="35"/>
      <c r="N437" s="43"/>
      <c r="O437" s="43"/>
      <c r="P437" s="37"/>
      <c r="Q437" s="35"/>
      <c r="R437" s="38"/>
      <c r="S437" s="39"/>
      <c r="T437" s="40"/>
      <c r="U437" s="40"/>
      <c r="V437" s="39"/>
      <c r="W437" s="40"/>
      <c r="X437" s="38"/>
      <c r="Y437" s="39"/>
    </row>
    <row r="438" spans="2:25" s="33" customFormat="1" ht="17" hidden="1" x14ac:dyDescent="0.2">
      <c r="C438" s="102" t="s">
        <v>16</v>
      </c>
      <c r="D438" s="29">
        <f>COUNTIF(L16:L429,"&lt;0")</f>
        <v>19</v>
      </c>
      <c r="E438" s="30">
        <f t="shared" ref="E438:E443" si="94">+D438/$C$529</f>
        <v>4.5893719806763288E-2</v>
      </c>
      <c r="F438" s="41"/>
      <c r="L438" s="34"/>
      <c r="M438" s="35"/>
      <c r="N438" s="43"/>
      <c r="O438" s="43"/>
      <c r="P438" s="37"/>
      <c r="Q438" s="35"/>
      <c r="R438" s="38"/>
      <c r="S438" s="39"/>
      <c r="T438" s="40"/>
      <c r="U438" s="40"/>
      <c r="V438" s="39"/>
      <c r="W438" s="40"/>
      <c r="X438" s="38"/>
      <c r="Y438" s="39"/>
    </row>
    <row r="439" spans="2:25" s="33" customFormat="1" ht="17" hidden="1" x14ac:dyDescent="0.2">
      <c r="C439" s="102" t="s">
        <v>79</v>
      </c>
      <c r="D439" s="29">
        <f>COUNTIF(L16:L429,"&gt;0")-COUNTIF(L16:L429,"&gt;1000000")</f>
        <v>32</v>
      </c>
      <c r="E439" s="30">
        <f t="shared" si="94"/>
        <v>7.7294685990338161E-2</v>
      </c>
      <c r="F439" s="41"/>
      <c r="L439" s="34"/>
      <c r="M439" s="35"/>
      <c r="N439" s="42"/>
      <c r="O439" s="42"/>
      <c r="P439" s="37"/>
      <c r="Q439" s="35"/>
      <c r="R439" s="38"/>
      <c r="S439" s="39"/>
      <c r="T439" s="40"/>
      <c r="U439" s="40"/>
      <c r="V439" s="39"/>
      <c r="W439" s="40"/>
      <c r="X439" s="38"/>
      <c r="Y439" s="39"/>
    </row>
    <row r="440" spans="2:25" s="33" customFormat="1" ht="17" hidden="1" x14ac:dyDescent="0.2">
      <c r="C440" s="102" t="s">
        <v>75</v>
      </c>
      <c r="D440" s="29">
        <f>COUNTIF(L16:L429,"&gt;1000000")-COUNTIF(L16:L429,"&gt;2000000")</f>
        <v>45</v>
      </c>
      <c r="E440" s="30">
        <f t="shared" si="94"/>
        <v>0.10869565217391304</v>
      </c>
      <c r="F440" s="41"/>
      <c r="L440" s="34"/>
      <c r="M440" s="35"/>
      <c r="N440" s="36"/>
      <c r="O440" s="36"/>
      <c r="P440" s="37"/>
      <c r="Q440" s="35"/>
      <c r="R440" s="38"/>
      <c r="S440" s="39"/>
      <c r="T440" s="40"/>
      <c r="U440" s="40"/>
      <c r="V440" s="39"/>
      <c r="W440" s="40"/>
      <c r="X440" s="38"/>
      <c r="Y440" s="39"/>
    </row>
    <row r="441" spans="2:25" s="33" customFormat="1" ht="17" hidden="1" x14ac:dyDescent="0.2">
      <c r="C441" s="102" t="s">
        <v>76</v>
      </c>
      <c r="D441" s="29">
        <f>COUNTIF(L16:L429,"&gt;2000000")-COUNTIF(L16:L429,"&gt;3000000")</f>
        <v>38</v>
      </c>
      <c r="E441" s="30">
        <f t="shared" si="94"/>
        <v>9.1787439613526575E-2</v>
      </c>
      <c r="F441" s="41"/>
      <c r="L441" s="34"/>
      <c r="M441" s="35"/>
      <c r="N441" s="36"/>
      <c r="O441" s="36"/>
      <c r="P441" s="37"/>
      <c r="Q441" s="35"/>
      <c r="R441" s="38"/>
      <c r="S441" s="39"/>
      <c r="T441" s="40"/>
      <c r="U441" s="40"/>
      <c r="V441" s="39"/>
      <c r="W441" s="40"/>
      <c r="X441" s="38"/>
      <c r="Y441" s="39"/>
    </row>
    <row r="442" spans="2:25" s="33" customFormat="1" ht="17" hidden="1" x14ac:dyDescent="0.2">
      <c r="C442" s="102" t="s">
        <v>77</v>
      </c>
      <c r="D442" s="29">
        <f>COUNTIF(L16:L429,"&gt;3000000")-COUNTIF(L16:L429,"&gt;4000000")</f>
        <v>18</v>
      </c>
      <c r="E442" s="30">
        <f t="shared" si="94"/>
        <v>4.3478260869565216E-2</v>
      </c>
      <c r="F442" s="41"/>
      <c r="L442" s="34"/>
      <c r="M442" s="35"/>
      <c r="N442" s="36"/>
      <c r="O442" s="36"/>
      <c r="P442" s="37"/>
      <c r="Q442" s="35"/>
      <c r="R442" s="38"/>
      <c r="S442" s="39"/>
      <c r="T442" s="40"/>
      <c r="U442" s="40"/>
      <c r="V442" s="39"/>
      <c r="W442" s="40"/>
      <c r="X442" s="38"/>
      <c r="Y442" s="39"/>
    </row>
    <row r="443" spans="2:25" s="33" customFormat="1" ht="17" hidden="1" x14ac:dyDescent="0.2">
      <c r="C443" s="102" t="s">
        <v>78</v>
      </c>
      <c r="D443" s="29">
        <f>COUNTIF(L16:L429,"&gt;4000000")</f>
        <v>262</v>
      </c>
      <c r="E443" s="30">
        <f t="shared" si="94"/>
        <v>0.63285024154589375</v>
      </c>
      <c r="F443" s="41"/>
      <c r="L443" s="34"/>
      <c r="M443" s="35"/>
      <c r="N443" s="36"/>
      <c r="O443" s="36"/>
      <c r="P443" s="37"/>
      <c r="Q443" s="35"/>
      <c r="R443" s="38"/>
      <c r="S443" s="39"/>
      <c r="T443" s="40"/>
      <c r="U443" s="40"/>
      <c r="V443" s="39"/>
      <c r="W443" s="40"/>
      <c r="X443" s="38"/>
      <c r="Y443" s="39"/>
    </row>
    <row r="444" spans="2:25" s="33" customFormat="1" ht="17" hidden="1" x14ac:dyDescent="0.2">
      <c r="C444" s="101" t="s">
        <v>15</v>
      </c>
      <c r="D444" s="31">
        <f>SUM(D438:D443)</f>
        <v>414</v>
      </c>
      <c r="E444" s="32">
        <f>SUM(E438:E443)</f>
        <v>1</v>
      </c>
      <c r="F444" s="41"/>
      <c r="L444" s="34"/>
      <c r="M444" s="35"/>
      <c r="N444" s="36"/>
      <c r="O444" s="36"/>
      <c r="P444" s="37"/>
      <c r="Q444" s="35"/>
      <c r="R444" s="38"/>
      <c r="S444" s="39"/>
      <c r="T444" s="40"/>
      <c r="U444" s="40"/>
      <c r="V444" s="39"/>
      <c r="W444" s="40"/>
      <c r="X444" s="38"/>
      <c r="Y444" s="39"/>
    </row>
    <row r="445" spans="2:25" s="33" customFormat="1" ht="16" hidden="1" x14ac:dyDescent="0.2">
      <c r="C445" s="63"/>
      <c r="D445" s="44"/>
      <c r="E445" s="45"/>
      <c r="F445" s="41"/>
      <c r="L445" s="34"/>
      <c r="M445" s="35"/>
      <c r="N445" s="36"/>
      <c r="O445" s="36"/>
      <c r="P445" s="37"/>
      <c r="Q445" s="35"/>
      <c r="R445" s="38"/>
      <c r="S445" s="39"/>
      <c r="T445" s="40"/>
      <c r="U445" s="40"/>
      <c r="V445" s="39"/>
      <c r="W445" s="40"/>
      <c r="X445" s="38"/>
      <c r="Y445" s="39"/>
    </row>
    <row r="446" spans="2:25" s="33" customFormat="1" ht="16" hidden="1" x14ac:dyDescent="0.2">
      <c r="C446" s="63"/>
      <c r="D446" s="44"/>
      <c r="E446" s="45"/>
      <c r="F446" s="41"/>
      <c r="L446" s="34"/>
      <c r="M446" s="35"/>
      <c r="N446" s="36"/>
      <c r="O446" s="36"/>
      <c r="P446" s="37"/>
      <c r="Q446" s="35"/>
      <c r="R446" s="38"/>
      <c r="S446" s="39"/>
      <c r="T446" s="40"/>
      <c r="U446" s="40"/>
      <c r="V446" s="39"/>
      <c r="W446" s="40"/>
      <c r="X446" s="38"/>
      <c r="Y446" s="39"/>
    </row>
    <row r="447" spans="2:25" s="33" customFormat="1" ht="16" hidden="1" x14ac:dyDescent="0.2">
      <c r="C447" s="3"/>
      <c r="F447" s="41"/>
      <c r="L447" s="34"/>
      <c r="M447" s="35"/>
      <c r="N447" s="36"/>
      <c r="O447" s="36"/>
      <c r="P447" s="37"/>
      <c r="Q447" s="35"/>
      <c r="R447" s="38"/>
      <c r="S447" s="39"/>
      <c r="T447" s="40"/>
      <c r="U447" s="40"/>
      <c r="V447" s="39"/>
      <c r="W447" s="40"/>
      <c r="X447" s="38"/>
      <c r="Y447" s="39"/>
    </row>
    <row r="448" spans="2:25" s="33" customFormat="1" ht="30" hidden="1" customHeight="1" x14ac:dyDescent="0.2">
      <c r="B448" s="169" t="s">
        <v>60</v>
      </c>
      <c r="C448" s="169"/>
      <c r="D448" s="169"/>
      <c r="E448" s="169"/>
      <c r="F448" s="169"/>
      <c r="G448" s="169"/>
      <c r="H448" s="169"/>
      <c r="I448" s="169"/>
      <c r="J448" s="169"/>
      <c r="K448" s="169"/>
      <c r="L448" s="34"/>
      <c r="M448" s="35"/>
      <c r="N448" s="36"/>
      <c r="O448" s="36"/>
      <c r="P448" s="37"/>
      <c r="Q448" s="35"/>
      <c r="R448" s="38"/>
      <c r="S448" s="39"/>
      <c r="T448" s="40"/>
      <c r="U448" s="40"/>
      <c r="V448" s="39"/>
      <c r="W448" s="40"/>
      <c r="X448" s="38"/>
      <c r="Y448" s="39"/>
    </row>
    <row r="449" spans="2:25" s="33" customFormat="1" ht="16" hidden="1" x14ac:dyDescent="0.2">
      <c r="B449" s="46"/>
      <c r="C449" s="103"/>
      <c r="D449" s="47"/>
      <c r="E449" s="46"/>
      <c r="F449" s="48"/>
      <c r="G449" s="46"/>
      <c r="H449" s="46"/>
      <c r="L449" s="34"/>
      <c r="M449" s="35"/>
      <c r="N449" s="36"/>
      <c r="O449" s="36"/>
      <c r="P449" s="37"/>
      <c r="Q449" s="35"/>
      <c r="R449" s="38"/>
      <c r="S449" s="39"/>
      <c r="T449" s="40"/>
      <c r="U449" s="40"/>
      <c r="V449" s="39"/>
      <c r="W449" s="40"/>
      <c r="X449" s="38"/>
      <c r="Y449" s="39"/>
    </row>
    <row r="450" spans="2:25" s="33" customFormat="1" ht="16" hidden="1" x14ac:dyDescent="0.2">
      <c r="C450" s="3"/>
      <c r="L450" s="34"/>
      <c r="M450" s="35"/>
      <c r="N450" s="36"/>
      <c r="O450" s="36"/>
      <c r="P450" s="37"/>
      <c r="Q450" s="35"/>
      <c r="R450" s="38"/>
      <c r="S450" s="39"/>
      <c r="T450" s="40"/>
      <c r="U450" s="40"/>
      <c r="V450" s="39"/>
      <c r="W450" s="40"/>
      <c r="X450" s="38"/>
      <c r="Y450" s="39"/>
    </row>
    <row r="451" spans="2:25" s="33" customFormat="1" ht="17" hidden="1" x14ac:dyDescent="0.2">
      <c r="C451" s="101" t="s">
        <v>7</v>
      </c>
      <c r="D451" s="161" t="s">
        <v>8</v>
      </c>
      <c r="E451" s="162"/>
      <c r="L451" s="34"/>
      <c r="M451" s="49"/>
      <c r="N451" s="49"/>
      <c r="O451" s="49"/>
      <c r="P451" s="49"/>
      <c r="Q451" s="49"/>
      <c r="R451" s="113"/>
      <c r="S451" s="113"/>
      <c r="T451" s="113"/>
      <c r="U451" s="113"/>
      <c r="V451" s="113"/>
      <c r="W451" s="113"/>
      <c r="X451" s="113"/>
    </row>
    <row r="452" spans="2:25" s="33" customFormat="1" ht="17" hidden="1" x14ac:dyDescent="0.2">
      <c r="C452" s="102" t="s">
        <v>9</v>
      </c>
      <c r="D452" s="29">
        <f>COUNTIF(M16:M429,"&gt;=0")-COUNTIF(M16:M429,"&gt;0,5")</f>
        <v>5</v>
      </c>
      <c r="E452" s="30">
        <f t="shared" ref="E452:E457" si="95">+D452/$C$529</f>
        <v>1.2077294685990338E-2</v>
      </c>
      <c r="L452" s="34"/>
      <c r="M452" s="49"/>
      <c r="N452" s="49"/>
      <c r="O452" s="49"/>
      <c r="P452" s="49"/>
      <c r="Q452" s="49"/>
      <c r="R452" s="113"/>
      <c r="S452" s="113"/>
      <c r="T452" s="113"/>
      <c r="U452" s="113"/>
      <c r="V452" s="113"/>
      <c r="W452" s="113"/>
      <c r="X452" s="113"/>
    </row>
    <row r="453" spans="2:25" s="33" customFormat="1" ht="17" hidden="1" x14ac:dyDescent="0.2">
      <c r="C453" s="102" t="s">
        <v>10</v>
      </c>
      <c r="D453" s="29">
        <f>COUNTIF(M16:M429,"&gt;0,5")-COUNTIF(M16:M429,"&gt;1")</f>
        <v>14</v>
      </c>
      <c r="E453" s="30">
        <f t="shared" si="95"/>
        <v>3.3816425120772944E-2</v>
      </c>
      <c r="L453" s="34"/>
      <c r="M453" s="49"/>
      <c r="N453" s="49"/>
      <c r="O453" s="49"/>
      <c r="P453" s="49"/>
      <c r="Q453" s="49"/>
      <c r="R453" s="113"/>
      <c r="S453" s="113"/>
      <c r="T453" s="113"/>
      <c r="U453" s="113"/>
      <c r="V453" s="113"/>
      <c r="W453" s="113"/>
      <c r="X453" s="113"/>
    </row>
    <row r="454" spans="2:25" s="33" customFormat="1" ht="17" hidden="1" x14ac:dyDescent="0.2">
      <c r="C454" s="104" t="s">
        <v>11</v>
      </c>
      <c r="D454" s="29">
        <f>COUNTIF(M16:M429,"&gt;1")-COUNTIF(M16:M429,"&gt;1,5")</f>
        <v>62</v>
      </c>
      <c r="E454" s="30">
        <f t="shared" si="95"/>
        <v>0.14975845410628019</v>
      </c>
      <c r="L454" s="34"/>
      <c r="M454" s="49"/>
      <c r="N454" s="49"/>
      <c r="O454" s="49"/>
      <c r="P454" s="49"/>
      <c r="Q454" s="49"/>
      <c r="R454" s="113"/>
      <c r="S454" s="113"/>
      <c r="T454" s="113"/>
      <c r="U454" s="113"/>
      <c r="V454" s="113"/>
      <c r="W454" s="113"/>
      <c r="X454" s="113"/>
    </row>
    <row r="455" spans="2:25" s="33" customFormat="1" ht="17" hidden="1" x14ac:dyDescent="0.2">
      <c r="C455" s="102" t="s">
        <v>12</v>
      </c>
      <c r="D455" s="29">
        <f>COUNTIF(M16:M429,"&gt;1,5")-COUNTIF(M16:M429,"&gt;2")</f>
        <v>76</v>
      </c>
      <c r="E455" s="30">
        <f t="shared" si="95"/>
        <v>0.18357487922705315</v>
      </c>
      <c r="F455" s="41"/>
      <c r="L455" s="34"/>
      <c r="M455" s="49"/>
      <c r="N455" s="49"/>
      <c r="O455" s="49"/>
      <c r="P455" s="49"/>
      <c r="Q455" s="49"/>
      <c r="R455" s="113"/>
      <c r="S455" s="113"/>
      <c r="T455" s="113"/>
      <c r="U455" s="113"/>
      <c r="V455" s="113"/>
      <c r="W455" s="113"/>
      <c r="X455" s="113"/>
    </row>
    <row r="456" spans="2:25" s="33" customFormat="1" ht="17" hidden="1" x14ac:dyDescent="0.2">
      <c r="C456" s="102" t="s">
        <v>13</v>
      </c>
      <c r="D456" s="29">
        <f>COUNTIF(M16:M429,"&gt;2")-COUNTIF(M16:M429,"&gt;2,5")</f>
        <v>56</v>
      </c>
      <c r="E456" s="30">
        <f t="shared" si="95"/>
        <v>0.13526570048309178</v>
      </c>
      <c r="F456" s="41"/>
      <c r="L456" s="34"/>
      <c r="M456" s="49"/>
      <c r="N456" s="49"/>
      <c r="O456" s="49"/>
      <c r="P456" s="49"/>
      <c r="Q456" s="49"/>
      <c r="R456" s="113"/>
      <c r="S456" s="113"/>
      <c r="T456" s="113"/>
      <c r="U456" s="113"/>
      <c r="V456" s="113"/>
      <c r="W456" s="113"/>
      <c r="X456" s="113"/>
    </row>
    <row r="457" spans="2:25" s="33" customFormat="1" ht="17" hidden="1" x14ac:dyDescent="0.2">
      <c r="C457" s="102" t="s">
        <v>14</v>
      </c>
      <c r="D457" s="29">
        <f>COUNTIF(M16:M429,"&gt;2,5")</f>
        <v>65</v>
      </c>
      <c r="E457" s="30">
        <f t="shared" si="95"/>
        <v>0.1570048309178744</v>
      </c>
      <c r="F457" s="41"/>
      <c r="L457" s="34"/>
      <c r="M457" s="49"/>
      <c r="N457" s="49"/>
      <c r="O457" s="49"/>
      <c r="P457" s="49"/>
      <c r="Q457" s="49"/>
      <c r="R457" s="113"/>
      <c r="S457" s="113"/>
      <c r="T457" s="113"/>
      <c r="U457" s="113"/>
      <c r="V457" s="113"/>
      <c r="W457" s="113"/>
      <c r="X457" s="113"/>
    </row>
    <row r="458" spans="2:25" s="33" customFormat="1" ht="17" hidden="1" x14ac:dyDescent="0.2">
      <c r="C458" s="101" t="s">
        <v>15</v>
      </c>
      <c r="D458" s="31">
        <f>SUM(D452:D457)</f>
        <v>278</v>
      </c>
      <c r="E458" s="32">
        <f>SUM(E452:E457)</f>
        <v>0.6714975845410629</v>
      </c>
      <c r="F458" s="41"/>
      <c r="L458" s="34"/>
      <c r="M458" s="49"/>
      <c r="N458" s="49"/>
      <c r="O458" s="49"/>
      <c r="P458" s="49"/>
      <c r="Q458" s="49"/>
      <c r="R458" s="113"/>
      <c r="S458" s="113"/>
      <c r="T458" s="113"/>
      <c r="U458" s="113"/>
      <c r="V458" s="113"/>
      <c r="W458" s="113"/>
      <c r="X458" s="113"/>
    </row>
    <row r="459" spans="2:25" s="33" customFormat="1" ht="16" hidden="1" x14ac:dyDescent="0.2">
      <c r="C459" s="63"/>
      <c r="D459" s="50"/>
      <c r="E459" s="45"/>
      <c r="F459" s="41"/>
      <c r="L459" s="34"/>
      <c r="M459" s="49"/>
      <c r="N459" s="49"/>
      <c r="O459" s="49"/>
      <c r="P459" s="49"/>
      <c r="Q459" s="49"/>
      <c r="R459" s="113"/>
      <c r="S459" s="113"/>
      <c r="T459" s="113"/>
      <c r="U459" s="113"/>
      <c r="V459" s="113"/>
      <c r="W459" s="113"/>
      <c r="X459" s="113"/>
    </row>
    <row r="460" spans="2:25" s="33" customFormat="1" ht="16" hidden="1" x14ac:dyDescent="0.2">
      <c r="C460" s="63"/>
      <c r="D460" s="50"/>
      <c r="E460" s="45"/>
      <c r="F460" s="41"/>
      <c r="L460" s="34"/>
      <c r="M460" s="49"/>
      <c r="N460" s="49"/>
      <c r="O460" s="49"/>
      <c r="P460" s="49"/>
      <c r="Q460" s="49"/>
      <c r="R460" s="113"/>
      <c r="S460" s="113"/>
      <c r="T460" s="113"/>
      <c r="U460" s="113"/>
      <c r="V460" s="113"/>
      <c r="W460" s="113"/>
      <c r="X460" s="113"/>
    </row>
    <row r="461" spans="2:25" s="33" customFormat="1" ht="16" hidden="1" x14ac:dyDescent="0.2">
      <c r="C461" s="64"/>
      <c r="D461" s="51"/>
      <c r="E461" s="45"/>
      <c r="F461" s="41"/>
      <c r="L461" s="34"/>
      <c r="M461" s="49"/>
      <c r="N461" s="49"/>
      <c r="O461" s="49"/>
      <c r="P461" s="49"/>
      <c r="Q461" s="49"/>
      <c r="R461" s="113"/>
      <c r="S461" s="113"/>
      <c r="T461" s="113"/>
      <c r="U461" s="113"/>
      <c r="V461" s="113"/>
      <c r="W461" s="113"/>
      <c r="X461" s="113"/>
    </row>
    <row r="462" spans="2:25" s="33" customFormat="1" ht="16" hidden="1" x14ac:dyDescent="0.2">
      <c r="C462" s="64"/>
      <c r="D462" s="51"/>
      <c r="E462" s="45"/>
      <c r="F462" s="41"/>
      <c r="L462" s="34"/>
      <c r="M462" s="49"/>
      <c r="N462" s="49"/>
      <c r="O462" s="49"/>
      <c r="P462" s="49"/>
      <c r="Q462" s="49"/>
      <c r="R462" s="113"/>
      <c r="S462" s="113"/>
      <c r="T462" s="113"/>
      <c r="U462" s="113"/>
      <c r="V462" s="113"/>
      <c r="W462" s="113"/>
      <c r="X462" s="113"/>
    </row>
    <row r="463" spans="2:25" s="33" customFormat="1" ht="30" hidden="1" customHeight="1" x14ac:dyDescent="0.2">
      <c r="B463" s="169" t="s">
        <v>69</v>
      </c>
      <c r="C463" s="169"/>
      <c r="D463" s="169"/>
      <c r="E463" s="169"/>
      <c r="F463" s="169"/>
      <c r="G463" s="169"/>
      <c r="H463" s="169"/>
      <c r="I463" s="169"/>
      <c r="J463" s="169"/>
      <c r="K463" s="169"/>
      <c r="L463" s="34"/>
      <c r="M463" s="49"/>
      <c r="N463" s="49"/>
      <c r="O463" s="49"/>
      <c r="P463" s="49"/>
      <c r="Q463" s="49"/>
      <c r="R463" s="113"/>
      <c r="S463" s="113"/>
      <c r="T463" s="113"/>
      <c r="U463" s="113"/>
      <c r="V463" s="113"/>
      <c r="W463" s="113"/>
      <c r="X463" s="113"/>
    </row>
    <row r="464" spans="2:25" s="33" customFormat="1" ht="16" hidden="1" x14ac:dyDescent="0.2">
      <c r="C464" s="3"/>
      <c r="F464" s="41"/>
      <c r="L464" s="34"/>
      <c r="M464" s="49"/>
      <c r="N464" s="49"/>
      <c r="O464" s="49"/>
      <c r="P464" s="49"/>
      <c r="Q464" s="49"/>
      <c r="R464" s="113"/>
      <c r="S464" s="113"/>
      <c r="T464" s="113"/>
      <c r="U464" s="113"/>
      <c r="V464" s="113"/>
      <c r="W464" s="113"/>
      <c r="X464" s="113"/>
    </row>
    <row r="465" spans="2:24" s="33" customFormat="1" ht="16" hidden="1" x14ac:dyDescent="0.2">
      <c r="C465" s="3"/>
      <c r="F465" s="41"/>
      <c r="L465" s="34"/>
      <c r="M465" s="49"/>
      <c r="N465" s="49"/>
      <c r="O465" s="49"/>
      <c r="P465" s="49"/>
      <c r="Q465" s="49"/>
      <c r="R465" s="113"/>
      <c r="S465" s="113"/>
      <c r="T465" s="113"/>
      <c r="U465" s="113"/>
      <c r="V465" s="113"/>
      <c r="W465" s="113"/>
      <c r="X465" s="113"/>
    </row>
    <row r="466" spans="2:24" s="33" customFormat="1" ht="17" hidden="1" x14ac:dyDescent="0.2">
      <c r="C466" s="101" t="s">
        <v>7</v>
      </c>
      <c r="D466" s="188" t="s">
        <v>8</v>
      </c>
      <c r="E466" s="188"/>
      <c r="F466" s="41"/>
      <c r="L466" s="34"/>
      <c r="M466" s="49"/>
      <c r="N466" s="49"/>
      <c r="O466" s="49"/>
      <c r="P466" s="49"/>
      <c r="Q466" s="49"/>
      <c r="R466" s="113"/>
      <c r="S466" s="113"/>
      <c r="T466" s="113"/>
      <c r="U466" s="113"/>
      <c r="V466" s="113"/>
      <c r="W466" s="113"/>
      <c r="X466" s="113"/>
    </row>
    <row r="467" spans="2:24" s="33" customFormat="1" ht="17" hidden="1" x14ac:dyDescent="0.2">
      <c r="C467" s="102" t="s">
        <v>73</v>
      </c>
      <c r="D467" s="29">
        <f>COUNTIF(O16:O429,"&lt;0")</f>
        <v>0</v>
      </c>
      <c r="E467" s="30">
        <f t="shared" ref="E467:E474" si="96">+D467/$C$529</f>
        <v>0</v>
      </c>
      <c r="F467" s="41"/>
      <c r="L467" s="34"/>
      <c r="M467" s="49"/>
      <c r="N467" s="49"/>
      <c r="O467" s="49"/>
      <c r="P467" s="49"/>
      <c r="Q467" s="49"/>
      <c r="R467" s="113"/>
      <c r="S467" s="113"/>
      <c r="T467" s="113"/>
      <c r="U467" s="113"/>
      <c r="V467" s="113"/>
      <c r="W467" s="113"/>
      <c r="X467" s="113"/>
    </row>
    <row r="468" spans="2:24" s="33" customFormat="1" ht="17" hidden="1" x14ac:dyDescent="0.2">
      <c r="C468" s="102" t="s">
        <v>92</v>
      </c>
      <c r="D468" s="29">
        <f>COUNTIF($O$16:$O$429,"=N/A")</f>
        <v>0</v>
      </c>
      <c r="E468" s="30">
        <f t="shared" si="96"/>
        <v>0</v>
      </c>
      <c r="F468" s="41"/>
      <c r="L468" s="34"/>
      <c r="M468" s="49"/>
      <c r="N468" s="49"/>
      <c r="O468" s="49"/>
      <c r="P468" s="49"/>
      <c r="Q468" s="49"/>
      <c r="R468" s="113"/>
      <c r="S468" s="113"/>
      <c r="T468" s="113"/>
      <c r="U468" s="113"/>
      <c r="V468" s="113"/>
      <c r="W468" s="113"/>
      <c r="X468" s="113"/>
    </row>
    <row r="469" spans="2:24" s="33" customFormat="1" ht="17" hidden="1" x14ac:dyDescent="0.2">
      <c r="C469" s="102" t="s">
        <v>74</v>
      </c>
      <c r="D469" s="29">
        <f>COUNTIF(O16:O429,"=0")</f>
        <v>0</v>
      </c>
      <c r="E469" s="30">
        <f t="shared" si="96"/>
        <v>0</v>
      </c>
      <c r="F469" s="41"/>
      <c r="L469" s="34"/>
      <c r="M469" s="49"/>
      <c r="N469" s="49"/>
      <c r="O469" s="49"/>
      <c r="P469" s="49"/>
      <c r="Q469" s="49"/>
      <c r="R469" s="113"/>
      <c r="S469" s="113"/>
      <c r="T469" s="113"/>
      <c r="U469" s="113"/>
      <c r="V469" s="113"/>
      <c r="W469" s="113"/>
      <c r="X469" s="113"/>
    </row>
    <row r="470" spans="2:24" s="33" customFormat="1" ht="17" hidden="1" x14ac:dyDescent="0.2">
      <c r="C470" s="102" t="s">
        <v>24</v>
      </c>
      <c r="D470" s="29">
        <f>COUNTIF(O16:O429,"&gt;0")-COUNTIF(O16:O429,"&gt;1,5")</f>
        <v>63</v>
      </c>
      <c r="E470" s="30">
        <f t="shared" si="96"/>
        <v>0.15217391304347827</v>
      </c>
      <c r="F470" s="41"/>
      <c r="L470" s="34"/>
      <c r="M470" s="49"/>
      <c r="N470" s="49"/>
      <c r="O470" s="49"/>
      <c r="P470" s="49"/>
      <c r="Q470" s="49"/>
      <c r="R470" s="113"/>
      <c r="S470" s="113"/>
      <c r="T470" s="113"/>
      <c r="U470" s="113"/>
      <c r="V470" s="113"/>
      <c r="W470" s="113"/>
      <c r="X470" s="113"/>
    </row>
    <row r="471" spans="2:24" s="33" customFormat="1" ht="17" hidden="1" x14ac:dyDescent="0.2">
      <c r="C471" s="105" t="s">
        <v>25</v>
      </c>
      <c r="D471" s="29">
        <f>COUNTIF(O16:O429,"&gt;1,499999")-COUNTIF(O16:O429,"&gt;3")</f>
        <v>67</v>
      </c>
      <c r="E471" s="30">
        <f t="shared" si="96"/>
        <v>0.16183574879227053</v>
      </c>
      <c r="F471" s="41"/>
      <c r="L471" s="34"/>
      <c r="M471" s="49"/>
      <c r="N471" s="49"/>
      <c r="O471" s="49"/>
      <c r="P471" s="49"/>
      <c r="Q471" s="49"/>
      <c r="R471" s="113"/>
      <c r="S471" s="113"/>
      <c r="T471" s="113"/>
      <c r="U471" s="113"/>
      <c r="V471" s="113"/>
      <c r="W471" s="113"/>
      <c r="X471" s="113"/>
    </row>
    <row r="472" spans="2:24" s="33" customFormat="1" ht="17" hidden="1" x14ac:dyDescent="0.2">
      <c r="C472" s="105" t="s">
        <v>26</v>
      </c>
      <c r="D472" s="29">
        <f>COUNTIF(O16:O429,"&gt;3")-COUNTIF(O16:O429,"&gt;4,5")</f>
        <v>11</v>
      </c>
      <c r="E472" s="30">
        <f t="shared" si="96"/>
        <v>2.6570048309178744E-2</v>
      </c>
      <c r="F472" s="41"/>
      <c r="L472" s="34"/>
      <c r="M472" s="49"/>
      <c r="N472" s="49"/>
      <c r="O472" s="49"/>
      <c r="P472" s="49"/>
      <c r="Q472" s="49"/>
      <c r="R472" s="113"/>
      <c r="S472" s="113"/>
      <c r="T472" s="113"/>
      <c r="U472" s="113"/>
      <c r="V472" s="113"/>
      <c r="W472" s="113"/>
      <c r="X472" s="113"/>
    </row>
    <row r="473" spans="2:24" s="33" customFormat="1" ht="17" hidden="1" x14ac:dyDescent="0.2">
      <c r="C473" s="105" t="s">
        <v>27</v>
      </c>
      <c r="D473" s="29">
        <f>COUNTIF(O16:O429,"&gt;4,5")-COUNTIF(O16:O429,"&gt;6")</f>
        <v>0</v>
      </c>
      <c r="E473" s="30">
        <f t="shared" si="96"/>
        <v>0</v>
      </c>
      <c r="F473" s="41"/>
      <c r="L473" s="34"/>
      <c r="M473" s="49"/>
      <c r="N473" s="49"/>
      <c r="O473" s="49"/>
      <c r="P473" s="49"/>
      <c r="Q473" s="49"/>
      <c r="R473" s="113"/>
      <c r="S473" s="113"/>
      <c r="T473" s="113"/>
      <c r="U473" s="113"/>
      <c r="V473" s="113"/>
      <c r="W473" s="113"/>
      <c r="X473" s="113"/>
    </row>
    <row r="474" spans="2:24" s="33" customFormat="1" ht="17" hidden="1" x14ac:dyDescent="0.2">
      <c r="C474" s="102" t="s">
        <v>28</v>
      </c>
      <c r="D474" s="29">
        <f>COUNTIF(O16:O429,"&gt;6")</f>
        <v>0</v>
      </c>
      <c r="E474" s="30">
        <f t="shared" si="96"/>
        <v>0</v>
      </c>
      <c r="F474" s="41"/>
      <c r="L474" s="34"/>
      <c r="M474" s="49"/>
      <c r="N474" s="49"/>
      <c r="O474" s="49"/>
      <c r="P474" s="49"/>
      <c r="Q474" s="49"/>
      <c r="R474" s="113"/>
      <c r="S474" s="113"/>
      <c r="T474" s="113"/>
      <c r="U474" s="113"/>
      <c r="V474" s="113"/>
      <c r="W474" s="113"/>
      <c r="X474" s="113"/>
    </row>
    <row r="475" spans="2:24" s="33" customFormat="1" ht="17" hidden="1" x14ac:dyDescent="0.2">
      <c r="C475" s="101" t="s">
        <v>15</v>
      </c>
      <c r="D475" s="31">
        <f>SUM(D467:D474)</f>
        <v>141</v>
      </c>
      <c r="E475" s="32">
        <f>SUM(E467:E474)</f>
        <v>0.34057971014492755</v>
      </c>
      <c r="F475" s="41"/>
      <c r="L475" s="34"/>
      <c r="M475" s="49"/>
      <c r="N475" s="49"/>
      <c r="O475" s="49"/>
      <c r="P475" s="49"/>
      <c r="Q475" s="49"/>
      <c r="R475" s="113"/>
      <c r="S475" s="113"/>
      <c r="T475" s="113"/>
      <c r="U475" s="113"/>
      <c r="V475" s="113"/>
      <c r="W475" s="113"/>
      <c r="X475" s="113"/>
    </row>
    <row r="476" spans="2:24" s="33" customFormat="1" ht="16" hidden="1" x14ac:dyDescent="0.2">
      <c r="C476" s="3"/>
      <c r="F476" s="41"/>
      <c r="L476" s="34"/>
      <c r="M476" s="49"/>
      <c r="N476" s="49"/>
      <c r="O476" s="49"/>
      <c r="P476" s="49"/>
      <c r="Q476" s="49"/>
      <c r="R476" s="113"/>
      <c r="S476" s="113"/>
      <c r="T476" s="113"/>
      <c r="U476" s="113"/>
      <c r="V476" s="113"/>
      <c r="W476" s="113"/>
      <c r="X476" s="113"/>
    </row>
    <row r="477" spans="2:24" s="33" customFormat="1" ht="16" hidden="1" x14ac:dyDescent="0.2">
      <c r="C477" s="3"/>
      <c r="F477" s="41"/>
      <c r="L477" s="34"/>
      <c r="M477" s="49"/>
      <c r="N477" s="49"/>
      <c r="O477" s="49"/>
      <c r="P477" s="49"/>
      <c r="Q477" s="49"/>
      <c r="R477" s="113"/>
      <c r="S477" s="113"/>
      <c r="T477" s="113"/>
      <c r="U477" s="113"/>
      <c r="V477" s="113"/>
      <c r="W477" s="113"/>
      <c r="X477" s="113"/>
    </row>
    <row r="478" spans="2:24" s="33" customFormat="1" ht="16" hidden="1" x14ac:dyDescent="0.2">
      <c r="C478" s="3"/>
      <c r="F478" s="41"/>
      <c r="L478" s="34"/>
      <c r="M478" s="49"/>
      <c r="N478" s="49"/>
      <c r="O478" s="49"/>
      <c r="P478" s="49"/>
      <c r="Q478" s="49"/>
      <c r="R478" s="113"/>
      <c r="S478" s="113"/>
      <c r="T478" s="113"/>
      <c r="U478" s="113"/>
      <c r="V478" s="113"/>
      <c r="W478" s="113"/>
      <c r="X478" s="113"/>
    </row>
    <row r="479" spans="2:24" s="33" customFormat="1" ht="16" hidden="1" x14ac:dyDescent="0.2">
      <c r="C479" s="64"/>
      <c r="D479" s="51"/>
      <c r="E479" s="45"/>
      <c r="F479" s="41"/>
      <c r="L479" s="34"/>
      <c r="M479" s="49"/>
      <c r="N479" s="49"/>
      <c r="O479" s="49"/>
      <c r="P479" s="49"/>
      <c r="Q479" s="49"/>
      <c r="R479" s="113"/>
      <c r="S479" s="113"/>
      <c r="T479" s="113"/>
      <c r="U479" s="113"/>
      <c r="V479" s="113"/>
      <c r="W479" s="113"/>
      <c r="X479" s="113"/>
    </row>
    <row r="480" spans="2:24" s="33" customFormat="1" ht="30" hidden="1" customHeight="1" x14ac:dyDescent="0.2">
      <c r="B480" s="169" t="s">
        <v>62</v>
      </c>
      <c r="C480" s="169"/>
      <c r="D480" s="169"/>
      <c r="E480" s="169"/>
      <c r="F480" s="169"/>
      <c r="G480" s="169"/>
      <c r="H480" s="169"/>
      <c r="I480" s="169"/>
      <c r="J480" s="169"/>
      <c r="K480" s="169"/>
      <c r="L480" s="34"/>
      <c r="M480" s="49"/>
      <c r="N480" s="49"/>
      <c r="O480" s="49"/>
      <c r="P480" s="49"/>
      <c r="Q480" s="49"/>
      <c r="R480" s="113"/>
      <c r="S480" s="113"/>
      <c r="T480" s="113"/>
      <c r="U480" s="113"/>
      <c r="V480" s="113"/>
      <c r="W480" s="113"/>
      <c r="X480" s="113"/>
    </row>
    <row r="481" spans="2:24" s="33" customFormat="1" ht="16" hidden="1" x14ac:dyDescent="0.2">
      <c r="C481" s="3"/>
      <c r="F481" s="41"/>
      <c r="L481" s="34"/>
      <c r="M481" s="49"/>
      <c r="N481" s="49"/>
      <c r="O481" s="49"/>
      <c r="P481" s="49"/>
      <c r="Q481" s="49"/>
      <c r="R481" s="113"/>
      <c r="S481" s="113"/>
      <c r="T481" s="113"/>
      <c r="U481" s="113"/>
      <c r="V481" s="113"/>
      <c r="W481" s="113"/>
      <c r="X481" s="113"/>
    </row>
    <row r="482" spans="2:24" s="33" customFormat="1" ht="16" hidden="1" x14ac:dyDescent="0.2">
      <c r="C482" s="3"/>
      <c r="F482" s="41"/>
      <c r="L482" s="34"/>
      <c r="M482" s="49"/>
      <c r="N482" s="49"/>
      <c r="O482" s="49"/>
      <c r="P482" s="49"/>
      <c r="Q482" s="49"/>
      <c r="R482" s="113"/>
      <c r="S482" s="113"/>
      <c r="T482" s="113"/>
      <c r="U482" s="113"/>
      <c r="V482" s="113"/>
      <c r="W482" s="113"/>
      <c r="X482" s="113"/>
    </row>
    <row r="483" spans="2:24" s="33" customFormat="1" ht="17" hidden="1" x14ac:dyDescent="0.2">
      <c r="C483" s="101" t="s">
        <v>7</v>
      </c>
      <c r="D483" s="161" t="s">
        <v>8</v>
      </c>
      <c r="E483" s="162"/>
      <c r="F483" s="41"/>
      <c r="L483" s="34"/>
      <c r="M483" s="49"/>
      <c r="N483" s="49"/>
      <c r="O483" s="49"/>
      <c r="P483" s="49"/>
      <c r="Q483" s="49"/>
      <c r="R483" s="113"/>
      <c r="S483" s="113"/>
      <c r="T483" s="113"/>
      <c r="U483" s="113"/>
      <c r="V483" s="113"/>
      <c r="W483" s="113"/>
      <c r="X483" s="113"/>
    </row>
    <row r="484" spans="2:24" s="33" customFormat="1" ht="17" hidden="1" x14ac:dyDescent="0.2">
      <c r="C484" s="102" t="s">
        <v>17</v>
      </c>
      <c r="D484" s="29">
        <f>COUNTIF(N16:N429,"&gt;=0")-COUNTIF(N16:N429,"&gt;15%")</f>
        <v>26</v>
      </c>
      <c r="E484" s="30">
        <f t="shared" ref="E484:E490" si="97">+D484/$C$529</f>
        <v>6.280193236714976E-2</v>
      </c>
      <c r="F484" s="41"/>
      <c r="L484" s="34"/>
      <c r="M484" s="49"/>
      <c r="N484" s="49"/>
      <c r="O484" s="49"/>
      <c r="P484" s="49"/>
      <c r="Q484" s="49"/>
      <c r="R484" s="113"/>
      <c r="S484" s="113"/>
      <c r="T484" s="113"/>
      <c r="U484" s="113"/>
      <c r="V484" s="113"/>
      <c r="W484" s="113"/>
      <c r="X484" s="113"/>
    </row>
    <row r="485" spans="2:24" s="33" customFormat="1" ht="17" hidden="1" x14ac:dyDescent="0.2">
      <c r="C485" s="102" t="s">
        <v>18</v>
      </c>
      <c r="D485" s="29">
        <f>COUNTIF(N16:N429,"&gt;15%")-COUNTIF(N16:N429,"&gt;30%")</f>
        <v>64</v>
      </c>
      <c r="E485" s="30">
        <f t="shared" si="97"/>
        <v>0.15458937198067632</v>
      </c>
      <c r="F485" s="41"/>
      <c r="L485" s="34"/>
      <c r="M485" s="49"/>
      <c r="N485" s="49"/>
      <c r="O485" s="49"/>
      <c r="P485" s="49"/>
      <c r="Q485" s="49"/>
      <c r="R485" s="113"/>
      <c r="S485" s="113"/>
      <c r="T485" s="113"/>
      <c r="U485" s="113"/>
      <c r="V485" s="113"/>
      <c r="W485" s="113"/>
      <c r="X485" s="113"/>
    </row>
    <row r="486" spans="2:24" s="33" customFormat="1" ht="17" hidden="1" x14ac:dyDescent="0.2">
      <c r="C486" s="102" t="s">
        <v>19</v>
      </c>
      <c r="D486" s="29">
        <f>COUNTIF(N16:N429,"&gt;30%")-COUNTIF(N16:N429,"&gt;45%")</f>
        <v>86</v>
      </c>
      <c r="E486" s="30">
        <f t="shared" si="97"/>
        <v>0.20772946859903382</v>
      </c>
      <c r="F486" s="41"/>
      <c r="L486" s="34"/>
      <c r="M486" s="49"/>
      <c r="N486" s="49"/>
      <c r="O486" s="49"/>
      <c r="P486" s="49"/>
      <c r="Q486" s="49"/>
      <c r="R486" s="113"/>
      <c r="S486" s="113"/>
      <c r="T486" s="113"/>
      <c r="U486" s="113"/>
      <c r="V486" s="113"/>
      <c r="W486" s="113"/>
      <c r="X486" s="113"/>
    </row>
    <row r="487" spans="2:24" s="33" customFormat="1" ht="17" hidden="1" x14ac:dyDescent="0.2">
      <c r="C487" s="102" t="s">
        <v>20</v>
      </c>
      <c r="D487" s="29">
        <f>COUNTIF(N16:N429,"&gt;45%")-COUNTIF(N16:N429,"&gt;60%")</f>
        <v>102</v>
      </c>
      <c r="E487" s="30">
        <f t="shared" si="97"/>
        <v>0.24637681159420291</v>
      </c>
      <c r="F487" s="41"/>
      <c r="L487" s="34"/>
      <c r="M487" s="49"/>
      <c r="N487" s="49"/>
      <c r="O487" s="49"/>
      <c r="P487" s="49"/>
      <c r="Q487" s="49"/>
      <c r="R487" s="113"/>
      <c r="S487" s="113"/>
      <c r="T487" s="113"/>
      <c r="U487" s="113"/>
      <c r="V487" s="113"/>
      <c r="W487" s="113"/>
      <c r="X487" s="113"/>
    </row>
    <row r="488" spans="2:24" s="33" customFormat="1" ht="17" hidden="1" x14ac:dyDescent="0.2">
      <c r="C488" s="102" t="s">
        <v>21</v>
      </c>
      <c r="D488" s="29">
        <f>COUNTIF(N16:N429,"&gt;60%")-COUNTIF(N16:N429,"&gt;75%")</f>
        <v>75</v>
      </c>
      <c r="E488" s="30">
        <f t="shared" si="97"/>
        <v>0.18115942028985507</v>
      </c>
      <c r="F488" s="41"/>
      <c r="L488" s="34"/>
      <c r="M488" s="49"/>
      <c r="N488" s="49"/>
      <c r="O488" s="49"/>
      <c r="P488" s="49"/>
      <c r="Q488" s="49"/>
      <c r="R488" s="113"/>
      <c r="S488" s="113"/>
      <c r="T488" s="113"/>
      <c r="U488" s="113"/>
      <c r="V488" s="113"/>
      <c r="W488" s="113"/>
      <c r="X488" s="113"/>
    </row>
    <row r="489" spans="2:24" s="33" customFormat="1" ht="17" hidden="1" x14ac:dyDescent="0.2">
      <c r="C489" s="102" t="s">
        <v>22</v>
      </c>
      <c r="D489" s="29">
        <f>COUNTIF(N16:N429,"&gt;75%")-COUNTIF(N16:N429,"&gt;90%")</f>
        <v>40</v>
      </c>
      <c r="E489" s="30">
        <f t="shared" si="97"/>
        <v>9.6618357487922704E-2</v>
      </c>
      <c r="F489" s="41"/>
      <c r="L489" s="34"/>
      <c r="M489" s="49"/>
      <c r="N489" s="49"/>
      <c r="O489" s="49"/>
      <c r="P489" s="49"/>
      <c r="Q489" s="49"/>
      <c r="R489" s="113"/>
      <c r="S489" s="113"/>
      <c r="T489" s="113"/>
      <c r="U489" s="113"/>
      <c r="V489" s="113"/>
      <c r="W489" s="113"/>
      <c r="X489" s="113"/>
    </row>
    <row r="490" spans="2:24" s="33" customFormat="1" ht="15" hidden="1" customHeight="1" x14ac:dyDescent="0.2">
      <c r="C490" s="102" t="s">
        <v>23</v>
      </c>
      <c r="D490" s="29">
        <f>COUNTIF(N16:N429,"&gt;90%")</f>
        <v>21</v>
      </c>
      <c r="E490" s="30">
        <f t="shared" si="97"/>
        <v>5.0724637681159424E-2</v>
      </c>
      <c r="F490" s="41"/>
      <c r="L490" s="34"/>
      <c r="M490" s="49"/>
      <c r="N490" s="49"/>
      <c r="O490" s="49"/>
      <c r="P490" s="49"/>
      <c r="Q490" s="49"/>
      <c r="R490" s="113"/>
      <c r="S490" s="113"/>
      <c r="T490" s="113"/>
      <c r="U490" s="113"/>
      <c r="V490" s="113"/>
      <c r="W490" s="113"/>
      <c r="X490" s="113"/>
    </row>
    <row r="491" spans="2:24" s="33" customFormat="1" ht="17" hidden="1" x14ac:dyDescent="0.2">
      <c r="C491" s="101" t="s">
        <v>15</v>
      </c>
      <c r="D491" s="31">
        <f>SUM(D484:D490)</f>
        <v>414</v>
      </c>
      <c r="E491" s="32">
        <f>SUM(E484:E490)</f>
        <v>1</v>
      </c>
      <c r="F491" s="41"/>
      <c r="L491" s="34"/>
      <c r="M491" s="49"/>
      <c r="N491" s="49"/>
      <c r="O491" s="49"/>
      <c r="P491" s="49"/>
      <c r="Q491" s="49"/>
      <c r="R491" s="113"/>
      <c r="S491" s="113"/>
      <c r="T491" s="113"/>
      <c r="U491" s="113"/>
      <c r="V491" s="113"/>
      <c r="W491" s="113"/>
      <c r="X491" s="113"/>
    </row>
    <row r="492" spans="2:24" s="33" customFormat="1" ht="16" hidden="1" x14ac:dyDescent="0.2">
      <c r="C492" s="3"/>
      <c r="F492" s="41"/>
      <c r="L492" s="34"/>
      <c r="M492" s="49"/>
      <c r="N492" s="49"/>
      <c r="O492" s="49"/>
      <c r="P492" s="49"/>
      <c r="Q492" s="49"/>
      <c r="R492" s="113"/>
      <c r="S492" s="113"/>
      <c r="T492" s="113"/>
      <c r="U492" s="113"/>
      <c r="V492" s="113"/>
      <c r="W492" s="113"/>
      <c r="X492" s="113"/>
    </row>
    <row r="493" spans="2:24" s="33" customFormat="1" ht="16" hidden="1" x14ac:dyDescent="0.2">
      <c r="C493" s="3"/>
      <c r="F493" s="41"/>
      <c r="L493" s="34"/>
      <c r="M493" s="49"/>
      <c r="N493" s="49"/>
      <c r="O493" s="49"/>
      <c r="P493" s="49"/>
      <c r="Q493" s="49"/>
      <c r="R493" s="113"/>
      <c r="S493" s="113"/>
      <c r="T493" s="113"/>
      <c r="U493" s="113"/>
      <c r="V493" s="113"/>
      <c r="W493" s="113"/>
      <c r="X493" s="113"/>
    </row>
    <row r="494" spans="2:24" s="33" customFormat="1" ht="16" hidden="1" x14ac:dyDescent="0.2">
      <c r="C494" s="3"/>
      <c r="F494" s="41"/>
      <c r="L494" s="34"/>
      <c r="M494" s="49"/>
      <c r="N494" s="49"/>
      <c r="O494" s="49"/>
      <c r="P494" s="49"/>
      <c r="Q494" s="49"/>
      <c r="R494" s="113"/>
      <c r="S494" s="113"/>
      <c r="T494" s="113"/>
      <c r="U494" s="113"/>
      <c r="V494" s="113"/>
      <c r="W494" s="113"/>
      <c r="X494" s="113"/>
    </row>
    <row r="495" spans="2:24" hidden="1" x14ac:dyDescent="0.2"/>
    <row r="496" spans="2:24" s="33" customFormat="1" ht="30" hidden="1" customHeight="1" x14ac:dyDescent="0.2">
      <c r="B496" s="169" t="s">
        <v>71</v>
      </c>
      <c r="C496" s="169"/>
      <c r="D496" s="169"/>
      <c r="E496" s="169"/>
      <c r="F496" s="169"/>
      <c r="G496" s="169"/>
      <c r="H496" s="169"/>
      <c r="I496" s="169"/>
      <c r="J496" s="169"/>
      <c r="K496" s="169"/>
      <c r="L496" s="34"/>
      <c r="M496" s="49"/>
      <c r="N496" s="49"/>
      <c r="O496" s="49"/>
      <c r="P496" s="49"/>
      <c r="Q496" s="49"/>
      <c r="R496" s="113"/>
      <c r="S496" s="113"/>
      <c r="T496" s="113"/>
      <c r="U496" s="113"/>
      <c r="V496" s="113"/>
      <c r="W496" s="113"/>
      <c r="X496" s="113"/>
    </row>
    <row r="497" spans="2:24" s="33" customFormat="1" ht="16" hidden="1" x14ac:dyDescent="0.2">
      <c r="C497" s="3"/>
      <c r="F497" s="41"/>
      <c r="L497" s="34"/>
      <c r="M497" s="49"/>
      <c r="N497" s="49"/>
      <c r="O497" s="49"/>
      <c r="P497" s="49"/>
      <c r="Q497" s="49"/>
      <c r="R497" s="113"/>
      <c r="S497" s="113"/>
      <c r="T497" s="113"/>
      <c r="U497" s="113"/>
      <c r="V497" s="113"/>
      <c r="W497" s="113"/>
      <c r="X497" s="113"/>
    </row>
    <row r="498" spans="2:24" s="33" customFormat="1" ht="16" hidden="1" x14ac:dyDescent="0.2">
      <c r="C498" s="3"/>
      <c r="F498" s="41"/>
      <c r="L498" s="34"/>
      <c r="M498" s="49"/>
      <c r="N498" s="49"/>
      <c r="O498" s="49"/>
      <c r="P498" s="49"/>
      <c r="Q498" s="49"/>
      <c r="R498" s="113"/>
      <c r="S498" s="113"/>
      <c r="T498" s="113"/>
      <c r="U498" s="113"/>
      <c r="V498" s="113"/>
      <c r="W498" s="113"/>
      <c r="X498" s="113"/>
    </row>
    <row r="499" spans="2:24" s="33" customFormat="1" ht="17" hidden="1" x14ac:dyDescent="0.2">
      <c r="C499" s="96" t="s">
        <v>7</v>
      </c>
      <c r="D499" s="175" t="s">
        <v>8</v>
      </c>
      <c r="E499" s="175"/>
      <c r="F499" s="41"/>
      <c r="L499" s="34"/>
      <c r="M499" s="49"/>
      <c r="N499" s="49"/>
      <c r="O499" s="49"/>
      <c r="P499" s="49"/>
      <c r="Q499" s="49"/>
      <c r="R499" s="113"/>
      <c r="S499" s="113"/>
      <c r="T499" s="113"/>
      <c r="U499" s="113"/>
      <c r="V499" s="113"/>
      <c r="W499" s="113"/>
      <c r="X499" s="113"/>
    </row>
    <row r="500" spans="2:24" s="33" customFormat="1" ht="17" hidden="1" x14ac:dyDescent="0.2">
      <c r="C500" s="106" t="s">
        <v>29</v>
      </c>
      <c r="D500" s="52">
        <f>COUNTIF(P16:P429,"&lt;0")++COUNTIF(P16:P429,"=0")</f>
        <v>49</v>
      </c>
      <c r="E500" s="53">
        <f t="shared" ref="E500:E506" si="98">+D500/$C$529</f>
        <v>0.11835748792270531</v>
      </c>
      <c r="F500" s="41"/>
      <c r="L500" s="34"/>
      <c r="M500" s="49"/>
      <c r="N500" s="49"/>
      <c r="O500" s="49"/>
      <c r="P500" s="49"/>
      <c r="Q500" s="49"/>
      <c r="R500" s="113"/>
      <c r="S500" s="113"/>
      <c r="T500" s="113"/>
      <c r="U500" s="113"/>
      <c r="V500" s="113"/>
      <c r="W500" s="113"/>
      <c r="X500" s="113"/>
    </row>
    <row r="501" spans="2:24" s="33" customFormat="1" ht="17" hidden="1" x14ac:dyDescent="0.2">
      <c r="C501" s="106" t="s">
        <v>36</v>
      </c>
      <c r="D501" s="52">
        <f>COUNTIF(P16:P429,"&gt;0%")-COUNTIF(P16:P429,"&gt;6%")</f>
        <v>50</v>
      </c>
      <c r="E501" s="53">
        <f t="shared" si="98"/>
        <v>0.12077294685990338</v>
      </c>
      <c r="F501" s="41"/>
      <c r="L501" s="34"/>
      <c r="M501" s="49"/>
      <c r="N501" s="49"/>
      <c r="O501" s="49"/>
      <c r="P501" s="49"/>
      <c r="Q501" s="49"/>
      <c r="R501" s="113"/>
      <c r="S501" s="113"/>
      <c r="T501" s="113"/>
      <c r="U501" s="113"/>
      <c r="V501" s="113"/>
      <c r="W501" s="113"/>
      <c r="X501" s="113"/>
    </row>
    <row r="502" spans="2:24" s="33" customFormat="1" ht="17" hidden="1" x14ac:dyDescent="0.2">
      <c r="C502" s="106" t="s">
        <v>37</v>
      </c>
      <c r="D502" s="52">
        <f>COUNTIF(P16:P429,"&gt;6%")-COUNTIF(P16:P429,"&gt;12%")</f>
        <v>57</v>
      </c>
      <c r="E502" s="53">
        <f t="shared" si="98"/>
        <v>0.13768115942028986</v>
      </c>
      <c r="F502" s="41"/>
      <c r="L502" s="34"/>
      <c r="M502" s="49"/>
      <c r="N502" s="49"/>
      <c r="O502" s="49"/>
      <c r="P502" s="49"/>
      <c r="Q502" s="49"/>
      <c r="R502" s="113"/>
      <c r="S502" s="113"/>
      <c r="T502" s="113"/>
      <c r="U502" s="113"/>
      <c r="V502" s="113"/>
      <c r="W502" s="113"/>
      <c r="X502" s="113"/>
    </row>
    <row r="503" spans="2:24" s="33" customFormat="1" ht="17" hidden="1" x14ac:dyDescent="0.2">
      <c r="C503" s="106" t="s">
        <v>38</v>
      </c>
      <c r="D503" s="52">
        <f>COUNTIF(P16:P429,"&gt;12%")-COUNTIF(P16:P429,"&gt;18%")</f>
        <v>54</v>
      </c>
      <c r="E503" s="53">
        <f t="shared" si="98"/>
        <v>0.13043478260869565</v>
      </c>
      <c r="F503" s="41"/>
      <c r="L503" s="34"/>
      <c r="M503" s="49"/>
      <c r="N503" s="49"/>
      <c r="O503" s="49"/>
      <c r="P503" s="49"/>
      <c r="Q503" s="49"/>
      <c r="R503" s="113"/>
      <c r="S503" s="113"/>
      <c r="T503" s="113"/>
      <c r="U503" s="113"/>
      <c r="V503" s="113"/>
      <c r="W503" s="113"/>
      <c r="X503" s="113"/>
    </row>
    <row r="504" spans="2:24" s="33" customFormat="1" ht="17" hidden="1" x14ac:dyDescent="0.2">
      <c r="C504" s="106" t="s">
        <v>39</v>
      </c>
      <c r="D504" s="52">
        <f>COUNTIF(P16:P429,"&gt;18%")-COUNTIF(P16:P429,"&gt;24%")</f>
        <v>46</v>
      </c>
      <c r="E504" s="53">
        <f t="shared" si="98"/>
        <v>0.1111111111111111</v>
      </c>
      <c r="F504" s="41"/>
      <c r="L504" s="34"/>
      <c r="M504" s="49"/>
      <c r="N504" s="49"/>
      <c r="O504" s="49"/>
      <c r="P504" s="49"/>
      <c r="Q504" s="49"/>
      <c r="R504" s="113"/>
      <c r="S504" s="113"/>
      <c r="T504" s="113"/>
      <c r="U504" s="113"/>
      <c r="V504" s="113"/>
      <c r="W504" s="113"/>
      <c r="X504" s="113"/>
    </row>
    <row r="505" spans="2:24" s="33" customFormat="1" ht="17" hidden="1" x14ac:dyDescent="0.2">
      <c r="C505" s="106" t="s">
        <v>40</v>
      </c>
      <c r="D505" s="52">
        <f>COUNTIF(P16:P429,"&gt;24%")-COUNTIF(P16:P429,"&gt;30%")</f>
        <v>41</v>
      </c>
      <c r="E505" s="53">
        <f t="shared" si="98"/>
        <v>9.9033816425120769E-2</v>
      </c>
      <c r="F505" s="41"/>
      <c r="L505" s="34"/>
      <c r="M505" s="49"/>
      <c r="N505" s="49"/>
      <c r="O505" s="49"/>
      <c r="P505" s="49"/>
      <c r="Q505" s="49"/>
      <c r="R505" s="113"/>
      <c r="S505" s="113"/>
      <c r="T505" s="113"/>
      <c r="U505" s="113"/>
      <c r="V505" s="113"/>
      <c r="W505" s="113"/>
      <c r="X505" s="113"/>
    </row>
    <row r="506" spans="2:24" s="33" customFormat="1" ht="17" hidden="1" x14ac:dyDescent="0.2">
      <c r="C506" s="106" t="s">
        <v>41</v>
      </c>
      <c r="D506" s="52">
        <f>COUNTIF(P16:P429,"&gt;30%")</f>
        <v>117</v>
      </c>
      <c r="E506" s="53">
        <f t="shared" si="98"/>
        <v>0.28260869565217389</v>
      </c>
      <c r="F506" s="41"/>
      <c r="L506" s="34"/>
      <c r="M506" s="49"/>
      <c r="N506" s="49"/>
      <c r="O506" s="49"/>
      <c r="P506" s="49"/>
      <c r="Q506" s="49"/>
      <c r="R506" s="113"/>
      <c r="S506" s="113"/>
      <c r="T506" s="113"/>
      <c r="U506" s="113"/>
      <c r="V506" s="113"/>
      <c r="W506" s="113"/>
      <c r="X506" s="113"/>
    </row>
    <row r="507" spans="2:24" s="33" customFormat="1" ht="17" hidden="1" x14ac:dyDescent="0.2">
      <c r="C507" s="96" t="s">
        <v>15</v>
      </c>
      <c r="D507" s="54">
        <f>SUM(D500:D506)</f>
        <v>414</v>
      </c>
      <c r="E507" s="55">
        <f>SUM(E500:E506)</f>
        <v>1</v>
      </c>
      <c r="F507" s="41"/>
      <c r="L507" s="34"/>
      <c r="M507" s="49"/>
      <c r="N507" s="49"/>
      <c r="O507" s="49"/>
      <c r="P507" s="49"/>
      <c r="Q507" s="49"/>
      <c r="R507" s="113"/>
      <c r="S507" s="113"/>
      <c r="T507" s="113"/>
      <c r="U507" s="113"/>
      <c r="V507" s="113"/>
      <c r="W507" s="113"/>
      <c r="X507" s="113"/>
    </row>
    <row r="508" spans="2:24" s="33" customFormat="1" ht="16" hidden="1" x14ac:dyDescent="0.2">
      <c r="C508" s="3"/>
      <c r="F508" s="41"/>
      <c r="L508" s="34"/>
      <c r="M508" s="49"/>
      <c r="N508" s="49"/>
      <c r="O508" s="49"/>
      <c r="P508" s="49"/>
      <c r="Q508" s="49"/>
      <c r="R508" s="113"/>
      <c r="S508" s="113"/>
      <c r="T508" s="113"/>
      <c r="U508" s="113"/>
      <c r="V508" s="113"/>
      <c r="W508" s="113"/>
      <c r="X508" s="113"/>
    </row>
    <row r="509" spans="2:24" s="33" customFormat="1" ht="16" hidden="1" x14ac:dyDescent="0.2">
      <c r="C509" s="3"/>
      <c r="F509" s="41"/>
      <c r="L509" s="34"/>
      <c r="M509" s="49"/>
      <c r="N509" s="49"/>
      <c r="O509" s="49"/>
      <c r="P509" s="49"/>
      <c r="Q509" s="49"/>
      <c r="R509" s="113"/>
      <c r="S509" s="113"/>
      <c r="T509" s="113"/>
      <c r="U509" s="113"/>
      <c r="V509" s="113"/>
      <c r="W509" s="113"/>
      <c r="X509" s="113"/>
    </row>
    <row r="510" spans="2:24" s="33" customFormat="1" ht="16" hidden="1" x14ac:dyDescent="0.2">
      <c r="C510" s="3"/>
      <c r="F510" s="41"/>
      <c r="L510" s="34"/>
      <c r="M510" s="49"/>
      <c r="N510" s="49"/>
      <c r="O510" s="49"/>
      <c r="P510" s="49"/>
      <c r="Q510" s="49"/>
      <c r="R510" s="113"/>
      <c r="S510" s="113"/>
      <c r="T510" s="113"/>
      <c r="U510" s="113"/>
      <c r="V510" s="113"/>
      <c r="W510" s="113"/>
      <c r="X510" s="113"/>
    </row>
    <row r="511" spans="2:24" s="33" customFormat="1" ht="30" hidden="1" customHeight="1" x14ac:dyDescent="0.2">
      <c r="B511" s="169" t="s">
        <v>70</v>
      </c>
      <c r="C511" s="169"/>
      <c r="D511" s="169"/>
      <c r="E511" s="169"/>
      <c r="F511" s="169"/>
      <c r="G511" s="169"/>
      <c r="H511" s="169"/>
      <c r="I511" s="169"/>
      <c r="J511" s="169"/>
      <c r="K511" s="169"/>
      <c r="L511" s="34"/>
      <c r="M511" s="49"/>
      <c r="N511" s="49"/>
      <c r="O511" s="49"/>
      <c r="P511" s="49"/>
      <c r="Q511" s="49"/>
      <c r="R511" s="113"/>
      <c r="S511" s="113"/>
      <c r="T511" s="113"/>
      <c r="U511" s="113"/>
      <c r="V511" s="113"/>
      <c r="W511" s="113"/>
      <c r="X511" s="113"/>
    </row>
    <row r="512" spans="2:24" s="33" customFormat="1" ht="16" hidden="1" x14ac:dyDescent="0.2">
      <c r="C512" s="3"/>
      <c r="F512" s="41"/>
      <c r="L512" s="34"/>
      <c r="M512" s="49"/>
      <c r="N512" s="49"/>
      <c r="O512" s="49"/>
      <c r="P512" s="49"/>
      <c r="Q512" s="49"/>
      <c r="R512" s="113"/>
      <c r="S512" s="113"/>
      <c r="T512" s="113"/>
      <c r="U512" s="113"/>
      <c r="V512" s="113"/>
      <c r="W512" s="113"/>
      <c r="X512" s="113"/>
    </row>
    <row r="513" spans="2:24" s="33" customFormat="1" ht="16" hidden="1" x14ac:dyDescent="0.2">
      <c r="C513" s="3"/>
      <c r="F513" s="41"/>
      <c r="L513" s="34"/>
      <c r="M513" s="49"/>
      <c r="N513" s="49"/>
      <c r="O513" s="49"/>
      <c r="P513" s="49"/>
      <c r="Q513" s="49"/>
      <c r="R513" s="113"/>
      <c r="S513" s="113"/>
      <c r="T513" s="113"/>
      <c r="U513" s="113"/>
      <c r="V513" s="113"/>
      <c r="W513" s="113"/>
      <c r="X513" s="113"/>
    </row>
    <row r="514" spans="2:24" s="33" customFormat="1" ht="17" hidden="1" x14ac:dyDescent="0.2">
      <c r="C514" s="96" t="s">
        <v>7</v>
      </c>
      <c r="D514" s="175" t="s">
        <v>8</v>
      </c>
      <c r="E514" s="175"/>
      <c r="F514" s="41"/>
      <c r="L514" s="34"/>
      <c r="M514" s="49"/>
      <c r="N514" s="49"/>
      <c r="O514" s="49"/>
      <c r="P514" s="49"/>
      <c r="Q514" s="49"/>
      <c r="R514" s="113"/>
      <c r="S514" s="113"/>
      <c r="T514" s="113"/>
      <c r="U514" s="113"/>
      <c r="V514" s="113"/>
      <c r="W514" s="113"/>
      <c r="X514" s="113"/>
    </row>
    <row r="515" spans="2:24" s="33" customFormat="1" ht="17" hidden="1" x14ac:dyDescent="0.2">
      <c r="C515" s="106" t="s">
        <v>29</v>
      </c>
      <c r="D515" s="52">
        <f>COUNTIF(Q16:Q429,"&lt;0%")+COUNTIF(Q16:Q429,"=0")</f>
        <v>52</v>
      </c>
      <c r="E515" s="86">
        <f t="shared" ref="E515:E521" si="99">+D515/$C$529</f>
        <v>0.12560386473429952</v>
      </c>
      <c r="F515" s="41"/>
      <c r="L515" s="34"/>
      <c r="M515" s="49"/>
      <c r="N515" s="49"/>
      <c r="O515" s="49"/>
      <c r="P515" s="49"/>
      <c r="Q515" s="49"/>
      <c r="R515" s="113"/>
      <c r="S515" s="113"/>
      <c r="T515" s="113"/>
      <c r="U515" s="113"/>
      <c r="V515" s="113"/>
      <c r="W515" s="113"/>
      <c r="X515" s="113"/>
    </row>
    <row r="516" spans="2:24" s="33" customFormat="1" ht="17" hidden="1" x14ac:dyDescent="0.2">
      <c r="C516" s="106" t="s">
        <v>30</v>
      </c>
      <c r="D516" s="52">
        <f>COUNTIF(Q16:Q429,"&gt;0%")-COUNTIF(Q16:Q429,"&gt;3%")</f>
        <v>48</v>
      </c>
      <c r="E516" s="86">
        <f t="shared" si="99"/>
        <v>0.11594202898550725</v>
      </c>
      <c r="F516" s="41"/>
      <c r="L516" s="34"/>
      <c r="M516" s="49"/>
      <c r="N516" s="49"/>
      <c r="O516" s="49"/>
      <c r="P516" s="49"/>
      <c r="Q516" s="49"/>
      <c r="R516" s="113"/>
      <c r="S516" s="113"/>
      <c r="T516" s="113"/>
      <c r="U516" s="113"/>
      <c r="V516" s="113"/>
      <c r="W516" s="113"/>
      <c r="X516" s="113"/>
    </row>
    <row r="517" spans="2:24" s="33" customFormat="1" ht="17" hidden="1" x14ac:dyDescent="0.2">
      <c r="C517" s="106" t="s">
        <v>31</v>
      </c>
      <c r="D517" s="52">
        <f>COUNTIF(Q16:Q429,"&gt;3%")-COUNTIF(Q16:Q429,"&gt;6%")</f>
        <v>58</v>
      </c>
      <c r="E517" s="86">
        <f t="shared" si="99"/>
        <v>0.14009661835748793</v>
      </c>
      <c r="F517" s="41"/>
      <c r="L517" s="34"/>
      <c r="M517" s="49"/>
      <c r="N517" s="49"/>
      <c r="O517" s="49"/>
      <c r="P517" s="49"/>
      <c r="Q517" s="49"/>
      <c r="R517" s="113"/>
      <c r="S517" s="113"/>
      <c r="T517" s="113"/>
      <c r="U517" s="113"/>
      <c r="V517" s="113"/>
      <c r="W517" s="113"/>
      <c r="X517" s="113"/>
    </row>
    <row r="518" spans="2:24" s="33" customFormat="1" ht="17" hidden="1" x14ac:dyDescent="0.2">
      <c r="C518" s="106" t="s">
        <v>32</v>
      </c>
      <c r="D518" s="52">
        <f>COUNTIF(Q16:Q429,"&gt;6%")-COUNTIF(Q16:Q429,"&gt;9%")</f>
        <v>54</v>
      </c>
      <c r="E518" s="86">
        <f t="shared" si="99"/>
        <v>0.13043478260869565</v>
      </c>
      <c r="F518" s="41"/>
      <c r="L518" s="34"/>
      <c r="M518" s="49"/>
      <c r="N518" s="49"/>
      <c r="O518" s="49"/>
      <c r="P518" s="49"/>
      <c r="Q518" s="49"/>
      <c r="R518" s="113"/>
      <c r="S518" s="113"/>
      <c r="T518" s="113"/>
      <c r="U518" s="113"/>
      <c r="V518" s="113"/>
      <c r="W518" s="113"/>
      <c r="X518" s="113"/>
    </row>
    <row r="519" spans="2:24" s="33" customFormat="1" ht="17" hidden="1" x14ac:dyDescent="0.2">
      <c r="C519" s="106" t="s">
        <v>33</v>
      </c>
      <c r="D519" s="52">
        <f>COUNTIF(Q16:Q429,"&gt;9%")-COUNTIF(Q16:Q429,"&gt;12%")</f>
        <v>53</v>
      </c>
      <c r="E519" s="86">
        <f t="shared" si="99"/>
        <v>0.1280193236714976</v>
      </c>
      <c r="F519" s="41"/>
      <c r="L519" s="34"/>
      <c r="M519" s="49"/>
      <c r="N519" s="49"/>
      <c r="O519" s="49"/>
      <c r="P519" s="49"/>
      <c r="Q519" s="49"/>
      <c r="R519" s="113"/>
      <c r="S519" s="113"/>
      <c r="T519" s="113"/>
      <c r="U519" s="113"/>
      <c r="V519" s="113"/>
      <c r="W519" s="113"/>
      <c r="X519" s="113"/>
    </row>
    <row r="520" spans="2:24" s="33" customFormat="1" ht="17" hidden="1" x14ac:dyDescent="0.2">
      <c r="C520" s="106" t="s">
        <v>34</v>
      </c>
      <c r="D520" s="52">
        <f>COUNTIF(Q16:Q429,"&gt;12%")-COUNTIF(Q16:Q429,"&gt;15%")</f>
        <v>38</v>
      </c>
      <c r="E520" s="86">
        <f>+D520/$C$529</f>
        <v>9.1787439613526575E-2</v>
      </c>
      <c r="F520" s="41"/>
      <c r="L520" s="34"/>
      <c r="M520" s="49"/>
      <c r="N520" s="49"/>
      <c r="O520" s="49"/>
      <c r="P520" s="49"/>
      <c r="Q520" s="49"/>
      <c r="R520" s="113"/>
      <c r="S520" s="113"/>
      <c r="T520" s="113"/>
      <c r="U520" s="113"/>
      <c r="V520" s="113"/>
      <c r="W520" s="113"/>
      <c r="X520" s="113"/>
    </row>
    <row r="521" spans="2:24" s="33" customFormat="1" ht="17" hidden="1" x14ac:dyDescent="0.2">
      <c r="C521" s="106" t="s">
        <v>35</v>
      </c>
      <c r="D521" s="52">
        <f>COUNTIF(Q16:Q429,"&gt;15%")</f>
        <v>111</v>
      </c>
      <c r="E521" s="86">
        <f t="shared" si="99"/>
        <v>0.26811594202898553</v>
      </c>
      <c r="F521" s="41"/>
      <c r="L521" s="34"/>
      <c r="M521" s="49"/>
      <c r="N521" s="49"/>
      <c r="O521" s="49"/>
      <c r="P521" s="49"/>
      <c r="Q521" s="49"/>
      <c r="R521" s="113"/>
      <c r="S521" s="113"/>
      <c r="T521" s="113"/>
      <c r="U521" s="113"/>
      <c r="V521" s="113"/>
      <c r="W521" s="113"/>
      <c r="X521" s="113"/>
    </row>
    <row r="522" spans="2:24" s="33" customFormat="1" ht="17" hidden="1" x14ac:dyDescent="0.2">
      <c r="C522" s="96" t="s">
        <v>15</v>
      </c>
      <c r="D522" s="54">
        <f>SUM(D515:D521)</f>
        <v>414</v>
      </c>
      <c r="E522" s="87">
        <f>SUM(E515:E521)</f>
        <v>1</v>
      </c>
      <c r="F522" s="41"/>
      <c r="L522" s="34"/>
      <c r="M522" s="49"/>
      <c r="N522" s="49"/>
      <c r="O522" s="49"/>
      <c r="P522" s="49"/>
      <c r="Q522" s="49"/>
      <c r="R522" s="113"/>
      <c r="S522" s="113"/>
      <c r="T522" s="113"/>
      <c r="U522" s="113"/>
      <c r="V522" s="113"/>
      <c r="W522" s="113"/>
      <c r="X522" s="113"/>
    </row>
    <row r="523" spans="2:24" s="33" customFormat="1" ht="16" hidden="1" x14ac:dyDescent="0.2">
      <c r="C523" s="3"/>
      <c r="F523" s="41"/>
      <c r="L523" s="34"/>
      <c r="M523" s="49"/>
      <c r="N523" s="49"/>
      <c r="O523" s="49"/>
      <c r="P523" s="49"/>
      <c r="Q523" s="49"/>
      <c r="R523" s="113"/>
      <c r="S523" s="113"/>
      <c r="T523" s="113"/>
      <c r="U523" s="113"/>
      <c r="V523" s="113"/>
      <c r="W523" s="113"/>
      <c r="X523" s="113"/>
    </row>
    <row r="524" spans="2:24" s="33" customFormat="1" ht="16" hidden="1" x14ac:dyDescent="0.2">
      <c r="C524" s="3"/>
      <c r="F524" s="41"/>
      <c r="L524" s="34"/>
      <c r="M524" s="49"/>
      <c r="N524" s="49"/>
      <c r="O524" s="49"/>
      <c r="P524" s="49"/>
      <c r="Q524" s="49"/>
      <c r="R524" s="113"/>
      <c r="S524" s="113"/>
      <c r="T524" s="113"/>
      <c r="U524" s="113"/>
      <c r="V524" s="113"/>
      <c r="W524" s="113"/>
      <c r="X524" s="113"/>
    </row>
    <row r="525" spans="2:24" s="33" customFormat="1" ht="16" x14ac:dyDescent="0.2">
      <c r="C525" s="3"/>
      <c r="F525" s="41"/>
      <c r="L525" s="34"/>
      <c r="M525" s="49"/>
      <c r="N525" s="49"/>
      <c r="O525" s="49"/>
      <c r="P525" s="49"/>
      <c r="Q525" s="49"/>
      <c r="R525" s="113"/>
      <c r="S525" s="113"/>
      <c r="T525" s="113"/>
      <c r="U525" s="113"/>
      <c r="V525" s="113"/>
      <c r="W525" s="113"/>
      <c r="X525" s="113"/>
    </row>
    <row r="526" spans="2:24" s="33" customFormat="1" ht="25" customHeight="1" x14ac:dyDescent="0.2">
      <c r="C526" s="3"/>
      <c r="D526" s="179"/>
      <c r="E526" s="170" t="s">
        <v>51</v>
      </c>
      <c r="F526" s="171"/>
      <c r="G526" s="171"/>
      <c r="H526" s="172"/>
      <c r="I526" s="173" t="s">
        <v>63</v>
      </c>
      <c r="J526" s="174"/>
      <c r="L526" s="34"/>
      <c r="M526" s="49"/>
      <c r="N526" s="49"/>
      <c r="O526" s="49"/>
      <c r="P526" s="49"/>
      <c r="Q526" s="49"/>
      <c r="R526" s="113"/>
      <c r="S526" s="113"/>
      <c r="T526" s="113"/>
      <c r="U526" s="113"/>
      <c r="V526" s="113"/>
      <c r="W526" s="113"/>
      <c r="X526" s="113"/>
    </row>
    <row r="527" spans="2:24" s="33" customFormat="1" ht="51" x14ac:dyDescent="0.2">
      <c r="B527" s="46"/>
      <c r="C527" s="107"/>
      <c r="D527" s="180"/>
      <c r="E527" s="141" t="s">
        <v>66</v>
      </c>
      <c r="F527" s="157" t="s">
        <v>97</v>
      </c>
      <c r="G527" s="157" t="s">
        <v>65</v>
      </c>
      <c r="H527" s="157" t="s">
        <v>43</v>
      </c>
      <c r="I527" s="157" t="s">
        <v>45</v>
      </c>
      <c r="J527" s="157" t="s">
        <v>44</v>
      </c>
      <c r="M527" s="56"/>
      <c r="N527" s="56"/>
      <c r="O527" s="56"/>
      <c r="P527" s="56"/>
      <c r="Q527" s="56"/>
      <c r="R527" s="113"/>
      <c r="S527" s="113"/>
      <c r="T527" s="113"/>
      <c r="U527" s="113"/>
      <c r="V527" s="113"/>
      <c r="W527" s="113"/>
      <c r="X527" s="113"/>
    </row>
    <row r="528" spans="2:24" s="33" customFormat="1" ht="34" x14ac:dyDescent="0.2">
      <c r="C528" s="57" t="s">
        <v>98</v>
      </c>
      <c r="D528" s="58" t="s">
        <v>64</v>
      </c>
      <c r="E528" s="142">
        <f t="shared" ref="E528:J528" si="100">AVERAGE(L16:L429)</f>
        <v>14121256.014492754</v>
      </c>
      <c r="F528" s="143">
        <f t="shared" si="100"/>
        <v>2.0971615905056424</v>
      </c>
      <c r="G528" s="144">
        <f t="shared" si="100"/>
        <v>0.50879910780837978</v>
      </c>
      <c r="H528" s="143">
        <f t="shared" si="100"/>
        <v>1.5965546635419432</v>
      </c>
      <c r="I528" s="144">
        <f t="shared" si="100"/>
        <v>1.3421829825465765</v>
      </c>
      <c r="J528" s="144">
        <f t="shared" si="100"/>
        <v>9.3777772232163034E-2</v>
      </c>
      <c r="M528" s="59"/>
      <c r="N528" s="59"/>
      <c r="O528" s="59"/>
      <c r="P528" s="59"/>
      <c r="Q528" s="59"/>
      <c r="R528" s="113"/>
      <c r="S528" s="113"/>
      <c r="T528" s="113"/>
      <c r="U528" s="113"/>
      <c r="V528" s="113"/>
      <c r="W528" s="113"/>
      <c r="X528" s="113"/>
    </row>
    <row r="529" spans="2:25" s="33" customFormat="1" ht="24.75" customHeight="1" x14ac:dyDescent="0.2">
      <c r="C529" s="108">
        <f>+K11</f>
        <v>414</v>
      </c>
      <c r="D529" s="58" t="s">
        <v>47</v>
      </c>
      <c r="E529" s="142">
        <f t="shared" ref="E529:J529" si="101">MEDIAN(L16:L429)</f>
        <v>6275718</v>
      </c>
      <c r="F529" s="143">
        <f t="shared" si="101"/>
        <v>1.8836160640352939</v>
      </c>
      <c r="G529" s="144">
        <f t="shared" si="101"/>
        <v>0.50083273656848337</v>
      </c>
      <c r="H529" s="143">
        <f t="shared" si="101"/>
        <v>1.578142761478756</v>
      </c>
      <c r="I529" s="144">
        <f t="shared" si="101"/>
        <v>0.17085430858656775</v>
      </c>
      <c r="J529" s="144">
        <f t="shared" si="101"/>
        <v>8.6672328593791148E-2</v>
      </c>
      <c r="K529" s="140"/>
      <c r="M529" s="59"/>
      <c r="N529" s="59"/>
      <c r="O529" s="59"/>
      <c r="P529" s="59"/>
      <c r="Q529" s="59"/>
      <c r="R529" s="113"/>
      <c r="S529" s="113"/>
      <c r="T529" s="113"/>
      <c r="U529" s="113"/>
      <c r="V529" s="113"/>
      <c r="W529" s="113"/>
      <c r="X529" s="113"/>
    </row>
    <row r="530" spans="2:25" s="33" customFormat="1" ht="24.75" customHeight="1" x14ac:dyDescent="0.2">
      <c r="C530" s="3"/>
      <c r="D530" s="58" t="s">
        <v>99</v>
      </c>
      <c r="E530" s="142">
        <f t="shared" ref="E530:J530" si="102">STDEVA(L16:L429)</f>
        <v>29386443.429378025</v>
      </c>
      <c r="F530" s="143">
        <f t="shared" si="102"/>
        <v>1.0979999222573049</v>
      </c>
      <c r="G530" s="144">
        <f t="shared" si="102"/>
        <v>0.28362960979813134</v>
      </c>
      <c r="H530" s="143">
        <f t="shared" si="102"/>
        <v>1.056807716601962</v>
      </c>
      <c r="I530" s="144">
        <f t="shared" si="102"/>
        <v>22.814321246456167</v>
      </c>
      <c r="J530" s="144">
        <f t="shared" si="102"/>
        <v>0.11871832487793885</v>
      </c>
      <c r="L530" s="160">
        <f>G534+G535</f>
        <v>1.2999912325921057</v>
      </c>
      <c r="M530" s="59"/>
      <c r="N530" s="59"/>
      <c r="O530" s="59"/>
      <c r="P530" s="59"/>
      <c r="Q530" s="59"/>
      <c r="R530" s="113"/>
      <c r="S530" s="113"/>
      <c r="T530" s="113"/>
      <c r="U530" s="113"/>
      <c r="V530" s="113"/>
      <c r="W530" s="113"/>
      <c r="X530" s="113"/>
    </row>
    <row r="531" spans="2:25" s="33" customFormat="1" ht="24.75" customHeight="1" x14ac:dyDescent="0.2">
      <c r="C531" s="3"/>
      <c r="D531" s="58" t="s">
        <v>100</v>
      </c>
      <c r="E531" s="142">
        <f>MIN(L16:L429)</f>
        <v>-25293778</v>
      </c>
      <c r="F531" s="143">
        <f>MIN(M16:M429)</f>
        <v>0.10975855442598562</v>
      </c>
      <c r="G531" s="144">
        <f>MIN(N16:N429)</f>
        <v>1.3063695046788221E-3</v>
      </c>
      <c r="H531" s="143">
        <f>MIN(O16:O429)</f>
        <v>8.6801500057769286E-3</v>
      </c>
      <c r="I531" s="144">
        <f>MIN(P16:P429)</f>
        <v>-3.6958696795859285</v>
      </c>
      <c r="J531" s="144">
        <f>+MIN(Q16:Q429)</f>
        <v>-0.42366708656017771</v>
      </c>
      <c r="M531" s="59"/>
      <c r="N531" s="59"/>
      <c r="O531" s="59"/>
      <c r="P531" s="59"/>
      <c r="Q531" s="59"/>
      <c r="R531" s="113"/>
      <c r="S531" s="113"/>
      <c r="T531" s="113"/>
      <c r="U531" s="113"/>
      <c r="V531" s="113"/>
      <c r="W531" s="113"/>
      <c r="X531" s="113"/>
    </row>
    <row r="532" spans="2:25" s="33" customFormat="1" ht="24.75" customHeight="1" x14ac:dyDescent="0.2">
      <c r="C532" s="3"/>
      <c r="D532" s="60" t="s">
        <v>101</v>
      </c>
      <c r="E532" s="145">
        <f t="shared" ref="E532:J532" si="103">MAX(L16:L429)</f>
        <v>359117335</v>
      </c>
      <c r="F532" s="146">
        <f t="shared" si="103"/>
        <v>7.7623437483244384</v>
      </c>
      <c r="G532" s="147">
        <f t="shared" si="103"/>
        <v>3.1935224526068895</v>
      </c>
      <c r="H532" s="147">
        <f t="shared" si="103"/>
        <v>3.3867508808391107</v>
      </c>
      <c r="I532" s="147">
        <f t="shared" si="103"/>
        <v>464.2908953532301</v>
      </c>
      <c r="J532" s="147">
        <f t="shared" si="103"/>
        <v>0.77982987772461454</v>
      </c>
      <c r="M532" s="59"/>
      <c r="N532" s="59"/>
      <c r="O532" s="59"/>
      <c r="P532" s="59"/>
      <c r="Q532" s="59"/>
      <c r="R532" s="113"/>
      <c r="S532" s="113"/>
      <c r="T532" s="113"/>
      <c r="U532" s="113"/>
      <c r="V532" s="113"/>
      <c r="W532" s="113"/>
      <c r="X532" s="113"/>
    </row>
    <row r="533" spans="2:25" s="33" customFormat="1" ht="24.75" customHeight="1" x14ac:dyDescent="0.2">
      <c r="C533" s="3"/>
      <c r="D533" s="60" t="s">
        <v>88</v>
      </c>
      <c r="E533" s="145">
        <f>IF((E528-E530)&lt;0,0,E528-E530)</f>
        <v>0</v>
      </c>
      <c r="F533" s="148">
        <f t="shared" ref="F533:J533" si="104">IF((F528-F530)&lt;0,0,F528-F530)</f>
        <v>0.99916166824833752</v>
      </c>
      <c r="G533" s="149">
        <f>IF((G528-G530)&lt;0,0,G528-G530)</f>
        <v>0.22516949801024844</v>
      </c>
      <c r="H533" s="148">
        <f>IF((H528-H530)&lt;0,0,H528-H530)</f>
        <v>0.53974694693998115</v>
      </c>
      <c r="I533" s="147">
        <f>IF((I528-I530)&lt;0,0,I528-I530)</f>
        <v>0</v>
      </c>
      <c r="J533" s="147">
        <f t="shared" si="104"/>
        <v>0</v>
      </c>
      <c r="K533" s="140"/>
      <c r="M533" s="59"/>
      <c r="N533" s="59"/>
      <c r="O533" s="59"/>
      <c r="P533" s="59"/>
      <c r="Q533" s="59"/>
      <c r="R533" s="113"/>
      <c r="S533" s="113"/>
      <c r="T533" s="113"/>
      <c r="U533" s="113"/>
      <c r="V533" s="113"/>
      <c r="W533" s="113"/>
      <c r="X533" s="113"/>
    </row>
    <row r="534" spans="2:25" s="33" customFormat="1" ht="24.75" customHeight="1" x14ac:dyDescent="0.2">
      <c r="C534" s="3"/>
      <c r="D534" s="60" t="s">
        <v>89</v>
      </c>
      <c r="E534" s="145">
        <f>+E528+E530</f>
        <v>43507699.443870783</v>
      </c>
      <c r="F534" s="148">
        <f>+F528+F530</f>
        <v>3.1951615127629474</v>
      </c>
      <c r="G534" s="149">
        <f>+G528+G530</f>
        <v>0.79242871760651112</v>
      </c>
      <c r="H534" s="148">
        <f>+H528+H530</f>
        <v>2.6533623801439052</v>
      </c>
      <c r="I534" s="147">
        <f>IF((I528-I532)&lt;50,0.3,I528-I532)</f>
        <v>0.3</v>
      </c>
      <c r="J534" s="147">
        <f t="shared" ref="J534" si="105">+J528+J530</f>
        <v>0.21249609711010187</v>
      </c>
      <c r="M534" s="59"/>
      <c r="N534" s="59"/>
      <c r="O534" s="59"/>
      <c r="P534" s="59"/>
      <c r="Q534" s="59"/>
      <c r="R534" s="113"/>
      <c r="S534" s="113"/>
      <c r="T534" s="113"/>
      <c r="U534" s="113"/>
      <c r="V534" s="113"/>
      <c r="W534" s="113"/>
      <c r="X534" s="113"/>
    </row>
    <row r="535" spans="2:25" s="33" customFormat="1" ht="24.75" customHeight="1" x14ac:dyDescent="0.2">
      <c r="C535" s="3"/>
      <c r="D535" s="58" t="s">
        <v>46</v>
      </c>
      <c r="E535" s="142">
        <f>ROUND(AVERAGEIFS(L16:L429,L16:L429,"&gt;="&amp;E533,L16:L429,"&lt;="&amp;E534),0)</f>
        <v>9527256</v>
      </c>
      <c r="F535" s="148">
        <f>AVERAGEIFS(M16:M429,M16:M429,"&gt;="&amp;F533,M16:M429,"&lt;="&amp;F534)</f>
        <v>1.9132381497289124</v>
      </c>
      <c r="G535" s="149">
        <f>AVERAGEIFS(N16:N429,N16:N429,"&gt;="&amp;G533,N16:N429,"&lt;="&amp;G534)</f>
        <v>0.50756251498559457</v>
      </c>
      <c r="H535" s="148">
        <f>AVERAGEIFS(O16:O429,O16:O429,"&gt;="&amp;H533,O16:O429,"&lt;="&amp;H534)</f>
        <v>1.6380201091217441</v>
      </c>
      <c r="I535" s="147">
        <f>AVERAGEIFS(P16:P429,P16:P429,"&gt;="&amp;I533,P16:P429,"&lt;="&amp;I534)</f>
        <v>0.14150183584641218</v>
      </c>
      <c r="J535" s="147">
        <f>AVERAGEIFS(Q16:Q429,Q16:Q429,"&gt;="&amp;J533,Q16:Q429,"&lt;="&amp;J534)</f>
        <v>9.3371087134283645E-2</v>
      </c>
      <c r="K535" s="160">
        <f>AVERAGE(G528:G535)</f>
        <v>0.75165637586111467</v>
      </c>
      <c r="L535" s="136"/>
      <c r="M535" s="61"/>
      <c r="N535" s="62"/>
      <c r="O535" s="62"/>
      <c r="P535" s="61"/>
      <c r="Q535" s="61"/>
      <c r="R535" s="63"/>
      <c r="S535" s="63"/>
      <c r="T535" s="63"/>
      <c r="U535" s="63"/>
      <c r="V535" s="63"/>
      <c r="W535" s="63"/>
      <c r="X535" s="63"/>
      <c r="Y535" s="63"/>
    </row>
    <row r="536" spans="2:25" s="46" customFormat="1" ht="16" x14ac:dyDescent="0.2">
      <c r="B536" s="64"/>
      <c r="C536" s="65"/>
      <c r="D536" s="89"/>
      <c r="E536" s="150"/>
      <c r="F536" s="150"/>
      <c r="G536" s="150"/>
      <c r="H536" s="150"/>
      <c r="I536" s="150"/>
      <c r="J536" s="150"/>
      <c r="K536" s="66"/>
      <c r="L536" s="67"/>
      <c r="M536" s="67"/>
      <c r="N536" s="67"/>
      <c r="O536" s="67"/>
      <c r="P536" s="67"/>
      <c r="Q536" s="68"/>
      <c r="R536" s="115"/>
      <c r="S536" s="115"/>
      <c r="T536" s="115"/>
      <c r="U536" s="115"/>
      <c r="V536" s="115"/>
      <c r="W536" s="115"/>
      <c r="X536" s="115"/>
    </row>
    <row r="537" spans="2:25" s="69" customFormat="1" ht="16" x14ac:dyDescent="0.2">
      <c r="C537" s="124" t="s">
        <v>102</v>
      </c>
      <c r="D537" s="33"/>
      <c r="E537" s="33"/>
      <c r="F537" s="151"/>
      <c r="G537" s="33"/>
      <c r="H537" s="33"/>
      <c r="I537" s="46"/>
      <c r="J537" s="46"/>
      <c r="K537" s="70"/>
      <c r="L537" s="71"/>
      <c r="M537" s="72"/>
      <c r="N537" s="72"/>
      <c r="O537" s="72"/>
      <c r="P537" s="72"/>
      <c r="Q537" s="72"/>
      <c r="R537" s="116"/>
      <c r="S537" s="116"/>
      <c r="T537" s="116"/>
      <c r="U537" s="116"/>
      <c r="V537" s="116"/>
      <c r="W537" s="116"/>
      <c r="X537" s="116"/>
    </row>
    <row r="538" spans="2:25" s="46" customFormat="1" ht="16" x14ac:dyDescent="0.2">
      <c r="B538" s="33"/>
      <c r="C538" s="107"/>
      <c r="L538" s="73"/>
      <c r="M538" s="68"/>
      <c r="N538" s="68"/>
      <c r="O538" s="68"/>
      <c r="P538" s="68"/>
      <c r="Q538" s="68"/>
      <c r="R538" s="115"/>
      <c r="S538" s="115"/>
      <c r="T538" s="115"/>
      <c r="U538" s="115"/>
      <c r="V538" s="115"/>
      <c r="W538" s="115"/>
      <c r="X538" s="115"/>
    </row>
    <row r="539" spans="2:25" s="46" customFormat="1" ht="35" customHeight="1" x14ac:dyDescent="0.2">
      <c r="B539" s="33"/>
      <c r="C539" s="107"/>
      <c r="D539" s="33"/>
      <c r="E539" s="167" t="s">
        <v>51</v>
      </c>
      <c r="F539" s="167"/>
      <c r="G539" s="167"/>
      <c r="H539" s="167"/>
      <c r="I539" s="168" t="s">
        <v>63</v>
      </c>
      <c r="J539" s="168"/>
      <c r="L539" s="73"/>
      <c r="M539" s="68"/>
      <c r="N539" s="68"/>
      <c r="O539" s="68"/>
      <c r="P539" s="68"/>
      <c r="Q539" s="68"/>
      <c r="R539" s="115"/>
      <c r="S539" s="115"/>
      <c r="T539" s="115"/>
      <c r="U539" s="115"/>
      <c r="V539" s="115"/>
      <c r="W539" s="115"/>
      <c r="X539" s="115"/>
    </row>
    <row r="540" spans="2:25" s="46" customFormat="1" ht="34" x14ac:dyDescent="0.2">
      <c r="C540" s="107"/>
      <c r="D540" s="74"/>
      <c r="E540" s="152" t="s">
        <v>42</v>
      </c>
      <c r="F540" s="158" t="s">
        <v>97</v>
      </c>
      <c r="G540" s="158" t="s">
        <v>65</v>
      </c>
      <c r="H540" s="158" t="s">
        <v>43</v>
      </c>
      <c r="I540" s="159" t="s">
        <v>45</v>
      </c>
      <c r="J540" s="159" t="s">
        <v>44</v>
      </c>
      <c r="L540" s="73"/>
      <c r="M540" s="68"/>
      <c r="N540" s="68"/>
      <c r="O540" s="68"/>
      <c r="P540" s="68"/>
      <c r="Q540" s="68"/>
      <c r="R540" s="115"/>
      <c r="S540" s="115"/>
      <c r="T540" s="115"/>
      <c r="U540" s="115"/>
      <c r="V540" s="115"/>
      <c r="W540" s="115"/>
      <c r="X540" s="115"/>
    </row>
    <row r="541" spans="2:25" s="46" customFormat="1" ht="17" x14ac:dyDescent="0.2">
      <c r="C541" s="107"/>
      <c r="D541" s="74"/>
      <c r="E541" s="153" t="s">
        <v>48</v>
      </c>
      <c r="F541" s="153" t="s">
        <v>48</v>
      </c>
      <c r="G541" s="153" t="s">
        <v>49</v>
      </c>
      <c r="H541" s="153" t="s">
        <v>48</v>
      </c>
      <c r="I541" s="153" t="s">
        <v>48</v>
      </c>
      <c r="J541" s="153" t="s">
        <v>48</v>
      </c>
      <c r="L541" s="73"/>
      <c r="M541" s="68"/>
      <c r="N541" s="68"/>
      <c r="O541" s="68"/>
      <c r="P541" s="68"/>
      <c r="Q541" s="68"/>
      <c r="R541" s="115"/>
      <c r="S541" s="115"/>
      <c r="T541" s="115"/>
      <c r="U541" s="115"/>
      <c r="V541" s="115"/>
      <c r="W541" s="115"/>
      <c r="X541" s="115"/>
    </row>
    <row r="542" spans="2:25" s="46" customFormat="1" ht="38" customHeight="1" x14ac:dyDescent="0.2">
      <c r="C542" s="107"/>
      <c r="D542" s="57" t="s">
        <v>67</v>
      </c>
      <c r="E542" s="75">
        <v>0.05</v>
      </c>
      <c r="F542" s="154">
        <v>1.8</v>
      </c>
      <c r="G542" s="155">
        <v>1.02</v>
      </c>
      <c r="H542" s="156">
        <v>1.06</v>
      </c>
      <c r="I542" s="155">
        <v>0.17</v>
      </c>
      <c r="J542" s="155">
        <v>0.09</v>
      </c>
      <c r="K542" s="46" t="s">
        <v>116</v>
      </c>
      <c r="L542" s="73"/>
      <c r="M542" s="68"/>
      <c r="N542" s="68"/>
      <c r="O542" s="68"/>
      <c r="P542" s="68"/>
      <c r="Q542" s="68"/>
      <c r="R542" s="115"/>
      <c r="S542" s="115"/>
      <c r="T542" s="115"/>
      <c r="U542" s="115"/>
      <c r="V542" s="115"/>
      <c r="W542" s="115"/>
      <c r="X542" s="115"/>
    </row>
    <row r="543" spans="2:25" s="33" customFormat="1" ht="48.5" customHeight="1" x14ac:dyDescent="0.2">
      <c r="B543" s="46"/>
      <c r="C543" s="3"/>
      <c r="D543" s="57" t="s">
        <v>72</v>
      </c>
      <c r="E543" s="75">
        <f>R430/$C$529</f>
        <v>0.95410628019323673</v>
      </c>
      <c r="F543" s="75">
        <f>S430/$C$529</f>
        <v>0.35748792270531399</v>
      </c>
      <c r="G543" s="75">
        <f>T430/$C$529</f>
        <v>0.97584541062801933</v>
      </c>
      <c r="H543" s="75">
        <f t="shared" ref="H543:J543" si="106">U430/$C$529</f>
        <v>0.50966183574879231</v>
      </c>
      <c r="I543" s="75">
        <f t="shared" si="106"/>
        <v>0.50241545893719808</v>
      </c>
      <c r="J543" s="75">
        <f t="shared" si="106"/>
        <v>0.48792270531400966</v>
      </c>
      <c r="K543" s="76"/>
      <c r="L543" s="34"/>
      <c r="M543" s="49"/>
      <c r="N543" s="49"/>
      <c r="O543" s="49"/>
      <c r="P543" s="49"/>
      <c r="Q543" s="49"/>
      <c r="R543" s="113"/>
      <c r="S543" s="113"/>
      <c r="T543" s="113"/>
      <c r="U543" s="113"/>
      <c r="V543" s="113"/>
      <c r="W543" s="113"/>
      <c r="X543" s="113"/>
    </row>
    <row r="544" spans="2:25" s="33" customFormat="1" ht="49" customHeight="1" x14ac:dyDescent="0.2">
      <c r="B544" s="46"/>
      <c r="C544" s="3"/>
      <c r="D544" s="57" t="s">
        <v>68</v>
      </c>
      <c r="E544" s="164">
        <f>+X430/$C$529</f>
        <v>7.7294685990338161E-2</v>
      </c>
      <c r="F544" s="165"/>
      <c r="G544" s="165"/>
      <c r="H544" s="165"/>
      <c r="I544" s="165"/>
      <c r="J544" s="166"/>
      <c r="K544" s="76"/>
      <c r="L544" s="34"/>
      <c r="M544" s="77"/>
      <c r="N544" s="49"/>
      <c r="O544" s="49"/>
      <c r="P544" s="49"/>
      <c r="Q544" s="49"/>
      <c r="R544" s="113"/>
      <c r="S544" s="113"/>
      <c r="T544" s="113"/>
      <c r="U544" s="113"/>
      <c r="V544" s="113"/>
      <c r="W544" s="113"/>
      <c r="X544" s="113"/>
    </row>
    <row r="545" spans="2:24" s="33" customFormat="1" ht="51" x14ac:dyDescent="0.2">
      <c r="B545" s="46"/>
      <c r="C545" s="107"/>
      <c r="D545" s="57" t="s">
        <v>94</v>
      </c>
      <c r="E545" s="176">
        <f>X430</f>
        <v>32</v>
      </c>
      <c r="F545" s="177"/>
      <c r="G545" s="177"/>
      <c r="H545" s="177"/>
      <c r="I545" s="177"/>
      <c r="J545" s="178"/>
      <c r="L545" s="34"/>
      <c r="M545" s="49"/>
      <c r="N545" s="49"/>
      <c r="O545" s="49"/>
      <c r="P545" s="49"/>
      <c r="Q545" s="49"/>
      <c r="R545" s="113"/>
      <c r="S545" s="113"/>
      <c r="T545" s="113"/>
      <c r="U545" s="113"/>
      <c r="V545" s="113"/>
      <c r="W545" s="113"/>
      <c r="X545" s="113"/>
    </row>
    <row r="546" spans="2:24" s="33" customFormat="1" ht="16" x14ac:dyDescent="0.2">
      <c r="B546" s="46"/>
      <c r="C546" s="107"/>
      <c r="D546" s="46"/>
      <c r="E546" s="46"/>
      <c r="F546" s="46"/>
      <c r="G546" s="85"/>
      <c r="H546" s="46"/>
      <c r="L546" s="34"/>
      <c r="M546" s="49"/>
      <c r="N546" s="49"/>
      <c r="O546" s="49"/>
      <c r="P546" s="49"/>
      <c r="Q546" s="49"/>
      <c r="R546" s="113"/>
      <c r="S546" s="113"/>
      <c r="T546" s="113"/>
      <c r="U546" s="113"/>
      <c r="V546" s="113"/>
      <c r="W546" s="113"/>
      <c r="X546" s="113"/>
    </row>
    <row r="547" spans="2:24" s="33" customFormat="1" ht="16" x14ac:dyDescent="0.2">
      <c r="B547" s="46"/>
      <c r="C547" s="107"/>
      <c r="D547" s="88"/>
      <c r="E547" s="74"/>
      <c r="F547" s="74"/>
      <c r="G547" s="74"/>
      <c r="H547" s="74"/>
      <c r="I547" s="74"/>
      <c r="J547" s="63"/>
      <c r="L547" s="34"/>
      <c r="M547" s="49"/>
      <c r="N547" s="49"/>
      <c r="O547" s="49"/>
      <c r="P547" s="49"/>
      <c r="Q547" s="49"/>
      <c r="R547" s="113"/>
      <c r="S547" s="113"/>
      <c r="T547" s="113"/>
      <c r="U547" s="113"/>
      <c r="V547" s="113"/>
      <c r="W547" s="113"/>
      <c r="X547" s="113"/>
    </row>
    <row r="548" spans="2:24" s="3" customFormat="1" ht="35.25" customHeight="1" x14ac:dyDescent="0.2">
      <c r="B548" s="74"/>
      <c r="C548" s="88"/>
      <c r="D548" s="1"/>
      <c r="E548" s="1"/>
      <c r="F548" s="13"/>
      <c r="G548" s="1"/>
      <c r="H548" s="1"/>
      <c r="I548" s="1"/>
      <c r="J548" s="1"/>
      <c r="L548" s="4"/>
      <c r="M548" s="5"/>
      <c r="N548" s="5"/>
      <c r="O548" s="5"/>
      <c r="P548" s="5"/>
      <c r="Q548" s="5"/>
      <c r="R548" s="64"/>
      <c r="S548" s="64"/>
      <c r="T548" s="64"/>
      <c r="U548" s="64"/>
      <c r="V548" s="64"/>
      <c r="W548" s="64"/>
      <c r="X548" s="64"/>
    </row>
    <row r="549" spans="2:24" x14ac:dyDescent="0.2">
      <c r="D549" s="163"/>
      <c r="E549" s="163"/>
    </row>
    <row r="550" spans="2:24" x14ac:dyDescent="0.2">
      <c r="D550" s="27"/>
    </row>
    <row r="551" spans="2:24" x14ac:dyDescent="0.2">
      <c r="C551" s="109"/>
      <c r="D551" s="27"/>
      <c r="G551" s="28"/>
    </row>
    <row r="552" spans="2:24" x14ac:dyDescent="0.2">
      <c r="C552" s="110"/>
      <c r="F552" s="1"/>
    </row>
    <row r="553" spans="2:24" x14ac:dyDescent="0.2">
      <c r="C553" s="110"/>
      <c r="F553" s="1"/>
    </row>
    <row r="554" spans="2:24" x14ac:dyDescent="0.2">
      <c r="F554" s="1"/>
    </row>
    <row r="555" spans="2:24" x14ac:dyDescent="0.2">
      <c r="F555" s="1"/>
    </row>
    <row r="556" spans="2:24" x14ac:dyDescent="0.2">
      <c r="F556" s="1"/>
    </row>
    <row r="557" spans="2:24" x14ac:dyDescent="0.2">
      <c r="F557" s="1"/>
    </row>
    <row r="558" spans="2:24" x14ac:dyDescent="0.2">
      <c r="F558" s="1"/>
    </row>
  </sheetData>
  <sheetProtection selectLockedCells="1" selectUnlockedCells="1"/>
  <autoFilter ref="A15:Y430" xr:uid="{00000000-0001-0000-0000-000000000000}"/>
  <sortState xmlns:xlrd2="http://schemas.microsoft.com/office/spreadsheetml/2017/richdata2" ref="A16:Q42">
    <sortCondition ref="L16:L42"/>
  </sortState>
  <mergeCells count="29">
    <mergeCell ref="B434:K434"/>
    <mergeCell ref="D437:E437"/>
    <mergeCell ref="B480:K480"/>
    <mergeCell ref="C1:K1"/>
    <mergeCell ref="C3:C4"/>
    <mergeCell ref="D3:H4"/>
    <mergeCell ref="J3:K3"/>
    <mergeCell ref="C6:K6"/>
    <mergeCell ref="B448:K448"/>
    <mergeCell ref="D8:J8"/>
    <mergeCell ref="D10:J10"/>
    <mergeCell ref="D11:J11"/>
    <mergeCell ref="D9:J9"/>
    <mergeCell ref="D451:E451"/>
    <mergeCell ref="B463:K463"/>
    <mergeCell ref="D466:E466"/>
    <mergeCell ref="D483:E483"/>
    <mergeCell ref="D549:E549"/>
    <mergeCell ref="E544:J544"/>
    <mergeCell ref="E539:H539"/>
    <mergeCell ref="I539:J539"/>
    <mergeCell ref="B496:K496"/>
    <mergeCell ref="E526:H526"/>
    <mergeCell ref="I526:J526"/>
    <mergeCell ref="B511:K511"/>
    <mergeCell ref="D514:E514"/>
    <mergeCell ref="D499:E499"/>
    <mergeCell ref="E545:J545"/>
    <mergeCell ref="D526:D527"/>
  </mergeCells>
  <pageMargins left="0.7" right="0.7" top="0.75" bottom="0.75" header="0.3" footer="0.3"/>
  <pageSetup paperSize="14" scale="37" fitToHeight="0" orientation="portrait" horizontalDpi="4294967294" verticalDpi="4294967294" r:id="rId1"/>
  <headerFooter>
    <oddHeader>&amp;C&amp;"Work Sans,Negrita"&amp;18SUBDIRECCION ADMINISTRATIVA Y FINANCIERA
ANÁLISIS FINANCIERO DEL SECTOR
PROCESOS DE CONTRATACION&amp;R&amp;"Work Sans,Negrita"&amp;14&amp;P DE &amp;N</oddHeader>
    <oddFooter>&amp;C&amp;"Work Sans,Negrita"&amp;9Avenida La Esperanza (Calle 24) No. 62-49, Complejo Empresarial Gran Estación II, Costado Esfera, Pisos 9 y 10, Bogotá Colombia. Teléfonos Línea de servicio al ciudadano: (57+1) 3240800 op. 2
Línea gratuita nacional 018000 112042</oddFooter>
  </headerFooter>
  <ignoredErrors>
    <ignoredError sqref="I53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contenedores</vt:lpstr>
      <vt:lpstr>contenedores!Área_de_impresión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Jared Mateo Contreras Alonso</cp:lastModifiedBy>
  <dcterms:created xsi:type="dcterms:W3CDTF">2022-02-25T14:29:53Z</dcterms:created>
  <dcterms:modified xsi:type="dcterms:W3CDTF">2026-03-17T13:20:56Z</dcterms:modified>
</cp:coreProperties>
</file>